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comments11.xml" ContentType="application/vnd.openxmlformats-officedocument.spreadsheetml.comments+xml"/>
  <Override PartName="/xl/comments13.xml" ContentType="application/vnd.openxmlformats-officedocument.spreadsheetml.comments+xml"/>
  <Override PartName="/xl/drawings/drawing1.xml" ContentType="application/vnd.openxmlformats-officedocument.drawing+xml"/>
  <Override PartName="/xl/drawings/vmlDrawing3.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vmlDrawing1.vml" ContentType="application/vnd.openxmlformats-officedocument.vmlDrawing"/>
  <Override PartName="/xl/drawings/vmlDrawing2.vml" ContentType="application/vnd.openxmlformats-officedocument.vmlDrawing"/>
  <Override PartName="/xl/drawings/_rels/drawing2.xml.rels" ContentType="application/vnd.openxmlformats-package.relationships+xml"/>
  <Override PartName="/xl/drawings/_rels/drawing1.xml.rels" ContentType="application/vnd.openxmlformats-package.relationships+xml"/>
  <Override PartName="/xl/drawings/vmlDrawing5.vml" ContentType="application/vnd.openxmlformats-officedocument.vmlDrawing"/>
  <Override PartName="/xl/drawings/vmlDrawing6.vml" ContentType="application/vnd.openxmlformats-officedocument.vmlDrawing"/>
  <Override PartName="/xl/drawings/vmlDrawing7.vml" ContentType="application/vnd.openxmlformats-officedocument.vmlDrawing"/>
  <Override PartName="/xl/drawings/vmlDrawing8.vml" ContentType="application/vnd.openxmlformats-officedocument.vmlDrawing"/>
  <Override PartName="/xl/comments12.xml" ContentType="application/vnd.openxmlformats-officedocument.spreadsheetml.comments+xml"/>
  <Override PartName="/xl/comments7.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12.xml.rels" ContentType="application/vnd.openxmlformats-package.relationships+xml"/>
  <Override PartName="/xl/worksheets/_rels/sheet7.xml.rels" ContentType="application/vnd.openxmlformats-package.relationships+xml"/>
  <Override PartName="/xl/worksheets/_rels/sheet13.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5.xml.rels" ContentType="application/vnd.openxmlformats-package.relationships+xml"/>
  <Override PartName="/xl/worksheets/_rels/sheet11.xml.rels" ContentType="application/vnd.openxmlformats-package.relationships+xml"/>
  <Override PartName="/xl/worksheets/_rels/sheet10.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omments9.xml" ContentType="application/vnd.openxmlformats-officedocument.spreadsheetml.comments+xml"/>
  <Override PartName="/xl/sharedStrings.xml" ContentType="application/vnd.openxmlformats-officedocument.spreadsheetml.sharedStrings+xml"/>
  <Override PartName="/xl/workbook.xml" ContentType="application/vnd.openxmlformats-officedocument.spreadsheetml.sheet.main+xml"/>
  <Override PartName="/xl/comments10.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5.xml" ContentType="application/vnd.openxmlformats-officedocument.spreadsheetml.comments+xml"/>
  <Override PartName="/xl/comments8.xml" ContentType="application/vnd.openxmlformats-officedocument.spreadsheetml.comments+xml"/>
  <Override PartName="/xl/theme/theme1.xml" ContentType="application/vnd.openxmlformats-officedocument.them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etup" sheetId="2" state="visible" r:id="rId4"/>
    <sheet name="Summary" sheetId="3" state="visible" r:id="rId5"/>
    <sheet name="Cash Flow" sheetId="4" state="visible" r:id="rId6"/>
    <sheet name="Scenarios" sheetId="5" state="visible" r:id="rId7"/>
    <sheet name="Profit" sheetId="6" state="visible" r:id="rId8"/>
    <sheet name="Debtors" sheetId="7" state="visible" r:id="rId9"/>
    <sheet name="Creditors" sheetId="8" state="visible" r:id="rId10"/>
    <sheet name="Sales" sheetId="9" state="visible" r:id="rId11"/>
    <sheet name="Direct Costs" sheetId="10" state="visible" r:id="rId12"/>
    <sheet name="Overheads" sheetId="11" state="visible" r:id="rId13"/>
    <sheet name="Payroll &amp; Tax" sheetId="12" state="visible" r:id="rId14"/>
    <sheet name="Loans &amp; Finance" sheetId="13" state="visible" r:id="rId15"/>
    <sheet name="Other Cash" sheetId="14" state="visible" r:id="rId16"/>
    <sheet name="Lists" sheetId="15" state="hidden" r:id="rId17"/>
  </sheets>
  <definedNames>
    <definedName function="false" hidden="false" localSheetId="7" name="_xlnm.Print_Area" vbProcedure="false">Creditors!$A$1:$AB$72</definedName>
    <definedName function="false" hidden="false" localSheetId="6" name="_xlnm.Print_Area" vbProcedure="false">Debtors!$A$1:$AB$72</definedName>
  </definedNames>
  <calcPr iterateCount="100" refMode="A1" iterate="false" iterateDelta="0.0001"/>
  <extLst>
    <ext xmlns:loext="http://schemas.libreoffice.org/" uri="{7626C862-2A13-11E5-B345-FEFF819CDC9F}">
      <loext:extCalcPr stringRefSyntax="ExcelA1"/>
    </ext>
  </extLst>
</workbook>
</file>

<file path=xl/comments5.xml><?xml version="1.0" encoding="utf-8"?>
<comments xmlns="http://schemas.openxmlformats.org/spreadsheetml/2006/main" xmlns:xdr="http://schemas.openxmlformats.org/drawingml/2006/spreadsheetDrawing">
  <authors>
    <author>Unknown Author</author>
  </authors>
  <commentList>
    <comment ref="C5" authorId="0">
      <text>
        <r>
          <rPr>
            <sz val="10"/>
            <rFont val="Arial"/>
            <family val="2"/>
          </rPr>
          <t xml:space="preserve">Choose Base case to see the forecast exactly as entered, or one of your scenarios to see the stressed version.</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I8" authorId="0">
      <text>
        <r>
          <rPr>
            <sz val="10"/>
            <rFont val="Arial"/>
            <family val="2"/>
          </rPr>
          <t xml:space="preserve">Auto = use the debtor days (and the age of the balance) to work out when it is collected.
Specific date = paid on the expected date; enter a number in the next column for that many WEEKLY instalments.
Spread over days = paid evenly over the number of days in the next column, starting on the expected date.
Monthly on set day = equal payments each month on the same day as the expected date; the next column is the number of months.
Monthly fixed amount = a payment plan: the £ amount in the next column is paid on the same day each month as the expected date, until the balance is cleared.
Doubtful = leave it out of the forecast.</t>
        </r>
      </text>
    </comment>
    <comment ref="J8" authorId="0">
      <text>
        <r>
          <rPr>
            <sz val="10"/>
            <rFont val="Arial"/>
            <family val="2"/>
          </rPr>
          <t xml:space="preserve">Needed for every option except Auto. Dates already passed are treated as week 1.</t>
        </r>
      </text>
    </comment>
    <comment ref="K8" authorId="0">
      <text>
        <r>
          <rPr>
            <sz val="10"/>
            <rFont val="Arial"/>
            <family val="2"/>
          </rPr>
          <t xml:space="preserve">Specific date: number of weekly instalments (blank = 1).
Spread over days: number of days to spread over.
Monthly on set day: number of monthly payments (blank = 1).
Monthly fixed amount: the £ paid each month (e.g. 2000).</t>
        </r>
      </text>
    </comment>
    <comment ref="AA8" authorId="0">
      <text>
        <r>
          <rPr>
            <sz val="10"/>
            <rFont val="Arial"/>
            <family val="2"/>
          </rPr>
          <t xml:space="preserve">Balances not collected within the 13 weeks, or excluded (doubtful). Check this column makes sense.</t>
        </r>
      </text>
    </comment>
  </commentList>
</comments>
</file>

<file path=xl/comments8.xml><?xml version="1.0" encoding="utf-8"?>
<comments xmlns="http://schemas.openxmlformats.org/spreadsheetml/2006/main" xmlns:xdr="http://schemas.openxmlformats.org/drawingml/2006/spreadsheetDrawing">
  <authors>
    <author>Unknown Author</author>
  </authors>
  <commentList>
    <comment ref="I8" authorId="0">
      <text>
        <r>
          <rPr>
            <sz val="10"/>
            <rFont val="Arial"/>
            <family val="2"/>
          </rPr>
          <t xml:space="preserve">Auto = use the creditor days (and the age of the balance) to work out when it is paid.
Specific date = paid on the expected date; enter a number in the next column for that many WEEKLY instalments.
Spread over days = paid evenly over the number of days in the next column, starting on the expected date.
Monthly on set day = equal payments each month on the same day as the expected date; the next column is the number of months.
Monthly fixed amount = a payment plan: the £ amount in the next column is paid on the same day each month as the expected date, until the balance is cleared.
On hold = leave it out of the forecast.</t>
        </r>
      </text>
    </comment>
    <comment ref="J8" authorId="0">
      <text>
        <r>
          <rPr>
            <sz val="10"/>
            <rFont val="Arial"/>
            <family val="2"/>
          </rPr>
          <t xml:space="preserve">Needed for every option except Auto. Dates already passed are treated as week 1.</t>
        </r>
      </text>
    </comment>
    <comment ref="K8" authorId="0">
      <text>
        <r>
          <rPr>
            <sz val="10"/>
            <rFont val="Arial"/>
            <family val="2"/>
          </rPr>
          <t xml:space="preserve">Specific date: number of weekly instalments (blank = 1).
Spread over days: number of days to spread over.
Monthly on set day: number of monthly payments (blank = 1).
Monthly fixed amount: the £ paid each month (e.g. 2000).</t>
        </r>
      </text>
    </comment>
    <comment ref="AA8" authorId="0">
      <text>
        <r>
          <rPr>
            <sz val="10"/>
            <rFont val="Arial"/>
            <family val="2"/>
          </rPr>
          <t xml:space="preserve">Balances not paid within the 13 weeks, or excluded (on hold). Check this column makes sense.</t>
        </r>
      </text>
    </comment>
  </commentList>
</comments>
</file>

<file path=xl/comments9.xml><?xml version="1.0" encoding="utf-8"?>
<comments xmlns="http://schemas.openxmlformats.org/spreadsheetml/2006/main" xmlns:xdr="http://schemas.openxmlformats.org/drawingml/2006/spreadsheetDrawing">
  <authors>
    <author>Unknown Author</author>
  </authors>
  <commentList>
    <comment ref="C8" authorId="0">
      <text>
        <r>
          <rPr>
            <sz val="10"/>
            <rFont val="Arial"/>
            <family val="2"/>
          </rPr>
          <t xml:space="preserve">Yes (or blank) = you charge VAT on these sales. No = zero-rated, exempt or you are not VAT registered.</t>
        </r>
      </text>
    </comment>
    <comment ref="D8" authorId="0">
      <text>
        <r>
          <rPr>
            <sz val="10"/>
            <rFont val="Arial"/>
            <family val="2"/>
          </rPr>
          <t xml:space="preserve">The share paid straight away – e.g. card or cash takings in a shop or online = 100%. The rest is invoiced and paid after the debtor days.</t>
        </r>
      </text>
    </comment>
    <comment ref="E8" authorId="0">
      <text>
        <r>
          <rPr>
            <sz val="10"/>
            <rFont val="Arial"/>
            <family val="2"/>
          </rPr>
          <t xml:space="preserve">Leave blank to use the standard debtor days on the Setup sheet, or enter the days this type of customer actually takes.</t>
        </r>
      </text>
    </comment>
    <comment ref="F8" authorId="0">
      <text>
        <r>
          <rPr>
            <sz val="10"/>
            <rFont val="Arial"/>
            <family val="2"/>
          </rPr>
          <t xml:space="preserve">A steady amount you expect to sell. Choose Week or Month in the next column. A monthly amount is spread evenly over the weeks (× 12 ÷ 52).</t>
        </r>
      </text>
    </comment>
    <comment ref="H8" authorId="0">
      <text>
        <r>
          <rPr>
            <sz val="10"/>
            <rFont val="Arial"/>
            <family val="2"/>
          </rPr>
          <t xml:space="preserve">Optional: the week the regular amount starts (e.g. a new contract starting in week 5). Blank = week 1.</t>
        </r>
      </text>
    </comment>
  </commentList>
</comments>
</file>

<file path=xl/comments10.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Share paid immediately, e.g. by card or cash on delivery. The rest is paid after the creditor days.</t>
        </r>
      </text>
    </comment>
    <comment ref="F8" authorId="0">
      <text>
        <r>
          <rPr>
            <sz val="10"/>
            <rFont val="Arial"/>
            <family val="2"/>
          </rPr>
          <t xml:space="preserve">If this cost moves with sales, enter the % here, e.g. 45% means £45 of cost for every £100 of sales.</t>
        </r>
      </text>
    </comment>
    <comment ref="G8" authorId="0">
      <text>
        <r>
          <rPr>
            <sz val="10"/>
            <rFont val="Arial"/>
            <family val="2"/>
          </rPr>
          <t xml:space="preserve">Pick which sales stream the % applies to, or All sales. Blank = All sales.</t>
        </r>
      </text>
    </comment>
    <comment ref="X8" authorId="0">
      <text>
        <r>
          <rPr>
            <sz val="10"/>
            <rFont val="Arial"/>
            <family val="2"/>
          </rPr>
          <t xml:space="preserve">Optional. If this cost is paid in ONE lump each month, enter the day it is paid (e.g. 15). The month's cost for this line – including any % of sales – is then paid on that day, instead of using the creditor days. Leave blank to use creditor days.</t>
        </r>
      </text>
    </comment>
    <comment ref="Y8" authorId="0">
      <text>
        <r>
          <rPr>
            <sz val="10"/>
            <rFont val="Arial"/>
            <family val="2"/>
          </rPr>
          <t xml:space="preserve">0 (or blank) = this month's cost is paid this month, e.g. a licence on the 1st.
1 = last month's cost is paid this month, e.g. subcontractors paid on the 6th for the previous month's work.
With 1, check last month's bill isn't also on the Creditors sheet.</t>
        </r>
      </text>
    </comment>
    <comment ref="Z8" authorId="0">
      <text>
        <r>
          <rPr>
            <sz val="10"/>
            <rFont val="Arial"/>
            <family val="2"/>
          </rPr>
          <t xml:space="preserve">Optional. For costs that build up now but are only paid later – e.g. venue hire for camps paid in advance by customers, but not payable until the camp is held. The whole cost on this line is paid on this date; if the date is after week 13 nothing is paid in this forecast (it shows as 'Cost not yet paid'). The Profit sheet still shows the cost against the sales it relates to.</t>
        </r>
      </text>
    </comment>
  </commentList>
</comments>
</file>

<file path=xl/comments11.xml><?xml version="1.0" encoding="utf-8"?>
<comments xmlns="http://schemas.openxmlformats.org/spreadsheetml/2006/main" xmlns:xdr="http://schemas.openxmlformats.org/drawingml/2006/spreadsheetDrawing">
  <authors>
    <author>Unknown Author</author>
  </authors>
  <commentList>
    <comment ref="F8" authorId="0">
      <text>
        <r>
          <rPr>
            <sz val="10"/>
            <rFont val="Arial"/>
            <family val="2"/>
          </rPr>
          <t xml:space="preserve">Weekly, Monthly, Quarterly, Annually or One-off. A monthly payment repeats on the same day of the month as the 'Next payment date'.</t>
        </r>
      </text>
    </comment>
    <comment ref="G8" authorId="0">
      <text>
        <r>
          <rPr>
            <sz val="10"/>
            <rFont val="Arial"/>
            <family val="2"/>
          </rPr>
          <t xml:space="preserve">The date the next payment will leave the bank. Repeating payments follow on from this date. For a One-off payment this is the date it is paid.</t>
        </r>
      </text>
    </comment>
    <comment ref="H8" authorId="0">
      <text>
        <r>
          <rPr>
            <sz val="10"/>
            <rFont val="Arial"/>
            <family val="2"/>
          </rPr>
          <t xml:space="preserve">Optional. Use when a payment stops, e.g. a loan's final instalment or a lease ending.</t>
        </r>
      </text>
    </comment>
  </commentList>
</comments>
</file>

<file path=xl/comments12.xml><?xml version="1.0" encoding="utf-8"?>
<comments xmlns="http://schemas.openxmlformats.org/spreadsheetml/2006/main" xmlns:xdr="http://schemas.openxmlformats.org/drawingml/2006/spreadsheetDrawing">
  <authors>
    <author>Unknown Author</author>
  </authors>
  <commentList>
    <comment ref="F8" authorId="0">
      <text>
        <r>
          <rPr>
            <sz val="10"/>
            <rFont val="Arial"/>
            <family val="2"/>
          </rPr>
          <t xml:space="preserve">Weekly, Monthly, Quarterly, Annually or One-off. A monthly payment repeats on the same day of the month as the 'Next payment date'.</t>
        </r>
      </text>
    </comment>
    <comment ref="G8" authorId="0">
      <text>
        <r>
          <rPr>
            <sz val="10"/>
            <rFont val="Arial"/>
            <family val="2"/>
          </rPr>
          <t xml:space="preserve">The date the next payment will leave the bank. Repeating payments follow on from this date. For a One-off payment this is the date it is paid.</t>
        </r>
      </text>
    </comment>
    <comment ref="H8" authorId="0">
      <text>
        <r>
          <rPr>
            <sz val="10"/>
            <rFont val="Arial"/>
            <family val="2"/>
          </rPr>
          <t xml:space="preserve">Optional. Use when a payment stops, e.g. a loan's final instalment or a lease ending.</t>
        </r>
      </text>
    </comment>
  </commentList>
</comments>
</file>

<file path=xl/comments13.xml><?xml version="1.0" encoding="utf-8"?>
<comments xmlns="http://schemas.openxmlformats.org/spreadsheetml/2006/main" xmlns:xdr="http://schemas.openxmlformats.org/drawingml/2006/spreadsheetDrawing">
  <authors>
    <author>Unknown Author</author>
  </authors>
  <commentList>
    <comment ref="F8" authorId="0">
      <text>
        <r>
          <rPr>
            <sz val="10"/>
            <rFont val="Arial"/>
            <family val="2"/>
          </rPr>
          <t xml:space="preserve">Weekly, Monthly, Quarterly, Annually or One-off. A monthly payment repeats on the same day of the month as the 'Next payment date'.</t>
        </r>
      </text>
    </comment>
    <comment ref="G8" authorId="0">
      <text>
        <r>
          <rPr>
            <sz val="10"/>
            <rFont val="Arial"/>
            <family val="2"/>
          </rPr>
          <t xml:space="preserve">The date the next payment will leave the bank. Repeating payments follow on from this date. For a One-off payment this is the date it is paid.</t>
        </r>
      </text>
    </comment>
    <comment ref="H8" authorId="0">
      <text>
        <r>
          <rPr>
            <sz val="10"/>
            <rFont val="Arial"/>
            <family val="2"/>
          </rPr>
          <t xml:space="preserve">Optional. Use when a payment stops, e.g. a loan's final instalment or a lease ending.</t>
        </r>
      </text>
    </comment>
  </commentList>
</comments>
</file>

<file path=xl/sharedStrings.xml><?xml version="1.0" encoding="utf-8"?>
<sst xmlns="http://schemas.openxmlformats.org/spreadsheetml/2006/main" count="922" uniqueCount="596">
  <si>
    <t xml:space="preserve">13-Week Cash Flow Forecast</t>
  </si>
  <si>
    <t xml:space="preserve">For businesses with turnover up to £10m – enter figures from any accounts software  ·  Template provided by Castle Finance Director</t>
  </si>
  <si>
    <t xml:space="preserve">WHAT THIS DOES</t>
  </si>
  <si>
    <t xml:space="preserve">This workbook shows how much money will be in your bank account at the end of each of the next 13 weeks (about three months), and whether the business is making a profit over that time. It warns you early if cash is going to run short, so you have time to act – chase customers, agree terms with suppliers, delay a purchase or talk to your bank.</t>
  </si>
  <si>
    <t xml:space="preserve">You do not need to be an accountant. You type information into the YELLOW cells, mostly from reports you already have, and the workbook does the rest. It takes about an hour the first time and 15–20 minutes to update each week.</t>
  </si>
  <si>
    <t xml:space="preserve">COLOUR KEY</t>
  </si>
  <si>
    <t xml:space="preserve">Yellow cell, blue text</t>
  </si>
  <si>
    <t xml:space="preserve">You type here. These are your inputs.</t>
  </si>
  <si>
    <t xml:space="preserve">Grey cell</t>
  </si>
  <si>
    <t xml:space="preserve">Calculated for you. Do not type over these.</t>
  </si>
  <si>
    <t xml:space="preserve">Green text</t>
  </si>
  <si>
    <t xml:space="preserve">A figure pulled through from another sheet.</t>
  </si>
  <si>
    <t xml:space="preserve">Navy band</t>
  </si>
  <si>
    <t xml:space="preserve">A section heading.</t>
  </si>
  <si>
    <t xml:space="preserve">Red triangle in a corner</t>
  </si>
  <si>
    <t xml:space="preserve">Hover over the cell for a help note.</t>
  </si>
  <si>
    <t xml:space="preserve">HOW THE WORKBOOK IS ORGANISED</t>
  </si>
  <si>
    <t xml:space="preserve">The tabs along the bottom are colour-coded into groups. Fill in the gold Setup tab first, then the green input tabs, then read the results on the blue tabs.</t>
  </si>
  <si>
    <t xml:space="preserve">Gold tabs</t>
  </si>
  <si>
    <t xml:space="preserve">Information &amp; setup – start here</t>
  </si>
  <si>
    <t xml:space="preserve">Start Here</t>
  </si>
  <si>
    <t xml:space="preserve">This guide.</t>
  </si>
  <si>
    <t xml:space="preserve">Setup</t>
  </si>
  <si>
    <t xml:space="preserve">Your business, bank balance, overdraft, VAT and payment terms. Fill this in first.</t>
  </si>
  <si>
    <t xml:space="preserve">Dark blue tabs</t>
  </si>
  <si>
    <t xml:space="preserve">Results – read these (calculated for you)</t>
  </si>
  <si>
    <t xml:space="preserve">Summary</t>
  </si>
  <si>
    <t xml:space="preserve">The headlines: bank balance, lowest point, profit, scenarios and things to check.</t>
  </si>
  <si>
    <t xml:space="preserve">Cash Flow</t>
  </si>
  <si>
    <t xml:space="preserve">Week-by-week cash in, cash out and closing bank balance.</t>
  </si>
  <si>
    <t xml:space="preserve">Scenarios</t>
  </si>
  <si>
    <t xml:space="preserve">Stress tests – pick suggested scenarios, adjust them, and compare the results.</t>
  </si>
  <si>
    <t xml:space="preserve">Profit</t>
  </si>
  <si>
    <t xml:space="preserve">Sales, costs and profit for the 13 weeks (excluding VAT).</t>
  </si>
  <si>
    <t xml:space="preserve">Green tabs</t>
  </si>
  <si>
    <t xml:space="preserve">Your inputs – fill these in (yellow cells)</t>
  </si>
  <si>
    <t xml:space="preserve">Debtors</t>
  </si>
  <si>
    <t xml:space="preserve">What customers owe you now – from your aged debtors report.</t>
  </si>
  <si>
    <t xml:space="preserve">Creditors</t>
  </si>
  <si>
    <t xml:space="preserve">What you owe suppliers now – from your aged creditors report.</t>
  </si>
  <si>
    <t xml:space="preserve">Sales</t>
  </si>
  <si>
    <t xml:space="preserve">New sales from the start date.</t>
  </si>
  <si>
    <t xml:space="preserve">Direct Costs</t>
  </si>
  <si>
    <t xml:space="preserve">Costs that move with sales – stock, materials, subcontractors.</t>
  </si>
  <si>
    <t xml:space="preserve">Overheads</t>
  </si>
  <si>
    <t xml:space="preserve">Regular and one-off running costs.</t>
  </si>
  <si>
    <t xml:space="preserve">Payroll &amp; Tax</t>
  </si>
  <si>
    <t xml:space="preserve">Wages, PAYE/NI, pensions, VAT returns and other tax.</t>
  </si>
  <si>
    <t xml:space="preserve">Loans &amp; Finance</t>
  </si>
  <si>
    <t xml:space="preserve">Loan, HP, lease and credit card repayments.</t>
  </si>
  <si>
    <t xml:space="preserve">Other Cash</t>
  </si>
  <si>
    <t xml:space="preserve">One-off money in or out.</t>
  </si>
  <si>
    <t xml:space="preserve">BEFORE YOU START – GATHER THESE</t>
  </si>
  <si>
    <t xml:space="preserve">Bank</t>
  </si>
  <si>
    <t xml:space="preserve">Today's cleared balance on every business current account, and your overdraft limit.</t>
  </si>
  <si>
    <t xml:space="preserve">Aged debtors report</t>
  </si>
  <si>
    <t xml:space="preserve">Who owes you money and how old each invoice is. In Xero: Reports › Aged Receivables Summary, set 'Ageing by' to Invoice date. In QuickBooks: Reports › Accounts receivable ageing summary. In Sage: Aged Debtors.</t>
  </si>
  <si>
    <t xml:space="preserve">Aged creditors report</t>
  </si>
  <si>
    <t xml:space="preserve">Who you owe money to. Xero: Aged Payables Summary (by invoice date). QuickBooks: Accounts payable ageing summary. Sage: Aged Creditors.</t>
  </si>
  <si>
    <t xml:space="preserve">Payroll</t>
  </si>
  <si>
    <t xml:space="preserve">Your last payroll summary: net pay, PAYE &amp; NI due to HMRC, and pension contributions.</t>
  </si>
  <si>
    <t xml:space="preserve">VAT and tax</t>
  </si>
  <si>
    <t xml:space="preserve">Your last VAT return (and an estimate for the current one), any corporation tax due, and any HMRC time-to-pay arrangement.</t>
  </si>
  <si>
    <t xml:space="preserve">Regular payments</t>
  </si>
  <si>
    <t xml:space="preserve">Your bank statement for the last 2–3 months – it shows every direct debit and standing order.</t>
  </si>
  <si>
    <t xml:space="preserve">Loans and finance</t>
  </si>
  <si>
    <t xml:space="preserve">Monthly repayment amounts and dates for loans, hire purchase, leases and credit cards.</t>
  </si>
  <si>
    <t xml:space="preserve">Your sales expectations</t>
  </si>
  <si>
    <t xml:space="preserve">What you expect to sell each week or month, any big orders, quiet periods (e.g. Christmas) and new contracts.</t>
  </si>
  <si>
    <t xml:space="preserve">STEP BY STEP</t>
  </si>
  <si>
    <t xml:space="preserve">Step 1 – Setup</t>
  </si>
  <si>
    <t xml:space="preserve">Business name, start date (a Monday), bank balance, overdraft limit, minimum cash buffer, VAT registered Yes/No, and your debtor and creditor days. Use the calculator at the bottom of the sheet if you don't know your days.</t>
  </si>
  <si>
    <t xml:space="preserve">Step 2 – Debtors</t>
  </si>
  <si>
    <t xml:space="preserve">Copy in your aged debtors report, one customer per line. You can list every customer, or put your biggest customers on their own lines and group the rest as 'Other small customers'. Use the five age columns (0–30 days old, 31–60 and so on). Then choose how each will be collected: Auto (uses your debtor days), Specific date (you know when they will pay – enter the date, and the number of weekly instalments if they're on a payment plan), or Doubtful (leave out). Enter your report's total in the Check cell at the bottom to make sure nothing is missed.</t>
  </si>
  <si>
    <t xml:space="preserve">Step 3 – Creditors</t>
  </si>
  <si>
    <t xml:space="preserve">The same for suppliers you owe money to. Choose Auto (uses your creditor days), Specific date (e.g. you've agreed to pay on the 30th, or in instalments), or On hold (e.g. disputed – not being paid).</t>
  </si>
  <si>
    <t xml:space="preserve">Step 4 – Sales</t>
  </si>
  <si>
    <t xml:space="preserve">Your NEW sales from the start date – excluding VAT if you are VAT registered. One line per type of sale (product, service, customer group). Enter a regular amount per week or per month, and use the weekly columns for extra or one-off amounts, or a minus figure for a quiet week. Set '% paid on the day' for card/cash takings, and debtor days if a type of customer pays faster or slower than your standard.</t>
  </si>
  <si>
    <t xml:space="preserve">Step 5 – Direct costs</t>
  </si>
  <si>
    <t xml:space="preserve">The costs that go up and down with sales: stock, materials, subcontractors, carriage. Enter them as a % of sales (e.g. 45% of trade sales) and/or as a regular amount. They are paid after your creditor days – or, if a cost is paid in one lump each month, enter the day it is paid (and 1 in 'months in arrears' if it pays for the previous month) in the columns to the right of the weekly grid. For costs that are only payable later – e.g. venue hire paid when a camp is held – enter a 'Not payable until' date.</t>
  </si>
  <si>
    <t xml:space="preserve">Step 6 – Overheads</t>
  </si>
  <si>
    <t xml:space="preserve">Running costs: rent, rates, utilities, insurance, software, phones, marketing, accountants, motor costs. One line per payment, with the amount, how often (weekly / monthly / quarterly / annually / one-off), and the next payment date. The workbook repeats it for you.</t>
  </si>
  <si>
    <t xml:space="preserve">Step 7 – Payroll &amp; Tax</t>
  </si>
  <si>
    <t xml:space="preserve">Net wages, PAYE &amp; NI, pension, VAT returns, corporation tax and any HMRC time-to-pay plan. Enter each VAT return as a One-off on its due date (normally 1 month and 7 days after the quarter end).</t>
  </si>
  <si>
    <t xml:space="preserve">Step 8 – Loans &amp; Finance</t>
  </si>
  <si>
    <t xml:space="preserve">Loan, hire purchase, lease and credit card repayments, with the last payment date if they end soon.</t>
  </si>
  <si>
    <t xml:space="preserve">Step 9 – Other Cash</t>
  </si>
  <si>
    <t xml:space="preserve">One-off money in or out, typed into the week it happens: new loan or grant received, money from the owners, selling or buying equipment, dividends or drawings.</t>
  </si>
  <si>
    <t xml:space="preserve">Step 10 – Review</t>
  </si>
  <si>
    <t xml:space="preserve">Look at the Summary first, then Cash Flow week by week, and Profit to see whether you are making money. Check the 'Things to check' box on the Summary – it shows anything left out of the forecast.</t>
  </si>
  <si>
    <t xml:space="preserve">Step 11 – Stress test</t>
  </si>
  <si>
    <t xml:space="preserve">On the Scenarios sheet, set up to three 'what ifs' – sales down, customers paying late, bad debts, price or pay rises, suppliers wanting paying sooner, one-off cash hits – and compare the bank balance under each. Choose one in the drop-down to see it on the Cash Flow, Summary and Profit sheets.</t>
  </si>
  <si>
    <t xml:space="preserve">STRESS SCENARIOS</t>
  </si>
  <si>
    <t xml:space="preserve">Suggested scenarios</t>
  </si>
  <si>
    <t xml:space="preserve">Each of the three scenarios starts from a suggestion picked from the list in section D (slow payers, bad debts, sales falls, price and pay rises, a major customer lost, a one-off bill, moderate and severe downturns). Leave 'Your change' blank to use the suggestion, or type your own figure for any lever. You can also edit the suggestions or add your own.</t>
  </si>
  <si>
    <t xml:space="preserve">Why</t>
  </si>
  <si>
    <t xml:space="preserve">A forecast is a best guess. Stress scenarios show how much room you have if things go worse – and which levers matter most – so you can line up finance, chase debts or cut costs before it becomes urgent.</t>
  </si>
  <si>
    <t xml:space="preserve">How</t>
  </si>
  <si>
    <t xml:space="preserve">Each scenario adjusts the base forecast's weekly cash: sales volume (including repeating invoices, with only the direct costs set as a % of sales moving in line), how late customers pay, bad debts, price and pay rises, suppliers shortening your credit, and one-off cash hits. Nothing you typed elsewhere is changed, so you can switch back to the base case at any time.</t>
  </si>
  <si>
    <t xml:space="preserve">Reading the results</t>
  </si>
  <si>
    <t xml:space="preserve">The results table shows each scenario's lowest balance, the week it happens and how many weeks the bank goes below zero. Amber = below your minimum buffer, red = beyond your overdraft limit.</t>
  </si>
  <si>
    <t xml:space="preserve">Limits</t>
  </si>
  <si>
    <t xml:space="preserve">VAT on the changed sales and costs is not re-estimated, and suppliers paid sooner can only be brought forward from within the 13 weeks. Treat the scenarios as a guide to the size of the risk.</t>
  </si>
  <si>
    <t xml:space="preserve">HOW THE TIMING WORKS</t>
  </si>
  <si>
    <t xml:space="preserve">Weeks</t>
  </si>
  <si>
    <t xml:space="preserve">Week 1 starts on your start date (a Monday). Weeks run Saturday to Friday and are labelled with the Friday date, so a direct debit due on a Saturday or Sunday falls into the following week – just as the bank would take it on the Monday.</t>
  </si>
  <si>
    <t xml:space="preserve">Debtor days</t>
  </si>
  <si>
    <t xml:space="preserve">The average number of days your customers take to pay. With 45 debtor days, a sale invoiced in the week ending 23 Oct is expected as cash in the week containing 7 Dec. A shorter figure brings cash in sooner. You can set different days for each sales stream or each customer.</t>
  </si>
  <si>
    <t xml:space="preserve">Creditor days</t>
  </si>
  <si>
    <t xml:space="preserve">The average number of days you take to pay suppliers. Works the same way for your direct costs and creditors list.</t>
  </si>
  <si>
    <t xml:space="preserve">Existing debts on 'Auto'</t>
  </si>
  <si>
    <t xml:space="preserve">The workbook uses the age of each balance to estimate how long it has left to run. Example with 45 debtor days: invoices 0–30 days old have between 15 and 45 days to go, so that balance is spread evenly over those dates. Anything already older than your debtor days is overdue, and is spread evenly over the 'overdue items' period on the Setup sheet (the first 28 days unless you change it). If you choose that option, debts over 120 days old are treated as doubtful and left out. Creditors work the same way using your creditor days.</t>
  </si>
  <si>
    <t xml:space="preserve">Payment options</t>
  </si>
  <si>
    <t xml:space="preserve">Every debtor and creditor line can be timed five ways: Auto (debtor/creditor days); Specific date (on a date, or in equal WEEKLY instalments from that date); Spread over days (evenly over, say, 21 days from a start date); Monthly on set day (equal payments on the same day each month, e.g. 3 payments on the 15th); Monthly fixed amount (a payment plan – e.g. £2,000 on the 7th of each month until the bill is cleared); or Doubtful / On hold (left out).</t>
  </si>
  <si>
    <t xml:space="preserve">Specific date</t>
  </si>
  <si>
    <t xml:space="preserve">Overrides Auto for that line. Use it whenever you actually know – e.g. 'they've promised to pay on Friday', 'they pay on the 25th of the month', or 'we've agreed 4 weekly payments starting 6 Nov'. Dates in the past go into week 1.</t>
  </si>
  <si>
    <t xml:space="preserve">Repeating payments</t>
  </si>
  <si>
    <t xml:space="preserve">Monthly payments fall on the same day each month as the next payment date (31st becomes the last day in shorter months). Quarterly = every 3 months, Annually = every 12 months.</t>
  </si>
  <si>
    <t xml:space="preserve">VAT</t>
  </si>
  <si>
    <t xml:space="preserve">If you are VAT registered, enter sales and costs EXCLUDING VAT. The workbook adds VAT to the cash figures because customers pay you – and you pay suppliers – the VAT-inclusive amount. You then pay the net VAT to HMRC, which you enter on the Payroll &amp; Tax sheet. The VAT helper on that sheet estimates the VAT arising from your forecast. If you are not VAT registered, choose No on Setup and enter costs including any VAT you are charged.</t>
  </si>
  <si>
    <t xml:space="preserve">UPDATING EVERY WEEK (roll forward)</t>
  </si>
  <si>
    <t xml:space="preserve">1. Save a copy of last week's file (e.g. 'Cash flow wk ending 23 Oct') so you can compare forecast with what actually happened.</t>
  </si>
  <si>
    <t xml:space="preserve">2. On Setup, change the start date to the new Monday and enter the new bank balance.</t>
  </si>
  <si>
    <t xml:space="preserve">3. Paste in fresh aged debtors and creditors reports (Paste Special › Values) and update the timing choices.</t>
  </si>
  <si>
    <t xml:space="preserve">4. On Sales, Direct Costs and Other Cash, the weekly columns move with the dates – remove last week's one-off figures and add a new week 13.</t>
  </si>
  <si>
    <t xml:space="preserve">5. Overheads, Payroll &amp; Tax and Loans update themselves from their dates. Remove one-off items that have now been paid.</t>
  </si>
  <si>
    <t xml:space="preserve">6. Compare last week's forecast closing balance with the real bank balance. If they differ by a lot, find out why – it usually means a customer paid late, or a cost was missed. Adjust the forecast so it learns.</t>
  </si>
  <si>
    <t xml:space="preserve">GLOSSARY</t>
  </si>
  <si>
    <t xml:space="preserve">Cash flow</t>
  </si>
  <si>
    <t xml:space="preserve">Money actually coming into and going out of the bank. Different from profit, because of timing (customers pay later) and items like VAT, loans and equipment.</t>
  </si>
  <si>
    <t xml:space="preserve">Sales minus the costs of making those sales. You can be profitable and still run out of cash.</t>
  </si>
  <si>
    <t xml:space="preserve">Debtors (receivables)</t>
  </si>
  <si>
    <t xml:space="preserve">Customers who owe you money for invoices already sent.</t>
  </si>
  <si>
    <t xml:space="preserve">Creditors (payables)</t>
  </si>
  <si>
    <t xml:space="preserve">Suppliers you owe money to for bills already received.</t>
  </si>
  <si>
    <t xml:space="preserve">Aged report</t>
  </si>
  <si>
    <t xml:space="preserve">A list of debtors or creditors split by how old each invoice is.</t>
  </si>
  <si>
    <t xml:space="preserve">Direct costs / cost of sales</t>
  </si>
  <si>
    <t xml:space="preserve">Costs that rise and fall with sales – stock, materials, subcontractors, carriage.</t>
  </si>
  <si>
    <t xml:space="preserve">Gross profit / margin</t>
  </si>
  <si>
    <t xml:space="preserve">Sales minus direct costs. Margin is that as a % of sales.</t>
  </si>
  <si>
    <t xml:space="preserve">Running costs that stay broadly the same whatever you sell – rent, insurance, software, etc.</t>
  </si>
  <si>
    <t xml:space="preserve">Headroom</t>
  </si>
  <si>
    <t xml:space="preserve">How much more you could spend before hitting your overdraft limit.</t>
  </si>
  <si>
    <t xml:space="preserve">Net pay</t>
  </si>
  <si>
    <t xml:space="preserve">What employees actually receive in their bank accounts after tax and deductions.</t>
  </si>
  <si>
    <t xml:space="preserve">PAYE &amp; NI</t>
  </si>
  <si>
    <t xml:space="preserve">Income tax and National Insurance deducted from wages plus employer's NI, paid to HMRC monthly (by the 22nd).</t>
  </si>
  <si>
    <t xml:space="preserve">Time to pay</t>
  </si>
  <si>
    <t xml:space="preserve">An agreement with HMRC to pay a tax debt in instalments.</t>
  </si>
  <si>
    <t xml:space="preserve">COMMON QUESTIONS</t>
  </si>
  <si>
    <t xml:space="preserve">I need more lines</t>
  </si>
  <si>
    <t xml:space="preserve">There are 60 lines for debtors and creditors, 40 for overheads, 20 for payroll &amp; tax, 12 for finance and 10 sales/cost streams. Group smaller items together if you run out, or ask your adviser to extend the sheet.</t>
  </si>
  <si>
    <t xml:space="preserve">I can't type in a cell</t>
  </si>
  <si>
    <t xml:space="preserve">Sheets are protected so formulas can't be overwritten by accident. Only the yellow cells can be changed. To unprotect: Review › Unprotect Sheet (no password).</t>
  </si>
  <si>
    <t xml:space="preserve">Pasting from Xero/QuickBooks</t>
  </si>
  <si>
    <t xml:space="preserve">Use Paste Special › Values (or Ctrl+Shift+V) so the yellow cells stay editable.</t>
  </si>
  <si>
    <t xml:space="preserve">Something shows a dash</t>
  </si>
  <si>
    <t xml:space="preserve">A dash means zero.</t>
  </si>
  <si>
    <t xml:space="preserve">The balance looks wrong</t>
  </si>
  <si>
    <t xml:space="preserve">Check the Summary 'Things to check' box, the Debtors/Creditors check cells, and that each overhead has a 'Next payment date' and a 'How often'. Payments with no date are not included.</t>
  </si>
  <si>
    <t xml:space="preserve">Can I forecast monthly instead?</t>
  </si>
  <si>
    <t xml:space="preserve">This tool is weekly because cash problems usually show up week to week. For a 12-month view, ask Castle FD about a monthly forecast.</t>
  </si>
  <si>
    <t xml:space="preserve">This forecast is a planning tool based on your own assumptions. It is not a guarantee of future results. Review it regularly and speak to your adviser before making major financing decisions.</t>
  </si>
  <si>
    <t xml:space="preserve">Step 1 – Setup: your business, bank and payment terms</t>
  </si>
  <si>
    <t xml:space="preserve">Fill in the yellow cells. Everything else in the workbook uses these settings.</t>
  </si>
  <si>
    <t xml:space="preserve">1. Your business</t>
  </si>
  <si>
    <t xml:space="preserve">Business name</t>
  </si>
  <si>
    <t xml:space="preserve">Brightwater Fabrications Ltd (fictional example)</t>
  </si>
  <si>
    <t xml:space="preserve">Appears at the top of every sheet.</t>
  </si>
  <si>
    <t xml:space="preserve">Prepared by</t>
  </si>
  <si>
    <t xml:space="preserve">Castle Finance Director</t>
  </si>
  <si>
    <t xml:space="preserve">Who prepared this forecast.</t>
  </si>
  <si>
    <t xml:space="preserve">Date prepared</t>
  </si>
  <si>
    <t xml:space="preserve">The date you last updated the forecast.</t>
  </si>
  <si>
    <t xml:space="preserve">2. Forecast start and bank</t>
  </si>
  <si>
    <t xml:space="preserve">Forecast start date (should be a Monday)</t>
  </si>
  <si>
    <t xml:space="preserve">The first day of week 1. Use a Monday. Each week runs Saturday to Friday, so money that leaves the bank at a weekend falls into the following week, as it would in real life.</t>
  </si>
  <si>
    <t xml:space="preserve">Bank balance at the start date (£)</t>
  </si>
  <si>
    <t xml:space="preserve">Your cleared bank balance on the morning of the start date, from online banking. Add all business current accounts together. If you are overdrawn, enter a minus figure, e.g. -12000.</t>
  </si>
  <si>
    <t xml:space="preserve">Overdraft limit agreed with the bank (£)</t>
  </si>
  <si>
    <t xml:space="preserve">Enter as a positive number. Enter 0 if you have no overdraft.</t>
  </si>
  <si>
    <t xml:space="preserve">Minimum cash you want to keep in the bank (£)</t>
  </si>
  <si>
    <t xml:space="preserve">Your safety buffer. Weeks that fall below it are flagged amber.</t>
  </si>
  <si>
    <t xml:space="preserve">3. VAT</t>
  </si>
  <si>
    <t xml:space="preserve">Is the business VAT registered?</t>
  </si>
  <si>
    <t xml:space="preserve">Yes</t>
  </si>
  <si>
    <t xml:space="preserve">Yes: enter sales and costs EXCLUDING VAT; the workbook adds VAT to work out the cash. No: enter costs INCLUDING any VAT you are charged, and no VAT is added anywhere.</t>
  </si>
  <si>
    <t xml:space="preserve">Standard VAT rate</t>
  </si>
  <si>
    <t xml:space="preserve">20% in the UK at present.</t>
  </si>
  <si>
    <t xml:space="preserve">4. Payment terms</t>
  </si>
  <si>
    <t xml:space="preserve">Debtor days – how many days customers take to pay you, on average</t>
  </si>
  <si>
    <t xml:space="preserve">Used for invoices you have not yet raised (Sales sheet) and for your current debtors list. Not sure? Use the calculator below, or your normal payment terms plus a few days.</t>
  </si>
  <si>
    <t xml:space="preserve">Creditor days – how many days you take to pay suppliers, on average</t>
  </si>
  <si>
    <t xml:space="preserve">Used for future purchases (Direct Costs sheet) and your current creditors list.</t>
  </si>
  <si>
    <t xml:space="preserve">Overdue items: spread them evenly over this many days from the start date</t>
  </si>
  <si>
    <t xml:space="preserve">Invoices that are already overdue cannot be paid in the past. On 'Auto', the forecast spreads them evenly over this many days from the start date (28 = the first four weeks), unless you give a specific date on the Debtors or Creditors sheet.</t>
  </si>
  <si>
    <t xml:space="preserve">Treat customer debts over 120 days old as doubtful (not collected)?</t>
  </si>
  <si>
    <t xml:space="preserve">Yes is the cautious choice: very old debts are left out of the forecast cash. They are shown in the 'Not in forecast' column on the Debtors sheet so nothing is lost.</t>
  </si>
  <si>
    <t xml:space="preserve">Optional calculator – work out your debtor and creditor days</t>
  </si>
  <si>
    <t xml:space="preserve">Trade debtors at your last month end (£, including VAT)</t>
  </si>
  <si>
    <t xml:space="preserve">Total of your aged debtors report.</t>
  </si>
  <si>
    <t xml:space="preserve">Sales on credit in the last 12 months (£, including VAT)</t>
  </si>
  <si>
    <t xml:space="preserve">Total sales invoiced to customers on credit over the past year, including VAT.</t>
  </si>
  <si>
    <t xml:space="preserve">Suggested debtor days</t>
  </si>
  <si>
    <t xml:space="preserve">Debtors ÷ annual credit sales × 365. Copy this figure into the Debtor days cell above if you agree with it.</t>
  </si>
  <si>
    <t xml:space="preserve">Trade creditors at your last month end (£, including VAT)</t>
  </si>
  <si>
    <t xml:space="preserve">Total of your aged creditors report.</t>
  </si>
  <si>
    <t xml:space="preserve">Purchases on credit in the last 12 months (£, including VAT)</t>
  </si>
  <si>
    <t xml:space="preserve">Stock, materials, subcontractors and other supplier invoices paid on credit. Leave out wages, tax and loans.</t>
  </si>
  <si>
    <t xml:space="preserve">Suggested creditor days</t>
  </si>
  <si>
    <t xml:space="preserve">Creditors ÷ annual credit purchases × 365.</t>
  </si>
  <si>
    <t xml:space="preserve">Forecast covers:</t>
  </si>
  <si>
    <t xml:space="preserve">to (end of week 13):</t>
  </si>
  <si>
    <t xml:space="preserve">Summary – the headlines from your 13-week forecast</t>
  </si>
  <si>
    <t xml:space="preserve">Calculated. Read this first after filling in the input sheets.</t>
  </si>
  <si>
    <t xml:space="preserve">CASH</t>
  </si>
  <si>
    <t xml:space="preserve">SALES, COSTS AND PROFIT (13 weeks, excluding VAT)</t>
  </si>
  <si>
    <t xml:space="preserve">Bank balance at the start</t>
  </si>
  <si>
    <t xml:space="preserve">Total sales</t>
  </si>
  <si>
    <t xml:space="preserve">Bank balance at the end of week 13</t>
  </si>
  <si>
    <t xml:space="preserve">Direct costs</t>
  </si>
  <si>
    <t xml:space="preserve">Change over 13 weeks</t>
  </si>
  <si>
    <t xml:space="preserve">Gross profit</t>
  </si>
  <si>
    <t xml:space="preserve">Lowest balance in the period</t>
  </si>
  <si>
    <t xml:space="preserve">Gross margin</t>
  </si>
  <si>
    <t xml:space="preserve">…in the week ending</t>
  </si>
  <si>
    <t xml:space="preserve">Overheads and staff costs</t>
  </si>
  <si>
    <t xml:space="preserve">Overdraft limit</t>
  </si>
  <si>
    <t xml:space="preserve">Operating profit / (loss)</t>
  </si>
  <si>
    <t xml:space="preserve">Lowest headroom (balance + overdraft)</t>
  </si>
  <si>
    <t xml:space="preserve">Operating margin</t>
  </si>
  <si>
    <t xml:space="preserve">Weeks below your minimum buffer</t>
  </si>
  <si>
    <t xml:space="preserve">Weeks over the overdraft limit</t>
  </si>
  <si>
    <t xml:space="preserve">THINGS TO CHECK</t>
  </si>
  <si>
    <t xml:space="preserve">Customer debts not collected in the 13 weeks</t>
  </si>
  <si>
    <t xml:space="preserve">Overall position</t>
  </si>
  <si>
    <t xml:space="preserve">Supplier bills not paid in the 13 weeks</t>
  </si>
  <si>
    <t xml:space="preserve">New sales cash arriving after week 13</t>
  </si>
  <si>
    <t xml:space="preserve">CASH IN AND OUT (13 weeks)</t>
  </si>
  <si>
    <t xml:space="preserve">Debtors agree to your report?</t>
  </si>
  <si>
    <t xml:space="preserve">Total cash in</t>
  </si>
  <si>
    <t xml:space="preserve">Creditors agree to your report?</t>
  </si>
  <si>
    <t xml:space="preserve">Total cash out</t>
  </si>
  <si>
    <t xml:space="preserve">Net cash flow</t>
  </si>
  <si>
    <t xml:space="preserve">STRESS SCENARIOS (see the Scenarios sheet)</t>
  </si>
  <si>
    <t xml:space="preserve">Scenario shown on this Summary and the Cash Flow</t>
  </si>
  <si>
    <t xml:space="preserve">Scenario</t>
  </si>
  <si>
    <t xml:space="preserve">Lowest balance</t>
  </si>
  <si>
    <t xml:space="preserve">Week 13 balance</t>
  </si>
  <si>
    <t xml:space="preserve">Weeks below zero</t>
  </si>
  <si>
    <t xml:space="preserve">13-week cash flow forecast</t>
  </si>
  <si>
    <t xml:space="preserve">Calculated from the input sheets – nothing to type here. Green figures are pulled from another sheet.</t>
  </si>
  <si>
    <t xml:space="preserve">13 weeks</t>
  </si>
  <si>
    <t xml:space="preserve">Total</t>
  </si>
  <si>
    <t xml:space="preserve">Opening bank balance</t>
  </si>
  <si>
    <t xml:space="preserve">CASH IN</t>
  </si>
  <si>
    <t xml:space="preserve">From customers – debts owed at the start (Debtors)</t>
  </si>
  <si>
    <t xml:space="preserve">From customers – new sales (Sales)</t>
  </si>
  <si>
    <t xml:space="preserve">Other money in (Other Cash)</t>
  </si>
  <si>
    <t xml:space="preserve">CASH OUT</t>
  </si>
  <si>
    <t xml:space="preserve">To suppliers – bills owed at the start (Creditors)</t>
  </si>
  <si>
    <t xml:space="preserve">To suppliers – new direct costs (Direct Costs)</t>
  </si>
  <si>
    <t xml:space="preserve">Other money out (Other Cash)</t>
  </si>
  <si>
    <t xml:space="preserve">Net cash flow for the week (in minus out)</t>
  </si>
  <si>
    <t xml:space="preserve">Closing bank balance</t>
  </si>
  <si>
    <t xml:space="preserve">Overdraft limit (shown as a minus)</t>
  </si>
  <si>
    <t xml:space="preserve">Headroom – how much more you could spend</t>
  </si>
  <si>
    <t xml:space="preserve">Minimum cash buffer you set</t>
  </si>
  <si>
    <t xml:space="preserve">Status</t>
  </si>
  <si>
    <t xml:space="preserve">Weeks run Saturday to Friday and are labelled with the Friday date. All figures include VAT where it is paid or received.</t>
  </si>
  <si>
    <t xml:space="preserve">Stress scenarios – what if things go worse than planned?</t>
  </si>
  <si>
    <t xml:space="preserve">Each scenario starts from a suggestion (pick one in row 9). Leave 'Your change' blank to use the suggestion, or type your own figure to override it. Then pick the scenario to show on the Cash Flow, Summary and Profit sheets.</t>
  </si>
  <si>
    <t xml:space="preserve">Scenario shown on Cash Flow, Summary &amp; Profit:</t>
  </si>
  <si>
    <t xml:space="preserve">Base case</t>
  </si>
  <si>
    <t xml:space="preserve">A.  Your scenarios – pick a suggestion, then override any lever in the yellow 'Your change' cells</t>
  </si>
  <si>
    <t xml:space="preserve">Lever</t>
  </si>
  <si>
    <t xml:space="preserve">Scenario 1 suggested</t>
  </si>
  <si>
    <t xml:space="preserve">Scenario 1 your change</t>
  </si>
  <si>
    <t xml:space="preserve">Scenario 2 suggested</t>
  </si>
  <si>
    <t xml:space="preserve">Scenario 2 your change</t>
  </si>
  <si>
    <t xml:space="preserve">Scenario 3 suggested</t>
  </si>
  <si>
    <t xml:space="preserve">Scenario 3 your change</t>
  </si>
  <si>
    <t xml:space="preserve">Shown now</t>
  </si>
  <si>
    <t xml:space="preserve">Start from suggested scenario (pick from the list)</t>
  </si>
  <si>
    <t xml:space="preserve">—</t>
  </si>
  <si>
    <t xml:space="preserve">Customers pay 2 weeks late</t>
  </si>
  <si>
    <t xml:space="preserve">Sales down 20%</t>
  </si>
  <si>
    <t xml:space="preserve">Severe downturn</t>
  </si>
  <si>
    <t xml:space="preserve">Scenario name (type your own in 'Your change' if you like)</t>
  </si>
  <si>
    <t xml:space="preserve">Change in sales (%)</t>
  </si>
  <si>
    <t xml:space="preserve">e.g. -20% = sell a fifth less – new sales. Only direct costs set as a % of sales move with it.</t>
  </si>
  <si>
    <t xml:space="preserve">Customers pay later by (days)</t>
  </si>
  <si>
    <t xml:space="preserve">Extra days on top of your debtor days. Card/cash takings are not delayed.</t>
  </si>
  <si>
    <t xml:space="preserve">Debts owed now that are never collected (%)</t>
  </si>
  <si>
    <t xml:space="preserve">Bad debts – share of the Debtors sheet never paid.</t>
  </si>
  <si>
    <t xml:space="preserve">Increase in direct costs and overheads (%)</t>
  </si>
  <si>
    <t xml:space="preserve">Price rises from suppliers.</t>
  </si>
  <si>
    <t xml:space="preserve">Increase in payroll costs (%)</t>
  </si>
  <si>
    <t xml:space="preserve">Pay rises or extra staff – net pay, PAYE/NI and pensions.</t>
  </si>
  <si>
    <t xml:space="preserve">Suppliers want paying sooner by (days)</t>
  </si>
  <si>
    <t xml:space="preserve">Applies to bills owed now and new direct costs.</t>
  </si>
  <si>
    <t xml:space="preserve">One-off cash hit 1 (£, minus = money out)</t>
  </si>
  <si>
    <t xml:space="preserve">An unexpected bill or lost receipt. Plus = unexpected receipt.</t>
  </si>
  <si>
    <t xml:space="preserve">…in week (1–13)</t>
  </si>
  <si>
    <t xml:space="preserve">One-off cash hit 2 (£, minus = money out)</t>
  </si>
  <si>
    <t xml:space="preserve">B.  Results – closing bank balance each week under every scenario</t>
  </si>
  <si>
    <t xml:space="preserve">Week ending</t>
  </si>
  <si>
    <t xml:space="preserve">Week of lowest</t>
  </si>
  <si>
    <t xml:space="preserve">Change in weekly cash flow for the scenario shown (feeds the Cash Flow sheet)</t>
  </si>
  <si>
    <t xml:space="preserve">How it works: each lever adjusts the base forecast's weekly cash lines – it does not change anything you typed on the other sheets. VAT on the changed sales and costs is not re-estimated.</t>
  </si>
  <si>
    <t xml:space="preserve">D.  Suggested scenarios – the starting points for row 9.  You can edit these, or add your own in the blank rows.</t>
  </si>
  <si>
    <t xml:space="preserve">Suggested scenario</t>
  </si>
  <si>
    <t xml:space="preserve">Sales %</t>
  </si>
  <si>
    <t xml:space="preserve">Pay later (days)</t>
  </si>
  <si>
    <t xml:space="preserve">Bad debt %</t>
  </si>
  <si>
    <t xml:space="preserve">Cost rise %</t>
  </si>
  <si>
    <t xml:space="preserve">Payroll rise %</t>
  </si>
  <si>
    <t xml:space="preserve">Suppliers sooner (days)</t>
  </si>
  <si>
    <t xml:space="preserve">One-off 1 £</t>
  </si>
  <si>
    <t xml:space="preserve">Week</t>
  </si>
  <si>
    <t xml:space="preserve">One-off 2 £</t>
  </si>
  <si>
    <t xml:space="preserve">What it tests</t>
  </si>
  <si>
    <t xml:space="preserve">Everyone takes two weeks longer to pay.</t>
  </si>
  <si>
    <t xml:space="preserve">Customers pay 4 weeks late</t>
  </si>
  <si>
    <t xml:space="preserve">A serious slowdown in collections.</t>
  </si>
  <si>
    <t xml:space="preserve">Bad debts – 10% never paid</t>
  </si>
  <si>
    <t xml:space="preserve">A tenth of what you are owed now is never collected.</t>
  </si>
  <si>
    <t xml:space="preserve">Sales down 10%</t>
  </si>
  <si>
    <t xml:space="preserve">A softer market.</t>
  </si>
  <si>
    <t xml:space="preserve">A sharp drop in orders or bookings.</t>
  </si>
  <si>
    <t xml:space="preserve">Lose a major customer</t>
  </si>
  <si>
    <t xml:space="preserve">Sales fall 30% and some of their debt goes bad.</t>
  </si>
  <si>
    <t xml:space="preserve">Supplier price rises 5%</t>
  </si>
  <si>
    <t xml:space="preserve">Direct costs and overheads go up.</t>
  </si>
  <si>
    <t xml:space="preserve">Pay rise 5%</t>
  </si>
  <si>
    <t xml:space="preserve">Net pay, PAYE/NI and pensions go up.</t>
  </si>
  <si>
    <t xml:space="preserve">Suppliers cut credit by 2 weeks</t>
  </si>
  <si>
    <t xml:space="preserve">Suppliers want paying two weeks sooner.</t>
  </si>
  <si>
    <t xml:space="preserve">Unexpected £10,000 bill in week 4</t>
  </si>
  <si>
    <t xml:space="preserve">A one-off cash hit, e.g. a tax demand or repair.</t>
  </si>
  <si>
    <t xml:space="preserve">Moderate downturn</t>
  </si>
  <si>
    <t xml:space="preserve">Several things slip a little at once.</t>
  </si>
  <si>
    <t xml:space="preserve">A combined worst case to test your limits.</t>
  </si>
  <si>
    <t xml:space="preserve">C.  Workings – how each scenario changes the weekly cash (do not change)</t>
  </si>
  <si>
    <t xml:space="preserve">Delay helpers (weeks, fraction): customers / suppliers</t>
  </si>
  <si>
    <t xml:space="preserve">+ Customers – debts owed now (later, less bad debts)</t>
  </si>
  <si>
    <t xml:space="preserve">+ Customers – new invoices (volume and later)</t>
  </si>
  <si>
    <t xml:space="preserve">+ Customers – paid on the day (volume)</t>
  </si>
  <si>
    <t xml:space="preserve">– Suppliers – bills owed now (paid sooner)</t>
  </si>
  <si>
    <t xml:space="preserve">– Suppliers – new direct costs (volume, prices, sooner)</t>
  </si>
  <si>
    <t xml:space="preserve">– Overheads (prices)</t>
  </si>
  <si>
    <t xml:space="preserve">– Payroll (pay rises)</t>
  </si>
  <si>
    <t xml:space="preserve">+ One-off cash hits</t>
  </si>
  <si>
    <t xml:space="preserve">Change in weekly cash flow</t>
  </si>
  <si>
    <t xml:space="preserve">Closing bank balance under this scenario</t>
  </si>
  <si>
    <t xml:space="preserve">13-week sales and cost forecast (profit view, excluding VAT)</t>
  </si>
  <si>
    <t xml:space="preserve">Shows whether the business is making money, week by week, separate from when cash moves. Calculated – nothing to type here.</t>
  </si>
  <si>
    <t xml:space="preserve">% of sales</t>
  </si>
  <si>
    <t xml:space="preserve">SALES</t>
  </si>
  <si>
    <t xml:space="preserve">DIRECT COSTS (cost of sales)</t>
  </si>
  <si>
    <t xml:space="preserve">Total direct costs</t>
  </si>
  <si>
    <t xml:space="preserve">GROSS PROFIT</t>
  </si>
  <si>
    <t xml:space="preserve">Gross margin %</t>
  </si>
  <si>
    <t xml:space="preserve">OVERHEADS AND STAFF COSTS</t>
  </si>
  <si>
    <t xml:space="preserve">Total overheads and staff costs</t>
  </si>
  <si>
    <t xml:space="preserve">OPERATING PROFIT / (LOSS)</t>
  </si>
  <si>
    <t xml:space="preserve">Operating margin %</t>
  </si>
  <si>
    <t xml:space="preserve">OPERATING PROFIT AFTER SCENARIO</t>
  </si>
  <si>
    <t xml:space="preserve">Notes:</t>
  </si>
  <si>
    <t xml:space="preserve">• Sales and direct costs are shown in the week they are invoiced. Overheads and staff costs are shown in the week they are paid, which is a fair guide over 13 weeks.</t>
  </si>
  <si>
    <t xml:space="preserve">• Staff costs = net pay + PAYE/NI + pension, which together approximate the full cost of employing people.</t>
  </si>
  <si>
    <t xml:space="preserve">• Not included: depreciation, loan interest (inside the repayments), stock movements, VAT, corporation tax and dividends. This is a management guide, not statutory accounts.</t>
  </si>
  <si>
    <t xml:space="preserve">Step 2 – Debtors: money owed TO you by customers at the start date</t>
  </si>
  <si>
    <t xml:space="preserve">Copy in your aged debtors report (from your accounts software, aged by INVOICE date), one customer per line – or group small ones together on one line. Then choose how each will be collected. Amounts INCLUDING VAT.</t>
  </si>
  <si>
    <t xml:space="preserve">Your aged debtors – type in the yellow cells (£ including VAT).  Weekly columns are calculated.</t>
  </si>
  <si>
    <t xml:space="preserve">Workings – do not change</t>
  </si>
  <si>
    <t xml:space="preserve">#</t>
  </si>
  <si>
    <t xml:space="preserve">Customer (or group, e.g. 'Other small customers')</t>
  </si>
  <si>
    <t xml:space="preserve">0–30 days old</t>
  </si>
  <si>
    <t xml:space="preserve">31–60 days old</t>
  </si>
  <si>
    <t xml:space="preserve">61–90 days old</t>
  </si>
  <si>
    <t xml:space="preserve">91–120 days old</t>
  </si>
  <si>
    <t xml:space="preserve">Over 120 days old</t>
  </si>
  <si>
    <t xml:space="preserve">Total owed</t>
  </si>
  <si>
    <t xml:space="preserve">How will it be collected?</t>
  </si>
  <si>
    <t xml:space="preserve">Expected date</t>
  </si>
  <si>
    <t xml:space="preserve">Weeks / days / months / £ a month</t>
  </si>
  <si>
    <t xml:space="preserve">Debtor days (blank = standard)</t>
  </si>
  <si>
    <t xml:space="preserve">Cash £</t>
  </si>
  <si>
    <t xml:space="preserve">Total in forecast</t>
  </si>
  <si>
    <t xml:space="preserve">Not in forecast</t>
  </si>
  <si>
    <t xml:space="preserve">Notes</t>
  </si>
  <si>
    <t xml:space="preserve">0–30 from</t>
  </si>
  <si>
    <t xml:space="preserve">0–30 to</t>
  </si>
  <si>
    <t xml:space="preserve">31–60 from</t>
  </si>
  <si>
    <t xml:space="preserve">31–60 to</t>
  </si>
  <si>
    <t xml:space="preserve">61–90 from</t>
  </si>
  <si>
    <t xml:space="preserve">61–90 to</t>
  </si>
  <si>
    <t xml:space="preserve">91–120 from</t>
  </si>
  <si>
    <t xml:space="preserve">91–120 to</t>
  </si>
  <si>
    <t xml:space="preserve">120+ from</t>
  </si>
  <si>
    <t xml:space="preserve">120+ to</t>
  </si>
  <si>
    <t xml:space="preserve">Days used</t>
  </si>
  <si>
    <t xml:space="preserve">Instalments</t>
  </si>
  <si>
    <t xml:space="preserve">Method</t>
  </si>
  <si>
    <t xml:space="preserve">Harland Rail Systems</t>
  </si>
  <si>
    <t xml:space="preserve">Auto</t>
  </si>
  <si>
    <t xml:space="preserve">Kestrel Marine</t>
  </si>
  <si>
    <t xml:space="preserve">Northgate Construction</t>
  </si>
  <si>
    <t xml:space="preserve">Pellow Agricultural</t>
  </si>
  <si>
    <t xml:space="preserve">Other customers (about 60 accounts)</t>
  </si>
  <si>
    <t xml:space="preserve">Total debtors</t>
  </si>
  <si>
    <t xml:space="preserve">Check: total per your aged debtors report</t>
  </si>
  <si>
    <t xml:space="preserve">Difference (should be zero)</t>
  </si>
  <si>
    <t xml:space="preserve">Step 3 – Creditors: money you OWE to suppliers at the start date</t>
  </si>
  <si>
    <t xml:space="preserve">Copy in your aged creditors report (from your accounts software, aged by INVOICE date), one supplier per line – or group small ones together on one line. Then choose how each will be paid. Amounts INCLUDING VAT.</t>
  </si>
  <si>
    <t xml:space="preserve">Your aged creditors – type in the yellow cells (£ including VAT).  Weekly columns are calculated.</t>
  </si>
  <si>
    <t xml:space="preserve">Supplier (or group, e.g. 'Other small suppliers')</t>
  </si>
  <si>
    <t xml:space="preserve">How will it be paid?</t>
  </si>
  <si>
    <t xml:space="preserve">Creditor days (blank = standard)</t>
  </si>
  <si>
    <t xml:space="preserve">Midland Steel Stockholders</t>
  </si>
  <si>
    <t xml:space="preserve">Midland Steel – contract order (due 6 Jan)</t>
  </si>
  <si>
    <t xml:space="preserve">Severn Coatings</t>
  </si>
  <si>
    <t xml:space="preserve">Carriers and haulage</t>
  </si>
  <si>
    <t xml:space="preserve">Other suppliers</t>
  </si>
  <si>
    <t xml:space="preserve">Total creditors</t>
  </si>
  <si>
    <t xml:space="preserve">Check: total per your aged creditors report</t>
  </si>
  <si>
    <t xml:space="preserve">Step 4 – Sales forecast (new invoices and takings from the start date onwards)</t>
  </si>
  <si>
    <t xml:space="preserve">Enter sales EXCLUDING VAT. Use a regular amount for steady sales and the weekly columns for extra or one-off amounts (use a minus figure for a quiet week). Do not include invoices already raised – they belong on the Debtors sheet.</t>
  </si>
  <si>
    <t xml:space="preserve">A.  Your sales forecast – type in the yellow cells (£, excluding VAT)</t>
  </si>
  <si>
    <t xml:space="preserve">Sales stream / product / customer group</t>
  </si>
  <si>
    <t xml:space="preserve">Charge VAT?</t>
  </si>
  <si>
    <t xml:space="preserve">% paid on the day</t>
  </si>
  <si>
    <t xml:space="preserve">Regular amount £</t>
  </si>
  <si>
    <t xml:space="preserve">Per</t>
  </si>
  <si>
    <t xml:space="preserve">From week</t>
  </si>
  <si>
    <t xml:space="preserve">Extra £</t>
  </si>
  <si>
    <t xml:space="preserve">Total net £</t>
  </si>
  <si>
    <t xml:space="preserve">Contract fabrication (large accounts)</t>
  </si>
  <si>
    <t xml:space="preserve">Repeat orders (smaller customers)</t>
  </si>
  <si>
    <t xml:space="preserve">B.  Calculated – net sales per week (excluding VAT).  Feeds the Profit sheet.  Do not type here.</t>
  </si>
  <si>
    <t xml:space="preserve">Sales stream</t>
  </si>
  <si>
    <t xml:space="preserve">VAT ×</t>
  </si>
  <si>
    <t xml:space="preserve">% on the day</t>
  </si>
  <si>
    <t xml:space="preserve">Regular £ / week</t>
  </si>
  <si>
    <t xml:space="preserve">Total net sales</t>
  </si>
  <si>
    <t xml:space="preserve">C.  Calculated – cash you will receive from these sales (including VAT).  Feeds the Cash Flow.</t>
  </si>
  <si>
    <t xml:space="preserve">Total cash £</t>
  </si>
  <si>
    <t xml:space="preserve">Received after week 13 £</t>
  </si>
  <si>
    <t xml:space="preserve">Total cash from new sales</t>
  </si>
  <si>
    <t xml:space="preserve">…of which paid on the day (card / cash)</t>
  </si>
  <si>
    <t xml:space="preserve">Invoices raised in a week are treated as dated the Friday of that week. Cash arrives after the debtor days; anything due after week 13 is shown in the last column.</t>
  </si>
  <si>
    <t xml:space="preserve">Step 5 – Direct costs (cost of sales: stock, materials, subcontractors, carriage) from the start date</t>
  </si>
  <si>
    <t xml:space="preserve">Enter costs EXCLUDING VAT (if VAT registered). Link a cost to sales as a % (e.g. materials = 45% of sales), or enter a regular amount, or both. Bills you have already received belong on the Creditors sheet.</t>
  </si>
  <si>
    <t xml:space="preserve">A.  Your direct cost forecast – type in the yellow cells (£, excluding VAT)</t>
  </si>
  <si>
    <t xml:space="preserve">Optional – payment timing</t>
  </si>
  <si>
    <t xml:space="preserve">Cost / supplier</t>
  </si>
  <si>
    <t xml:space="preserve">VAT on it?</t>
  </si>
  <si>
    <t xml:space="preserve">% paid straight away</t>
  </si>
  <si>
    <t xml:space="preserve">…of which sales stream</t>
  </si>
  <si>
    <t xml:space="preserve">Paid monthly on day (1–31)</t>
  </si>
  <si>
    <t xml:space="preserve">Months in arrears (0 / 1)</t>
  </si>
  <si>
    <t xml:space="preserve">Not payable until (date)</t>
  </si>
  <si>
    <t xml:space="preserve">Steel and materials</t>
  </si>
  <si>
    <t xml:space="preserve">All sales</t>
  </si>
  <si>
    <t xml:space="preserve">Subcontract, coatings and carriage</t>
  </si>
  <si>
    <t xml:space="preserve">B.  Calculated – direct costs per week (excluding VAT).  Feeds the Profit sheet.  Do not type here.</t>
  </si>
  <si>
    <t xml:space="preserve">Cost</t>
  </si>
  <si>
    <t xml:space="preserve">% paid now</t>
  </si>
  <si>
    <t xml:space="preserve">C.  Calculated – cash you will pay for these costs (including VAT).  Feeds the Cash Flow.</t>
  </si>
  <si>
    <t xml:space="preserve">Cost not yet paid £</t>
  </si>
  <si>
    <t xml:space="preserve">Total cash paid for new direct costs</t>
  </si>
  <si>
    <t xml:space="preserve">D.  Calculated – the part of these costs that moves with sales (used by the stress scenarios).  Do not type here.</t>
  </si>
  <si>
    <t xml:space="preserve">Share linked</t>
  </si>
  <si>
    <t xml:space="preserve">Sales-linked costs (excluding VAT)</t>
  </si>
  <si>
    <t xml:space="preserve">Sales-linked costs – cash paid (including VAT)</t>
  </si>
  <si>
    <t xml:space="preserve">Step 6 – Overheads: regular and one-off running costs (not wages, tax or loans – they have their own sheets)</t>
  </si>
  <si>
    <t xml:space="preserve">One line per payment. Give the amount, how often, and the next date it will be paid. Payments repeat automatically. Monthly direct debits, standing orders, quarterly rent and annual renewals all go here.</t>
  </si>
  <si>
    <t xml:space="preserve">A.  Your overhead payments – type in the yellow cells</t>
  </si>
  <si>
    <t xml:space="preserve">Description / supplier</t>
  </si>
  <si>
    <t xml:space="preserve">Category</t>
  </si>
  <si>
    <t xml:space="preserve">Amount each time £ (ex VAT)</t>
  </si>
  <si>
    <t xml:space="preserve">How often</t>
  </si>
  <si>
    <t xml:space="preserve">Next payment date</t>
  </si>
  <si>
    <t xml:space="preserve">Last payment date (optional)</t>
  </si>
  <si>
    <t xml:space="preserve">Paid each time £ (inc VAT)</t>
  </si>
  <si>
    <t xml:space="preserve">Paid £</t>
  </si>
  <si>
    <t xml:space="preserve">Total £</t>
  </si>
  <si>
    <t xml:space="preserve">Months apart</t>
  </si>
  <si>
    <t xml:space="preserve">Month index</t>
  </si>
  <si>
    <t xml:space="preserve">End date used</t>
  </si>
  <si>
    <t xml:space="preserve">Category used</t>
  </si>
  <si>
    <t xml:space="preserve">Factory rent (quarter day)</t>
  </si>
  <si>
    <t xml:space="preserve">Premises (rent, rates, service charge)</t>
  </si>
  <si>
    <t xml:space="preserve">Quarterly</t>
  </si>
  <si>
    <t xml:space="preserve">Business rates</t>
  </si>
  <si>
    <t xml:space="preserve">No</t>
  </si>
  <si>
    <t xml:space="preserve">Monthly</t>
  </si>
  <si>
    <t xml:space="preserve">Electricity and gas</t>
  </si>
  <si>
    <t xml:space="preserve">Utilities (gas, electric, water)</t>
  </si>
  <si>
    <t xml:space="preserve">Insurance</t>
  </si>
  <si>
    <t xml:space="preserve">Xero, CAD and IT support</t>
  </si>
  <si>
    <t xml:space="preserve">IT &amp; software</t>
  </si>
  <si>
    <t xml:space="preserve">Phones and broadband</t>
  </si>
  <si>
    <t xml:space="preserve">Telephone &amp; internet</t>
  </si>
  <si>
    <t xml:space="preserve">Marketing and trade shows</t>
  </si>
  <si>
    <t xml:space="preserve">Marketing &amp; advertising</t>
  </si>
  <si>
    <t xml:space="preserve">Accountants and legal</t>
  </si>
  <si>
    <t xml:space="preserve">Professional fees</t>
  </si>
  <si>
    <t xml:space="preserve">Vans, fuel and travel</t>
  </si>
  <si>
    <t xml:space="preserve">Motor &amp; travel</t>
  </si>
  <si>
    <t xml:space="preserve">Bank charges</t>
  </si>
  <si>
    <t xml:space="preserve">Bank charges &amp; interest</t>
  </si>
  <si>
    <t xml:space="preserve">Other running costs</t>
  </si>
  <si>
    <t xml:space="preserve">Other overheads</t>
  </si>
  <si>
    <t xml:space="preserve">Total overheads</t>
  </si>
  <si>
    <t xml:space="preserve">B.  Calculated – cash paid by category (including VAT).  Feeds the Cash Flow.</t>
  </si>
  <si>
    <t xml:space="preserve">C.  Calculated – cost by category (excluding VAT).  Feeds the Profit sheet.</t>
  </si>
  <si>
    <t xml:space="preserve">Step 7 – Payroll and tax: wages, PAYE/NI, pensions, VAT returns, corporation tax and HMRC arrangements</t>
  </si>
  <si>
    <t xml:space="preserve">Wages: enter the NET pay that leaves the bank. PAYE &amp; NI is usually paid by the 22nd of the following month. Enter each VAT return and corporation tax bill as a One-off on its due date.</t>
  </si>
  <si>
    <t xml:space="preserve">A.  Your payroll and tax payments – type in the yellow cells</t>
  </si>
  <si>
    <t xml:space="preserve">Type</t>
  </si>
  <si>
    <t xml:space="preserve">Amount each time £</t>
  </si>
  <si>
    <t xml:space="preserve">Paid each time £</t>
  </si>
  <si>
    <t xml:space="preserve">Monthly payroll (net pay)</t>
  </si>
  <si>
    <t xml:space="preserve">Wages (net pay)</t>
  </si>
  <si>
    <t xml:space="preserve">December payroll (paid early, 18 Dec)</t>
  </si>
  <si>
    <t xml:space="preserve">One-off</t>
  </si>
  <si>
    <t xml:space="preserve">PAYE and NI to HMRC</t>
  </si>
  <si>
    <t xml:space="preserve">Workplace pension</t>
  </si>
  <si>
    <t xml:space="preserve">Pension</t>
  </si>
  <si>
    <t xml:space="preserve">VAT return – quarter to 30 Nov</t>
  </si>
  <si>
    <t xml:space="preserve">Corporation tax – year to 31 Mar 2026</t>
  </si>
  <si>
    <t xml:space="preserve">Corporation tax</t>
  </si>
  <si>
    <t xml:space="preserve">January payroll onwards (net pay)</t>
  </si>
  <si>
    <t xml:space="preserve">Total payroll &amp; tax</t>
  </si>
  <si>
    <t xml:space="preserve">B.  Calculated – payments by type.  Feeds the Cash Flow (and wages/PAYE/pension feed the Profit sheet).</t>
  </si>
  <si>
    <t xml:space="preserve">C.  VAT helper (information only) – VAT arising on the NEW sales and costs in this forecast</t>
  </si>
  <si>
    <t xml:space="preserve">VAT on new sales (output VAT)</t>
  </si>
  <si>
    <t xml:space="preserve">VAT on new direct costs (input VAT)</t>
  </si>
  <si>
    <t xml:space="preserve">VAT on overheads paid (input VAT)</t>
  </si>
  <si>
    <t xml:space="preserve">Net VAT arising (payable if positive)</t>
  </si>
  <si>
    <t xml:space="preserve">Use this to sanity-check the VAT return amounts you enter above. It does not include VAT on invoices already on your Debtors/Creditors lists, or VAT already owed for past periods.</t>
  </si>
  <si>
    <t xml:space="preserve">Step 8 – Loans and finance repayments: bank loans, hire purchase, leases and credit cards</t>
  </si>
  <si>
    <t xml:space="preserve">Enter the amount that leaves the bank each time (capital + interest). Use 'Last payment date' if the agreement ends within the forecast.</t>
  </si>
  <si>
    <t xml:space="preserve">A.  Your finance repayments – type in the yellow cells</t>
  </si>
  <si>
    <t xml:space="preserve">Bank loan</t>
  </si>
  <si>
    <t xml:space="preserve">Loan repayment</t>
  </si>
  <si>
    <t xml:space="preserve">Hire purchase – press brake</t>
  </si>
  <si>
    <t xml:space="preserve">Hire purchase / lease</t>
  </si>
  <si>
    <t xml:space="preserve">Total finance repayments</t>
  </si>
  <si>
    <t xml:space="preserve">B.  Calculated – repayments by type.  Feeds the Cash Flow.</t>
  </si>
  <si>
    <t xml:space="preserve">Step 9 – Other cash in and out: one-off items that are not sales or running costs</t>
  </si>
  <si>
    <t xml:space="preserve">Type the amount in the week it will hit the bank. Examples: a new loan received, a grant, money put in by the owners, selling equipment, buying equipment, dividends or drawings. Include VAT where it applies.</t>
  </si>
  <si>
    <t xml:space="preserve">A.  Other money coming in (£)</t>
  </si>
  <si>
    <t xml:space="preserve">Total other money in</t>
  </si>
  <si>
    <t xml:space="preserve">B.  Other money going out (£)</t>
  </si>
  <si>
    <t xml:space="preserve">Total other money out</t>
  </si>
  <si>
    <t xml:space="preserve">Yes/No</t>
  </si>
  <si>
    <t xml:space="preserve">Frequency</t>
  </si>
  <si>
    <t xml:space="preserve">Overhead categories</t>
  </si>
  <si>
    <t xml:space="preserve">Payroll &amp; tax types</t>
  </si>
  <si>
    <t xml:space="preserve">Finance types</t>
  </si>
  <si>
    <t xml:space="preserve">Debtor timing</t>
  </si>
  <si>
    <t xml:space="preserve">Creditor timing</t>
  </si>
  <si>
    <t xml:space="preserve">Sales streams</t>
  </si>
  <si>
    <t xml:space="preserve">Xero timing</t>
  </si>
  <si>
    <t xml:space="preserve">Debtor auto (Xero)</t>
  </si>
  <si>
    <t xml:space="preserve">Debtor timing (Xero)</t>
  </si>
  <si>
    <t xml:space="preserve">Weekly</t>
  </si>
  <si>
    <t xml:space="preserve">Debtor/creditor days</t>
  </si>
  <si>
    <t xml:space="preserve">Together – one payment per customer</t>
  </si>
  <si>
    <t xml:space="preserve">Month</t>
  </si>
  <si>
    <t xml:space="preserve">Xero payment terms</t>
  </si>
  <si>
    <t xml:space="preserve">By invoice – each on its own date</t>
  </si>
  <si>
    <t xml:space="preserve">Together</t>
  </si>
  <si>
    <t xml:space="preserve">Credit card</t>
  </si>
  <si>
    <t xml:space="preserve">Spread over days</t>
  </si>
  <si>
    <t xml:space="preserve">Spread by age</t>
  </si>
  <si>
    <t xml:space="preserve">By invoice</t>
  </si>
  <si>
    <t xml:space="preserve">Annually</t>
  </si>
  <si>
    <t xml:space="preserve">Other finance</t>
  </si>
  <si>
    <t xml:space="preserve">Monthly on set day</t>
  </si>
  <si>
    <t xml:space="preserve">Monthly fixed amount</t>
  </si>
  <si>
    <t xml:space="preserve">HMRC time to pay</t>
  </si>
  <si>
    <t xml:space="preserve">Doubtful</t>
  </si>
  <si>
    <t xml:space="preserve">On hold</t>
  </si>
  <si>
    <t xml:space="preserve">Other tax</t>
  </si>
  <si>
    <t xml:space="preserve">Calendar (drives every sheet – do not change)</t>
  </si>
  <si>
    <t xml:space="preserve">Week number</t>
  </si>
  <si>
    <t xml:space="preserve">Week ending (Friday)</t>
  </si>
  <si>
    <t xml:space="preserve">Earlier cut-off – ledgers (week 1 catches anything earlier)</t>
  </si>
  <si>
    <t xml:space="preserve">Earlier cut-off – scheduled payments</t>
  </si>
  <si>
    <t xml:space="preserve">Week starts (Monday)</t>
  </si>
  <si>
    <t xml:space="preserve">Chart labels</t>
  </si>
</sst>
</file>

<file path=xl/styles.xml><?xml version="1.0" encoding="utf-8"?>
<styleSheet xmlns="http://schemas.openxmlformats.org/spreadsheetml/2006/main">
  <numFmts count="11">
    <numFmt numFmtId="164" formatCode="General"/>
    <numFmt numFmtId="165" formatCode="dd\ mmm\ yy"/>
    <numFmt numFmtId="166" formatCode="#,##0;[RED]\(#,##0\);\-"/>
    <numFmt numFmtId="167" formatCode="0%"/>
    <numFmt numFmtId="168" formatCode="0"/>
    <numFmt numFmtId="169" formatCode="0.0%"/>
    <numFmt numFmtId="170" formatCode="#,##0"/>
    <numFmt numFmtId="171" formatCode="dd\-mmm\-yy"/>
    <numFmt numFmtId="172" formatCode="0%;\-0%;\-"/>
    <numFmt numFmtId="173" formatCode="0;\-0;\-"/>
    <numFmt numFmtId="174" formatCode="0.00"/>
  </numFmts>
  <fonts count="26">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20"/>
      <color rgb="FF002060"/>
      <name val="Arial"/>
      <family val="0"/>
      <charset val="1"/>
    </font>
    <font>
      <b val="true"/>
      <sz val="11"/>
      <color rgb="FF404040"/>
      <name val="Arial"/>
      <family val="0"/>
      <charset val="1"/>
    </font>
    <font>
      <b val="true"/>
      <sz val="10"/>
      <color rgb="FFFFFFFF"/>
      <name val="Arial"/>
      <family val="0"/>
      <charset val="1"/>
    </font>
    <font>
      <sz val="10"/>
      <name val="Arial"/>
      <family val="0"/>
      <charset val="1"/>
    </font>
    <font>
      <sz val="10"/>
      <color rgb="FF0000FF"/>
      <name val="Arial"/>
      <family val="0"/>
      <charset val="1"/>
    </font>
    <font>
      <sz val="10"/>
      <color rgb="FF008000"/>
      <name val="Arial"/>
      <family val="0"/>
      <charset val="1"/>
    </font>
    <font>
      <b val="true"/>
      <sz val="10"/>
      <color rgb="FF000000"/>
      <name val="Arial"/>
      <family val="0"/>
      <charset val="1"/>
    </font>
    <font>
      <b val="true"/>
      <sz val="10"/>
      <name val="Arial"/>
      <family val="0"/>
      <charset val="1"/>
    </font>
    <font>
      <b val="true"/>
      <sz val="16"/>
      <color rgb="FF002060"/>
      <name val="Arial"/>
      <family val="0"/>
      <charset val="1"/>
    </font>
    <font>
      <i val="true"/>
      <sz val="9"/>
      <color rgb="FF595959"/>
      <name val="Arial"/>
      <family val="0"/>
      <charset val="1"/>
    </font>
    <font>
      <b val="true"/>
      <sz val="10"/>
      <color rgb="FFC00000"/>
      <name val="Arial"/>
      <family val="0"/>
      <charset val="1"/>
    </font>
    <font>
      <b val="true"/>
      <sz val="11"/>
      <color rgb="FF002060"/>
      <name val="Arial"/>
      <family val="0"/>
      <charset val="1"/>
    </font>
    <font>
      <b val="true"/>
      <sz val="11"/>
      <name val="Arial"/>
      <family val="0"/>
      <charset val="1"/>
    </font>
    <font>
      <b val="true"/>
      <sz val="10"/>
      <color rgb="FFC55A11"/>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C55A11"/>
      <name val="Arial"/>
      <family val="0"/>
      <charset val="1"/>
    </font>
    <font>
      <sz val="9"/>
      <color rgb="FF808080"/>
      <name val="Arial"/>
      <family val="0"/>
      <charset val="1"/>
    </font>
    <font>
      <b val="true"/>
      <sz val="10"/>
      <color rgb="FF002060"/>
      <name val="Arial"/>
      <family val="0"/>
      <charset val="1"/>
    </font>
    <font>
      <sz val="10"/>
      <name val="Arial"/>
      <family val="2"/>
    </font>
  </fonts>
  <fills count="10">
    <fill>
      <patternFill patternType="none"/>
    </fill>
    <fill>
      <patternFill patternType="gray125"/>
    </fill>
    <fill>
      <patternFill patternType="solid">
        <fgColor rgb="FF002060"/>
        <bgColor rgb="FF000080"/>
      </patternFill>
    </fill>
    <fill>
      <patternFill patternType="solid">
        <fgColor rgb="FFFFF2CC"/>
        <bgColor rgb="FFF2F2F2"/>
      </patternFill>
    </fill>
    <fill>
      <patternFill patternType="solid">
        <fgColor rgb="FFF2F2F2"/>
        <bgColor rgb="FFE7ECF5"/>
      </patternFill>
    </fill>
    <fill>
      <patternFill patternType="solid">
        <fgColor rgb="FFC9A227"/>
        <bgColor rgb="FFED7D31"/>
      </patternFill>
    </fill>
    <fill>
      <patternFill patternType="solid">
        <fgColor rgb="FF548235"/>
        <bgColor rgb="FF595959"/>
      </patternFill>
    </fill>
    <fill>
      <patternFill patternType="solid">
        <fgColor rgb="FFDDEBF7"/>
        <bgColor rgb="FFE7ECF5"/>
      </patternFill>
    </fill>
    <fill>
      <patternFill patternType="solid">
        <fgColor rgb="FFD9E1F2"/>
        <bgColor rgb="FFDDEBF7"/>
      </patternFill>
    </fill>
    <fill>
      <patternFill patternType="solid">
        <fgColor rgb="FFE7ECF5"/>
        <bgColor rgb="FFDDEBF7"/>
      </patternFill>
    </fill>
  </fills>
  <borders count="4">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 diagonalUp="false" diagonalDown="false">
      <left/>
      <right/>
      <top style="thin"/>
      <bottom style="double"/>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2" borderId="0" xfId="0" applyFont="tru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general" vertical="top" textRotation="0" wrapText="true" indent="0" shrinkToFit="false"/>
      <protection locked="true" hidden="false"/>
    </xf>
    <xf numFmtId="164" fontId="9" fillId="3" borderId="1" xfId="0" applyFont="tru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8" fillId="4" borderId="1" xfId="0" applyFont="true" applyBorder="true" applyAlignment="true" applyProtection="true">
      <alignment horizontal="general" vertical="bottom" textRotation="0" wrapText="fals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64" fontId="7" fillId="2" borderId="1"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11" fillId="5" borderId="1" xfId="0" applyFont="true" applyBorder="tru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4" fontId="7" fillId="6" borderId="1" xfId="0" applyFont="true" applyBorder="true" applyAlignment="true" applyProtection="true">
      <alignment horizontal="general" vertical="bottom" textRotation="0" wrapText="false" indent="0" shrinkToFit="false"/>
      <protection locked="true" hidden="false"/>
    </xf>
    <xf numFmtId="164" fontId="12" fillId="7" borderId="0" xfId="0" applyFont="true" applyBorder="false" applyAlignment="true" applyProtection="true">
      <alignment horizontal="general" vertical="top" textRotation="0" wrapText="tru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center" textRotation="0" wrapText="true" indent="0" shrinkToFit="false"/>
      <protection locked="true" hidden="false"/>
    </xf>
    <xf numFmtId="164" fontId="9" fillId="3" borderId="1" xfId="0" applyFont="true" applyBorder="true" applyAlignment="true" applyProtection="true">
      <alignment horizontal="left" vertical="center" textRotation="0" wrapText="false" indent="0" shrinkToFit="false"/>
      <protection locked="false" hidden="false"/>
    </xf>
    <xf numFmtId="164" fontId="14" fillId="0" borderId="0" xfId="0" applyFont="true" applyBorder="false" applyAlignment="true" applyProtection="true">
      <alignment horizontal="general" vertical="center" textRotation="0" wrapText="true" indent="0" shrinkToFit="false"/>
      <protection locked="true" hidden="false"/>
    </xf>
    <xf numFmtId="165" fontId="9" fillId="3" borderId="1" xfId="0" applyFont="true" applyBorder="true" applyAlignment="true" applyProtection="true">
      <alignment horizontal="right" vertical="center" textRotation="0" wrapText="false" indent="0" shrinkToFit="false"/>
      <protection locked="false" hidden="false"/>
    </xf>
    <xf numFmtId="166" fontId="9" fillId="3" borderId="1" xfId="0" applyFont="true" applyBorder="true" applyAlignment="true" applyProtection="true">
      <alignment horizontal="right" vertical="center" textRotation="0" wrapText="false" indent="0" shrinkToFit="false"/>
      <protection locked="false" hidden="false"/>
    </xf>
    <xf numFmtId="167" fontId="9" fillId="3" borderId="1" xfId="0" applyFont="true" applyBorder="true" applyAlignment="true" applyProtection="true">
      <alignment horizontal="right" vertical="center" textRotation="0" wrapText="false" indent="0" shrinkToFit="false"/>
      <protection locked="false" hidden="false"/>
    </xf>
    <xf numFmtId="168" fontId="9" fillId="3" borderId="1" xfId="0" applyFont="true" applyBorder="true" applyAlignment="true" applyProtection="true">
      <alignment horizontal="right" vertical="center" textRotation="0" wrapText="false" indent="0" shrinkToFit="false"/>
      <protection locked="false" hidden="false"/>
    </xf>
    <xf numFmtId="168" fontId="12" fillId="4" borderId="1" xfId="0" applyFont="true" applyBorder="true" applyAlignment="true" applyProtection="true">
      <alignment horizontal="right" vertical="center" textRotation="0" wrapText="false" indent="0" shrinkToFit="false"/>
      <protection locked="true" hidden="false"/>
    </xf>
    <xf numFmtId="165" fontId="12"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6" fontId="12" fillId="0" borderId="1" xfId="0" applyFont="true" applyBorder="true" applyAlignment="true" applyProtection="true">
      <alignment horizontal="general" vertical="bottom" textRotation="0" wrapText="false" indent="0" shrinkToFit="false"/>
      <protection locked="true" hidden="false"/>
    </xf>
    <xf numFmtId="169" fontId="12" fillId="0" borderId="1" xfId="0" applyFont="true" applyBorder="true" applyAlignment="true" applyProtection="true">
      <alignment horizontal="general" vertical="bottom" textRotation="0" wrapText="false" indent="0" shrinkToFit="false"/>
      <protection locked="true" hidden="false"/>
    </xf>
    <xf numFmtId="165" fontId="12" fillId="0" borderId="1" xfId="0" applyFont="true" applyBorder="true" applyAlignment="true" applyProtection="true">
      <alignment horizontal="general" vertical="bottom" textRotation="0" wrapText="false" indent="0" shrinkToFit="false"/>
      <protection locked="true" hidden="false"/>
    </xf>
    <xf numFmtId="168" fontId="12" fillId="0" borderId="1" xfId="0" applyFont="true" applyBorder="true" applyAlignment="true" applyProtection="true">
      <alignment horizontal="general" vertical="bottom" textRotation="0" wrapText="false" indent="0" shrinkToFit="false"/>
      <protection locked="true" hidden="false"/>
    </xf>
    <xf numFmtId="166" fontId="12" fillId="0" borderId="1" xfId="0" applyFont="true" applyBorder="true" applyAlignment="true" applyProtection="true">
      <alignment horizontal="right" vertical="bottom" textRotation="0" wrapText="false" indent="0" shrinkToFit="tru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7" fillId="0" borderId="1"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right" vertical="bottom" textRotation="0" wrapText="false" indent="0" shrinkToFit="true"/>
      <protection locked="true" hidden="false"/>
    </xf>
    <xf numFmtId="164" fontId="18" fillId="0" borderId="1" xfId="0" applyFont="true" applyBorder="true" applyAlignment="true" applyProtection="true">
      <alignment horizontal="general" vertical="bottom" textRotation="0" wrapText="false" indent="0" shrinkToFit="false"/>
      <protection locked="true" hidden="false"/>
    </xf>
    <xf numFmtId="164" fontId="12" fillId="8" borderId="0" xfId="0" applyFont="true" applyBorder="false" applyAlignment="true" applyProtection="true">
      <alignment horizontal="general" vertical="bottom" textRotation="0" wrapText="false" indent="0" shrinkToFit="false"/>
      <protection locked="true" hidden="false"/>
    </xf>
    <xf numFmtId="164" fontId="12" fillId="8" borderId="0" xfId="0" applyFont="true" applyBorder="false" applyAlignment="true" applyProtection="true">
      <alignment horizontal="center" vertical="center" textRotation="0" wrapText="true" indent="0" shrinkToFit="false"/>
      <protection locked="true" hidden="false"/>
    </xf>
    <xf numFmtId="166" fontId="10" fillId="0" borderId="1" xfId="0" applyFont="true" applyBorder="true" applyAlignment="true" applyProtection="true">
      <alignment horizontal="general" vertical="bottom" textRotation="0" wrapText="false" indent="0" shrinkToFit="false"/>
      <protection locked="true" hidden="false"/>
    </xf>
    <xf numFmtId="168" fontId="10" fillId="0" borderId="1" xfId="0" applyFont="true" applyBorder="true" applyAlignment="true" applyProtection="true">
      <alignment horizontal="general" vertical="bottom" textRotation="0" wrapText="false" indent="0" shrinkToFit="false"/>
      <protection locked="true" hidden="false"/>
    </xf>
    <xf numFmtId="171" fontId="12" fillId="8" borderId="0" xfId="0" applyFont="true" applyBorder="false" applyAlignment="true" applyProtection="true">
      <alignment horizontal="center" vertical="center" textRotation="0" wrapText="true" indent="0" shrinkToFit="false"/>
      <protection locked="true" hidden="false"/>
    </xf>
    <xf numFmtId="166" fontId="12" fillId="0" borderId="0" xfId="0" applyFont="true" applyBorder="false" applyAlignment="true" applyProtection="true">
      <alignment horizontal="general" vertical="bottom" textRotation="0" wrapText="false" indent="0" shrinkToFit="false"/>
      <protection locked="true" hidden="false"/>
    </xf>
    <xf numFmtId="166" fontId="10" fillId="0" borderId="0" xfId="0" applyFont="true" applyBorder="false" applyAlignment="true" applyProtection="true">
      <alignment horizontal="general" vertical="bottom" textRotation="0" wrapText="false" indent="0" shrinkToFit="false"/>
      <protection locked="true" hidden="false"/>
    </xf>
    <xf numFmtId="166" fontId="12" fillId="9" borderId="2" xfId="0" applyFont="true" applyBorder="tru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6" fontId="22" fillId="0" borderId="0" xfId="0" applyFont="true" applyBorder="false" applyAlignment="true" applyProtection="true">
      <alignment horizontal="general" vertical="bottom" textRotation="0" wrapText="false" indent="0" shrinkToFit="false"/>
      <protection locked="true" hidden="false"/>
    </xf>
    <xf numFmtId="166" fontId="18" fillId="0" borderId="0" xfId="0" applyFont="true" applyBorder="false" applyAlignment="true" applyProtection="true">
      <alignment horizontal="general" vertical="bottom" textRotation="0" wrapText="false" indent="0" shrinkToFit="false"/>
      <protection locked="true" hidden="false"/>
    </xf>
    <xf numFmtId="166" fontId="17" fillId="7" borderId="2" xfId="0" applyFont="true" applyBorder="tru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center" vertical="center" textRotation="0" wrapText="true" indent="0" shrinkToFit="false"/>
      <protection locked="true" hidden="false"/>
    </xf>
    <xf numFmtId="164" fontId="9" fillId="3" borderId="1" xfId="0" applyFont="true" applyBorder="true" applyAlignment="true" applyProtection="true">
      <alignment horizontal="general" vertical="bottom" textRotation="0" wrapText="false" indent="0" shrinkToFit="false"/>
      <protection locked="false" hidden="false"/>
    </xf>
    <xf numFmtId="164" fontId="12" fillId="8" borderId="1" xfId="0" applyFont="true" applyBorder="true" applyAlignment="true" applyProtection="true">
      <alignment horizontal="center" vertical="center" textRotation="0" wrapText="true" indent="0" shrinkToFit="false"/>
      <protection locked="true" hidden="false"/>
    </xf>
    <xf numFmtId="164" fontId="8" fillId="4" borderId="1" xfId="0" applyFont="true" applyBorder="true" applyAlignment="true" applyProtection="true">
      <alignment horizontal="center" vertical="center" textRotation="0" wrapText="true" indent="0" shrinkToFit="false"/>
      <protection locked="true" hidden="false"/>
    </xf>
    <xf numFmtId="164" fontId="9" fillId="3" borderId="1" xfId="0" applyFont="true" applyBorder="true" applyAlignment="true" applyProtection="true">
      <alignment horizontal="center" vertical="center" textRotation="0" wrapText="true" indent="0" shrinkToFit="false"/>
      <protection locked="false" hidden="false"/>
    </xf>
    <xf numFmtId="164" fontId="12" fillId="4" borderId="1" xfId="0" applyFont="true" applyBorder="true" applyAlignment="true" applyProtection="true">
      <alignment horizontal="center" vertical="center" textRotation="0" wrapText="true" indent="0" shrinkToFit="false"/>
      <protection locked="true" hidden="false"/>
    </xf>
    <xf numFmtId="164" fontId="8" fillId="4" borderId="1" xfId="0" applyFont="true" applyBorder="true" applyAlignment="true" applyProtection="true">
      <alignment horizontal="center" vertical="bottom" textRotation="0" wrapText="true" indent="0" shrinkToFit="false"/>
      <protection locked="true" hidden="false"/>
    </xf>
    <xf numFmtId="164" fontId="9" fillId="3" borderId="1" xfId="0" applyFont="true" applyBorder="true" applyAlignment="true" applyProtection="true">
      <alignment horizontal="center" vertical="bottom" textRotation="0" wrapText="true" indent="0" shrinkToFit="false"/>
      <protection locked="false" hidden="false"/>
    </xf>
    <xf numFmtId="164" fontId="12" fillId="7" borderId="1" xfId="0" applyFont="true" applyBorder="true" applyAlignment="true" applyProtection="true">
      <alignment horizontal="center" vertical="bottom" textRotation="0" wrapText="tru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72" fontId="8" fillId="4" borderId="1" xfId="0" applyFont="true" applyBorder="true" applyAlignment="true" applyProtection="true">
      <alignment horizontal="center" vertical="center" textRotation="0" wrapText="true" indent="0" shrinkToFit="false"/>
      <protection locked="true" hidden="false"/>
    </xf>
    <xf numFmtId="172" fontId="9" fillId="3" borderId="1" xfId="0" applyFont="true" applyBorder="true" applyAlignment="true" applyProtection="true">
      <alignment horizontal="center" vertical="center" textRotation="0" wrapText="true" indent="0" shrinkToFit="false"/>
      <protection locked="false" hidden="false"/>
    </xf>
    <xf numFmtId="172" fontId="8" fillId="7" borderId="1" xfId="0" applyFont="true" applyBorder="true" applyAlignment="true" applyProtection="true">
      <alignment horizontal="center" vertical="bottom" textRotation="0" wrapText="true" indent="0" shrinkToFit="false"/>
      <protection locked="true" hidden="false"/>
    </xf>
    <xf numFmtId="172" fontId="23" fillId="0" borderId="0" xfId="0" applyFont="true" applyBorder="false" applyAlignment="true" applyProtection="true">
      <alignment horizontal="general" vertical="bottom" textRotation="0" wrapText="false" indent="0" shrinkToFit="false"/>
      <protection locked="true" hidden="false"/>
    </xf>
    <xf numFmtId="173" fontId="8" fillId="4" borderId="1" xfId="0" applyFont="true" applyBorder="true" applyAlignment="true" applyProtection="true">
      <alignment horizontal="center" vertical="center" textRotation="0" wrapText="true" indent="0" shrinkToFit="false"/>
      <protection locked="true" hidden="false"/>
    </xf>
    <xf numFmtId="173" fontId="9" fillId="3" borderId="1" xfId="0" applyFont="true" applyBorder="true" applyAlignment="true" applyProtection="true">
      <alignment horizontal="center" vertical="center" textRotation="0" wrapText="true" indent="0" shrinkToFit="false"/>
      <protection locked="false" hidden="false"/>
    </xf>
    <xf numFmtId="173" fontId="8" fillId="7" borderId="1" xfId="0" applyFont="true" applyBorder="true" applyAlignment="true" applyProtection="true">
      <alignment horizontal="center" vertical="bottom" textRotation="0" wrapText="true" indent="0" shrinkToFit="false"/>
      <protection locked="true" hidden="false"/>
    </xf>
    <xf numFmtId="173" fontId="23" fillId="0" borderId="0" xfId="0" applyFont="true" applyBorder="false" applyAlignment="true" applyProtection="true">
      <alignment horizontal="general" vertical="bottom" textRotation="0" wrapText="false" indent="0" shrinkToFit="false"/>
      <protection locked="true" hidden="false"/>
    </xf>
    <xf numFmtId="166" fontId="8" fillId="4" borderId="1" xfId="0" applyFont="true" applyBorder="true" applyAlignment="true" applyProtection="true">
      <alignment horizontal="center" vertical="center" textRotation="0" wrapText="true" indent="0" shrinkToFit="false"/>
      <protection locked="true" hidden="false"/>
    </xf>
    <xf numFmtId="166" fontId="9" fillId="3" borderId="1" xfId="0" applyFont="true" applyBorder="true" applyAlignment="true" applyProtection="true">
      <alignment horizontal="center" vertical="center" textRotation="0" wrapText="true" indent="0" shrinkToFit="false"/>
      <protection locked="false" hidden="false"/>
    </xf>
    <xf numFmtId="166" fontId="8" fillId="7" borderId="1" xfId="0" applyFont="true" applyBorder="true" applyAlignment="true" applyProtection="true">
      <alignment horizontal="center" vertical="bottom" textRotation="0" wrapText="true" indent="0" shrinkToFit="false"/>
      <protection locked="true" hidden="false"/>
    </xf>
    <xf numFmtId="166" fontId="23" fillId="0" borderId="0" xfId="0" applyFont="true" applyBorder="false" applyAlignment="true" applyProtection="true">
      <alignment horizontal="general" vertical="bottom" textRotation="0" wrapText="false" indent="0" shrinkToFit="false"/>
      <protection locked="true" hidden="false"/>
    </xf>
    <xf numFmtId="166" fontId="12" fillId="7" borderId="0" xfId="0" applyFont="true" applyBorder="false" applyAlignment="true" applyProtection="true">
      <alignment horizontal="general" vertical="bottom" textRotation="0" wrapText="false" indent="0" shrinkToFit="false"/>
      <protection locked="true" hidden="false"/>
    </xf>
    <xf numFmtId="171" fontId="8" fillId="0" borderId="0" xfId="0" applyFont="true" applyBorder="false" applyAlignment="true" applyProtection="true">
      <alignment horizontal="center" vertical="center" textRotation="0" wrapText="true" indent="0" shrinkToFit="false"/>
      <protection locked="true" hidden="false"/>
    </xf>
    <xf numFmtId="168" fontId="8" fillId="0" borderId="0" xfId="0" applyFont="true" applyBorder="false" applyAlignment="true" applyProtection="true">
      <alignment horizontal="center" vertical="center" textRotation="0" wrapText="true" indent="0" shrinkToFit="false"/>
      <protection locked="true" hidden="false"/>
    </xf>
    <xf numFmtId="167" fontId="9" fillId="3" borderId="1" xfId="0" applyFont="true" applyBorder="true" applyAlignment="true" applyProtection="true">
      <alignment horizontal="center" vertical="center" textRotation="0" wrapText="true" indent="0" shrinkToFit="false"/>
      <protection locked="false" hidden="false"/>
    </xf>
    <xf numFmtId="168" fontId="9" fillId="3" borderId="1" xfId="0" applyFont="true" applyBorder="true" applyAlignment="true" applyProtection="true">
      <alignment horizontal="center" vertical="center" textRotation="0" wrapText="true" indent="0" shrinkToFit="false"/>
      <protection locked="fals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8" fontId="23" fillId="0" borderId="0" xfId="0" applyFont="true" applyBorder="false" applyAlignment="true" applyProtection="true">
      <alignment horizontal="general" vertical="bottom" textRotation="0" wrapText="false" indent="0" shrinkToFit="false"/>
      <protection locked="true" hidden="false"/>
    </xf>
    <xf numFmtId="174" fontId="23" fillId="0" borderId="0" xfId="0" applyFont="true" applyBorder="false" applyAlignment="true" applyProtection="true">
      <alignment horizontal="general" vertical="bottom" textRotation="0" wrapText="false" indent="0" shrinkToFit="false"/>
      <protection locked="true" hidden="false"/>
    </xf>
    <xf numFmtId="166" fontId="12" fillId="9" borderId="3" xfId="0" applyFont="true" applyBorder="true" applyAlignment="true" applyProtection="true">
      <alignment horizontal="general" vertical="bottom" textRotation="0" wrapText="false" indent="0" shrinkToFit="false"/>
      <protection locked="true" hidden="false"/>
    </xf>
    <xf numFmtId="169" fontId="8" fillId="0" borderId="0" xfId="0" applyFont="true" applyBorder="false" applyAlignment="true" applyProtection="true">
      <alignment horizontal="general" vertical="bottom" textRotation="0" wrapText="false" indent="0" shrinkToFit="false"/>
      <protection locked="true" hidden="false"/>
    </xf>
    <xf numFmtId="169" fontId="12"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center" vertical="center" textRotation="0" wrapText="true" indent="0" shrinkToFit="false"/>
      <protection locked="true" hidden="false"/>
    </xf>
    <xf numFmtId="166" fontId="9" fillId="3" borderId="1" xfId="0" applyFont="true" applyBorder="true" applyAlignment="true" applyProtection="true">
      <alignment horizontal="general" vertical="bottom" textRotation="0" wrapText="false" indent="0" shrinkToFit="false"/>
      <protection locked="false" hidden="false"/>
    </xf>
    <xf numFmtId="166" fontId="12" fillId="4" borderId="0" xfId="0" applyFont="true" applyBorder="false" applyAlignment="true" applyProtection="true">
      <alignment horizontal="general" vertical="bottom" textRotation="0" wrapText="false" indent="0" shrinkToFit="false"/>
      <protection locked="true" hidden="false"/>
    </xf>
    <xf numFmtId="165" fontId="9" fillId="3" borderId="1" xfId="0" applyFont="true" applyBorder="true" applyAlignment="true" applyProtection="true">
      <alignment horizontal="general" vertical="bottom" textRotation="0" wrapText="false" indent="0" shrinkToFit="false"/>
      <protection locked="false" hidden="false"/>
    </xf>
    <xf numFmtId="170" fontId="9" fillId="3" borderId="1" xfId="0" applyFont="true" applyBorder="true" applyAlignment="true" applyProtection="true">
      <alignment horizontal="center" vertical="center" textRotation="0" wrapText="true" indent="0" shrinkToFit="false"/>
      <protection locked="false" hidden="false"/>
    </xf>
    <xf numFmtId="166" fontId="8" fillId="4" borderId="0" xfId="0" applyFont="true" applyBorder="false" applyAlignment="true" applyProtection="true">
      <alignment horizontal="general" vertical="bottom" textRotation="0" wrapText="false" indent="0" shrinkToFit="false"/>
      <protection locked="true" hidden="false"/>
    </xf>
    <xf numFmtId="165" fontId="23" fillId="4" borderId="0" xfId="0" applyFont="true" applyBorder="false" applyAlignment="true" applyProtection="true">
      <alignment horizontal="general" vertical="bottom" textRotation="0" wrapText="false" indent="0" shrinkToFit="false"/>
      <protection locked="true" hidden="false"/>
    </xf>
    <xf numFmtId="168" fontId="23" fillId="4" borderId="0" xfId="0" applyFont="true" applyBorder="false" applyAlignment="true" applyProtection="true">
      <alignment horizontal="general" vertical="bottom" textRotation="0" wrapText="false" indent="0" shrinkToFit="false"/>
      <protection locked="true" hidden="false"/>
    </xf>
    <xf numFmtId="164" fontId="23" fillId="4" borderId="0" xfId="0" applyFont="true" applyBorder="false" applyAlignment="true" applyProtection="true">
      <alignment horizontal="general" vertical="bottom" textRotation="0" wrapText="false" indent="0" shrinkToFit="false"/>
      <protection locked="true" hidden="false"/>
    </xf>
    <xf numFmtId="174" fontId="8" fillId="4" borderId="0" xfId="0" applyFont="true" applyBorder="false" applyAlignment="true" applyProtection="true">
      <alignment horizontal="general" vertical="bottom" textRotation="0" wrapText="false" indent="0" shrinkToFit="false"/>
      <protection locked="true" hidden="false"/>
    </xf>
    <xf numFmtId="167" fontId="8" fillId="4" borderId="0" xfId="0" applyFont="true" applyBorder="false" applyAlignment="true" applyProtection="true">
      <alignment horizontal="general" vertical="bottom" textRotation="0" wrapText="false" indent="0" shrinkToFit="false"/>
      <protection locked="true" hidden="false"/>
    </xf>
    <xf numFmtId="168" fontId="8" fillId="4" borderId="0" xfId="0" applyFont="true" applyBorder="false" applyAlignment="true" applyProtection="true">
      <alignment horizontal="general" vertical="bottom" textRotation="0" wrapText="false" indent="0" shrinkToFit="false"/>
      <protection locked="true" hidden="false"/>
    </xf>
    <xf numFmtId="166" fontId="14" fillId="0" borderId="0" xfId="0" applyFont="true" applyBorder="false" applyAlignment="true" applyProtection="true">
      <alignment horizontal="general" vertical="bottom" textRotation="0" wrapText="false" indent="0" shrinkToFit="false"/>
      <protection locked="true" hidden="false"/>
    </xf>
    <xf numFmtId="165" fontId="9" fillId="3" borderId="1" xfId="0" applyFont="true" applyBorder="true" applyAlignment="true" applyProtection="true">
      <alignment horizontal="center" vertical="center" textRotation="0" wrapText="true" indent="0" shrinkToFit="false"/>
      <protection locked="false" hidden="false"/>
    </xf>
    <xf numFmtId="164" fontId="23" fillId="2" borderId="0" xfId="0" applyFont="true" applyBorder="false" applyAlignment="true" applyProtection="true">
      <alignment horizontal="general" vertical="bottom" textRotation="0" wrapText="false" indent="0" shrinkToFit="false"/>
      <protection locked="true" hidden="false"/>
    </xf>
    <xf numFmtId="167" fontId="23" fillId="0" borderId="0" xfId="0" applyFont="true" applyBorder="false" applyAlignment="true" applyProtection="true">
      <alignment horizontal="general" vertical="bottom" textRotation="0" wrapText="false" indent="0" shrinkToFit="false"/>
      <protection locked="true" hidden="false"/>
    </xf>
    <xf numFmtId="166" fontId="12" fillId="9" borderId="0" xfId="0" applyFont="true" applyBorder="false" applyAlignment="true" applyProtection="true">
      <alignment horizontal="general" vertical="bottom" textRotation="0" wrapText="false" indent="0" shrinkToFit="false"/>
      <protection locked="true" hidden="false"/>
    </xf>
    <xf numFmtId="174" fontId="23" fillId="4"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b val="1"/>
        <color rgb="FF9C0006"/>
      </font>
      <fill>
        <patternFill>
          <bgColor rgb="FFFFC7CE"/>
        </patternFill>
      </fill>
    </dxf>
    <dxf>
      <font>
        <b val="1"/>
        <color rgb="FF9C5700"/>
      </font>
      <fill>
        <patternFill>
          <bgColor rgb="FFFFEB9C"/>
        </patternFill>
      </fill>
    </dxf>
    <dxf>
      <font>
        <b val="1"/>
        <color rgb="FF006100"/>
      </font>
      <fill>
        <patternFill>
          <bgColor rgb="FFC6EFCE"/>
        </patternFill>
      </fill>
    </dxf>
    <dxf>
      <fill>
        <patternFill>
          <bgColor rgb="FFFFC7CE"/>
        </patternFill>
      </fill>
    </dxf>
    <dxf>
      <fill>
        <patternFill>
          <bgColor rgb="FFFFEB9C"/>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548235"/>
      <rgbColor rgb="FF800080"/>
      <rgbColor rgb="FF008080"/>
      <rgbColor rgb="FFA6A6A6"/>
      <rgbColor rgb="FF808080"/>
      <rgbColor rgb="FFA5A5A5"/>
      <rgbColor rgb="FFC55A11"/>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7ECF5"/>
      <rgbColor rgb="FFC6EFCE"/>
      <rgbColor rgb="FFFFEB9C"/>
      <rgbColor rgb="FFD9E1F2"/>
      <rgbColor rgb="FFF2F2F2"/>
      <rgbColor rgb="FFCC99FF"/>
      <rgbColor rgb="FFFFC7CE"/>
      <rgbColor rgb="FF3366FF"/>
      <rgbColor rgb="FF33CCCC"/>
      <rgbColor rgb="FF99CC00"/>
      <rgbColor rgb="FFFFCC00"/>
      <rgbColor rgb="FFC9A227"/>
      <rgbColor rgb="FFED7D31"/>
      <rgbColor rgb="FF595959"/>
      <rgbColor rgb="FF878787"/>
      <rgbColor rgb="FF002060"/>
      <rgbColor rgb="FF70AD47"/>
      <rgbColor rgb="FF006100"/>
      <rgbColor rgb="FF333300"/>
      <rgbColor rgb="FF9C5700"/>
      <rgbColor rgb="FF7F7F7F"/>
      <rgbColor rgb="FF1F4E7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Weekly closing bank balance</a:t>
            </a:r>
          </a:p>
        </c:rich>
      </c:tx>
      <c:overlay val="0"/>
      <c:spPr>
        <a:noFill/>
        <a:ln w="0">
          <a:noFill/>
        </a:ln>
      </c:spPr>
    </c:title>
    <c:autoTitleDeleted val="0"/>
    <c:plotArea>
      <c:lineChart>
        <c:grouping val="standard"/>
        <c:varyColors val="0"/>
        <c:ser>
          <c:idx val="0"/>
          <c:order val="0"/>
          <c:tx>
            <c:strRef>
              <c:f>'Cash Flow'!B46</c:f>
              <c:strCache>
                <c:ptCount val="1"/>
                <c:pt idx="0">
                  <c:v>Closing bank balance</c:v>
                </c:pt>
              </c:strCache>
            </c:strRef>
          </c:tx>
          <c:spPr>
            <a:solidFill>
              <a:srgbClr val="1f4e79"/>
            </a:solidFill>
            <a:ln w="28080">
              <a:solidFill>
                <a:srgbClr val="1f4e79"/>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'Cash Flow'!$C$46:$O$46</c:f>
              <c:numCache>
                <c:formatCode>#,##0;[RED]\(#,##0\);\-</c:formatCode>
                <c:ptCount val="13"/>
                <c:pt idx="0">
                  <c:v>271409.458128079</c:v>
                </c:pt>
                <c:pt idx="1">
                  <c:v>293852.676518883</c:v>
                </c:pt>
                <c:pt idx="2">
                  <c:v>221315.894909688</c:v>
                </c:pt>
                <c:pt idx="3">
                  <c:v>211279.113300493</c:v>
                </c:pt>
                <c:pt idx="4">
                  <c:v>216471.724137931</c:v>
                </c:pt>
                <c:pt idx="5">
                  <c:v>187796.091954023</c:v>
                </c:pt>
                <c:pt idx="6">
                  <c:v>144320.459770115</c:v>
                </c:pt>
                <c:pt idx="7">
                  <c:v>192678.16091954</c:v>
                </c:pt>
                <c:pt idx="8">
                  <c:v>19060</c:v>
                </c:pt>
                <c:pt idx="9">
                  <c:v>73526.6666666666</c:v>
                </c:pt>
                <c:pt idx="10">
                  <c:v>109733.333333333</c:v>
                </c:pt>
                <c:pt idx="11">
                  <c:v>131320</c:v>
                </c:pt>
                <c:pt idx="12">
                  <c:v>226106.666666667</c:v>
                </c:pt>
              </c:numCache>
            </c:numRef>
          </c:val>
          <c:smooth val="0"/>
        </c:ser>
        <c:ser>
          <c:idx val="1"/>
          <c:order val="1"/>
          <c:tx>
            <c:strRef>
              <c:f>'Cash Flow'!B47</c:f>
              <c:strCache>
                <c:ptCount val="1"/>
                <c:pt idx="0">
                  <c:v>Overdraft limit (shown as a minus)</c:v>
                </c:pt>
              </c:strCache>
            </c:strRef>
          </c:tx>
          <c:spPr>
            <a:solidFill>
              <a:srgbClr val="c00000"/>
            </a:solidFill>
            <a:ln w="15120">
              <a:solidFill>
                <a:srgbClr val="c00000"/>
              </a:solidFill>
              <a:prstDash val="dash"/>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'Cash Flow'!$C$47:$O$47</c:f>
              <c:numCache>
                <c:formatCode>#,##0;[RED]\(#,##0\);\-</c:formatCode>
                <c:ptCount val="13"/>
                <c:pt idx="0">
                  <c:v>-50000</c:v>
                </c:pt>
                <c:pt idx="1">
                  <c:v>-50000</c:v>
                </c:pt>
                <c:pt idx="2">
                  <c:v>-50000</c:v>
                </c:pt>
                <c:pt idx="3">
                  <c:v>-50000</c:v>
                </c:pt>
                <c:pt idx="4">
                  <c:v>-50000</c:v>
                </c:pt>
                <c:pt idx="5">
                  <c:v>-50000</c:v>
                </c:pt>
                <c:pt idx="6">
                  <c:v>-50000</c:v>
                </c:pt>
                <c:pt idx="7">
                  <c:v>-50000</c:v>
                </c:pt>
                <c:pt idx="8">
                  <c:v>-50000</c:v>
                </c:pt>
                <c:pt idx="9">
                  <c:v>-50000</c:v>
                </c:pt>
                <c:pt idx="10">
                  <c:v>-50000</c:v>
                </c:pt>
                <c:pt idx="11">
                  <c:v>-50000</c:v>
                </c:pt>
                <c:pt idx="12">
                  <c:v>-50000</c:v>
                </c:pt>
              </c:numCache>
            </c:numRef>
          </c:val>
          <c:smooth val="0"/>
        </c:ser>
        <c:ser>
          <c:idx val="2"/>
          <c:order val="2"/>
          <c:tx>
            <c:strRef>
              <c:f>'Cash Flow'!B49</c:f>
              <c:strCache>
                <c:ptCount val="1"/>
                <c:pt idx="0">
                  <c:v>Minimum cash buffer you set</c:v>
                </c:pt>
              </c:strCache>
            </c:strRef>
          </c:tx>
          <c:spPr>
            <a:solidFill>
              <a:srgbClr val="ed7d31"/>
            </a:solidFill>
            <a:ln w="15120">
              <a:solidFill>
                <a:srgbClr val="ed7d31"/>
              </a:solidFill>
              <a:prstDash val="sysDot"/>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'Cash Flow'!$C$49:$O$49</c:f>
              <c:numCache>
                <c:formatCode>#,##0;[RED]\(#,##0\);\-</c:formatCode>
                <c:ptCount val="13"/>
                <c:pt idx="0">
                  <c:v>50000</c:v>
                </c:pt>
                <c:pt idx="1">
                  <c:v>50000</c:v>
                </c:pt>
                <c:pt idx="2">
                  <c:v>50000</c:v>
                </c:pt>
                <c:pt idx="3">
                  <c:v>50000</c:v>
                </c:pt>
                <c:pt idx="4">
                  <c:v>50000</c:v>
                </c:pt>
                <c:pt idx="5">
                  <c:v>50000</c:v>
                </c:pt>
                <c:pt idx="6">
                  <c:v>50000</c:v>
                </c:pt>
                <c:pt idx="7">
                  <c:v>50000</c:v>
                </c:pt>
                <c:pt idx="8">
                  <c:v>50000</c:v>
                </c:pt>
                <c:pt idx="9">
                  <c:v>50000</c:v>
                </c:pt>
                <c:pt idx="10">
                  <c:v>50000</c:v>
                </c:pt>
                <c:pt idx="11">
                  <c:v>50000</c:v>
                </c:pt>
                <c:pt idx="12">
                  <c:v>50000</c:v>
                </c:pt>
              </c:numCache>
            </c:numRef>
          </c:val>
          <c:smooth val="0"/>
        </c:ser>
        <c:hiLowLines>
          <c:spPr>
            <a:ln w="0">
              <a:noFill/>
            </a:ln>
          </c:spPr>
        </c:hiLowLines>
        <c:marker val="0"/>
        <c:axId val="60039932"/>
        <c:axId val="23810163"/>
      </c:lineChart>
      <c:catAx>
        <c:axId val="60039932"/>
        <c:scaling>
          <c:orientation val="minMax"/>
        </c:scaling>
        <c:delete val="0"/>
        <c:axPos val="b"/>
        <c:numFmt formatCode="General"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23810163"/>
        <c:crosses val="autoZero"/>
        <c:auto val="1"/>
        <c:lblAlgn val="ctr"/>
        <c:lblOffset val="100"/>
        <c:noMultiLvlLbl val="0"/>
      </c:catAx>
      <c:valAx>
        <c:axId val="23810163"/>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003993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in and cash out each week</a:t>
            </a:r>
          </a:p>
        </c:rich>
      </c:tx>
      <c:overlay val="0"/>
      <c:spPr>
        <a:noFill/>
        <a:ln w="0">
          <a:noFill/>
        </a:ln>
      </c:spPr>
    </c:title>
    <c:autoTitleDeleted val="0"/>
    <c:plotArea>
      <c:barChart>
        <c:barDir val="col"/>
        <c:grouping val="clustered"/>
        <c:varyColors val="0"/>
        <c:ser>
          <c:idx val="0"/>
          <c:order val="0"/>
          <c:tx>
            <c:strRef>
              <c:f>'Cash Flow'!B14</c:f>
              <c:strCache>
                <c:ptCount val="1"/>
                <c:pt idx="0">
                  <c:v>Total cash in</c:v>
                </c:pt>
              </c:strCache>
            </c:strRef>
          </c:tx>
          <c:spPr>
            <a:solidFill>
              <a:srgbClr val="70ad47"/>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'Cash Flow'!$C$14:$O$14</c:f>
              <c:numCache>
                <c:formatCode>#,##0;[RED]\(#,##0\);\-</c:formatCode>
                <c:ptCount val="13"/>
                <c:pt idx="0">
                  <c:v>40369.4581280788</c:v>
                </c:pt>
                <c:pt idx="1">
                  <c:v>70646.5517241379</c:v>
                </c:pt>
                <c:pt idx="2">
                  <c:v>70646.5517241379</c:v>
                </c:pt>
                <c:pt idx="3">
                  <c:v>70646.5517241379</c:v>
                </c:pt>
                <c:pt idx="4">
                  <c:v>62575.9441707718</c:v>
                </c:pt>
                <c:pt idx="5">
                  <c:v>87097.7011494253</c:v>
                </c:pt>
                <c:pt idx="6">
                  <c:v>87097.7011494253</c:v>
                </c:pt>
                <c:pt idx="7">
                  <c:v>113497.701149425</c:v>
                </c:pt>
                <c:pt idx="8">
                  <c:v>110221.83908046</c:v>
                </c:pt>
                <c:pt idx="9">
                  <c:v>121566.666666667</c:v>
                </c:pt>
                <c:pt idx="10">
                  <c:v>121566.666666667</c:v>
                </c:pt>
                <c:pt idx="11">
                  <c:v>121566.666666667</c:v>
                </c:pt>
                <c:pt idx="12">
                  <c:v>121566.666666667</c:v>
                </c:pt>
              </c:numCache>
            </c:numRef>
          </c:val>
        </c:ser>
        <c:ser>
          <c:idx val="1"/>
          <c:order val="1"/>
          <c:tx>
            <c:strRef>
              <c:f>'Cash Flow'!B41</c:f>
              <c:strCache>
                <c:ptCount val="1"/>
                <c:pt idx="0">
                  <c:v>Total cash out</c:v>
                </c:pt>
              </c:strCache>
            </c:strRef>
          </c:tx>
          <c:spPr>
            <a:solidFill>
              <a:srgbClr val="c00000"/>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'Cash Flow'!$C$41:$O$41</c:f>
              <c:numCache>
                <c:formatCode>#,##0;[RED]\(#,##0\);\-</c:formatCode>
                <c:ptCount val="13"/>
                <c:pt idx="0">
                  <c:v>18960</c:v>
                </c:pt>
                <c:pt idx="1">
                  <c:v>48203.3333333333</c:v>
                </c:pt>
                <c:pt idx="2">
                  <c:v>143183.333333333</c:v>
                </c:pt>
                <c:pt idx="3">
                  <c:v>80683.3333333333</c:v>
                </c:pt>
                <c:pt idx="4">
                  <c:v>57383.3333333333</c:v>
                </c:pt>
                <c:pt idx="5">
                  <c:v>115773.333333333</c:v>
                </c:pt>
                <c:pt idx="6">
                  <c:v>130573.333333333</c:v>
                </c:pt>
                <c:pt idx="7">
                  <c:v>65140</c:v>
                </c:pt>
                <c:pt idx="8">
                  <c:v>283840</c:v>
                </c:pt>
                <c:pt idx="9">
                  <c:v>67100</c:v>
                </c:pt>
                <c:pt idx="10">
                  <c:v>85360</c:v>
                </c:pt>
                <c:pt idx="11">
                  <c:v>99980</c:v>
                </c:pt>
                <c:pt idx="12">
                  <c:v>26780</c:v>
                </c:pt>
              </c:numCache>
            </c:numRef>
          </c:val>
        </c:ser>
        <c:gapWidth val="150"/>
        <c:overlap val="0"/>
        <c:axId val="22462786"/>
        <c:axId val="65043863"/>
      </c:barChart>
      <c:catAx>
        <c:axId val="22462786"/>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043863"/>
        <c:crosses val="autoZero"/>
        <c:auto val="1"/>
        <c:lblAlgn val="ctr"/>
        <c:lblOffset val="100"/>
        <c:noMultiLvlLbl val="0"/>
      </c:catAx>
      <c:valAx>
        <c:axId val="65043863"/>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462786"/>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Bank balance under each scenario</a:t>
            </a:r>
          </a:p>
        </c:rich>
      </c:tx>
      <c:overlay val="0"/>
      <c:spPr>
        <a:noFill/>
        <a:ln w="0">
          <a:noFill/>
        </a:ln>
      </c:spPr>
    </c:title>
    <c:autoTitleDeleted val="0"/>
    <c:plotArea>
      <c:lineChart>
        <c:grouping val="standard"/>
        <c:varyColors val="0"/>
        <c:ser>
          <c:idx val="0"/>
          <c:order val="0"/>
          <c:tx>
            <c:strRef>
              <c:f>Scenarios!B24</c:f>
              <c:strCache>
                <c:ptCount val="1"/>
                <c:pt idx="0">
                  <c:v>Base case</c:v>
                </c:pt>
              </c:strCache>
            </c:strRef>
          </c:tx>
          <c:spPr>
            <a:solidFill>
              <a:srgbClr val="1f4e79"/>
            </a:solidFill>
            <a:ln w="29880">
              <a:solidFill>
                <a:srgbClr val="1f4e79"/>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Scenarios!$C$24:$O$24</c:f>
              <c:numCache>
                <c:formatCode>#,##0;[RED]\(#,##0\);\-</c:formatCode>
                <c:ptCount val="13"/>
                <c:pt idx="0">
                  <c:v>271409.458128079</c:v>
                </c:pt>
                <c:pt idx="1">
                  <c:v>293852.676518883</c:v>
                </c:pt>
                <c:pt idx="2">
                  <c:v>221315.894909688</c:v>
                </c:pt>
                <c:pt idx="3">
                  <c:v>211279.113300493</c:v>
                </c:pt>
                <c:pt idx="4">
                  <c:v>216471.724137931</c:v>
                </c:pt>
                <c:pt idx="5">
                  <c:v>187796.091954023</c:v>
                </c:pt>
                <c:pt idx="6">
                  <c:v>144320.459770115</c:v>
                </c:pt>
                <c:pt idx="7">
                  <c:v>192678.16091954</c:v>
                </c:pt>
                <c:pt idx="8">
                  <c:v>19060</c:v>
                </c:pt>
                <c:pt idx="9">
                  <c:v>73526.6666666666</c:v>
                </c:pt>
                <c:pt idx="10">
                  <c:v>109733.333333333</c:v>
                </c:pt>
                <c:pt idx="11">
                  <c:v>131320</c:v>
                </c:pt>
                <c:pt idx="12">
                  <c:v>226106.666666667</c:v>
                </c:pt>
              </c:numCache>
            </c:numRef>
          </c:val>
          <c:smooth val="0"/>
        </c:ser>
        <c:ser>
          <c:idx val="1"/>
          <c:order val="1"/>
          <c:tx>
            <c:strRef>
              <c:f>Scenarios!B25</c:f>
              <c:strCache>
                <c:ptCount val="1"/>
                <c:pt idx="0">
                  <c:v>Customers pay 2 weeks late</c:v>
                </c:pt>
              </c:strCache>
            </c:strRef>
          </c:tx>
          <c:spPr>
            <a:solidFill>
              <a:srgbClr val="ed7d31"/>
            </a:solidFill>
            <a:ln w="20160">
              <a:solidFill>
                <a:srgbClr val="ed7d31"/>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Scenarios!$C$25:$O$25</c:f>
              <c:numCache>
                <c:formatCode>#,##0;[RED]\(#,##0\);\-</c:formatCode>
                <c:ptCount val="13"/>
                <c:pt idx="0">
                  <c:v>231040</c:v>
                </c:pt>
                <c:pt idx="1">
                  <c:v>182836.666666667</c:v>
                </c:pt>
                <c:pt idx="2">
                  <c:v>80022.7914614122</c:v>
                </c:pt>
                <c:pt idx="3">
                  <c:v>69986.0098522168</c:v>
                </c:pt>
                <c:pt idx="4">
                  <c:v>83249.2282430214</c:v>
                </c:pt>
                <c:pt idx="5">
                  <c:v>38122.446633826</c:v>
                </c:pt>
                <c:pt idx="6">
                  <c:v>-29874.9425287356</c:v>
                </c:pt>
                <c:pt idx="7">
                  <c:v>-7917.24137931035</c:v>
                </c:pt>
                <c:pt idx="8">
                  <c:v>-204659.540229885</c:v>
                </c:pt>
                <c:pt idx="9">
                  <c:v>-158261.83908046</c:v>
                </c:pt>
                <c:pt idx="10">
                  <c:v>-133400</c:v>
                </c:pt>
                <c:pt idx="11">
                  <c:v>-111813.333333333</c:v>
                </c:pt>
                <c:pt idx="12">
                  <c:v>-17026.6666666667</c:v>
                </c:pt>
              </c:numCache>
            </c:numRef>
          </c:val>
          <c:smooth val="0"/>
        </c:ser>
        <c:ser>
          <c:idx val="2"/>
          <c:order val="2"/>
          <c:tx>
            <c:strRef>
              <c:f>Scenarios!B26</c:f>
              <c:strCache>
                <c:ptCount val="1"/>
                <c:pt idx="0">
                  <c:v>Sales down 20%</c:v>
                </c:pt>
              </c:strCache>
            </c:strRef>
          </c:tx>
          <c:spPr>
            <a:solidFill>
              <a:srgbClr val="a5a5a5"/>
            </a:solidFill>
            <a:ln w="20160">
              <a:solidFill>
                <a:srgbClr val="a5a5a5"/>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Scenarios!$C$26:$O$26</c:f>
              <c:numCache>
                <c:formatCode>#,##0;[RED]\(#,##0\);\-</c:formatCode>
                <c:ptCount val="13"/>
                <c:pt idx="0">
                  <c:v>271409.458128079</c:v>
                </c:pt>
                <c:pt idx="1">
                  <c:v>293852.676518883</c:v>
                </c:pt>
                <c:pt idx="2">
                  <c:v>221315.894909688</c:v>
                </c:pt>
                <c:pt idx="3">
                  <c:v>211279.113300493</c:v>
                </c:pt>
                <c:pt idx="4">
                  <c:v>216471.724137931</c:v>
                </c:pt>
                <c:pt idx="5">
                  <c:v>190568.091954023</c:v>
                </c:pt>
                <c:pt idx="6">
                  <c:v>158180.459770115</c:v>
                </c:pt>
                <c:pt idx="7">
                  <c:v>212346.16091954</c:v>
                </c:pt>
                <c:pt idx="8">
                  <c:v>44536</c:v>
                </c:pt>
                <c:pt idx="9">
                  <c:v>91610.6666666666</c:v>
                </c:pt>
                <c:pt idx="10">
                  <c:v>120425.333333333</c:v>
                </c:pt>
                <c:pt idx="11">
                  <c:v>132928</c:v>
                </c:pt>
                <c:pt idx="12">
                  <c:v>213050.666666667</c:v>
                </c:pt>
              </c:numCache>
            </c:numRef>
          </c:val>
          <c:smooth val="0"/>
        </c:ser>
        <c:ser>
          <c:idx val="3"/>
          <c:order val="3"/>
          <c:tx>
            <c:strRef>
              <c:f>Scenarios!B27</c:f>
              <c:strCache>
                <c:ptCount val="1"/>
                <c:pt idx="0">
                  <c:v>Severe downturn</c:v>
                </c:pt>
              </c:strCache>
            </c:strRef>
          </c:tx>
          <c:spPr>
            <a:solidFill>
              <a:srgbClr val="c00000"/>
            </a:solidFill>
            <a:ln w="20160">
              <a:solidFill>
                <a:srgbClr val="c00000"/>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Scenarios!$C$27:$O$27</c:f>
              <c:numCache>
                <c:formatCode>#,##0;[RED]\(#,##0\);\-</c:formatCode>
                <c:ptCount val="13"/>
                <c:pt idx="0">
                  <c:v>213258.666666667</c:v>
                </c:pt>
                <c:pt idx="1">
                  <c:v>126484.333333333</c:v>
                </c:pt>
                <c:pt idx="2">
                  <c:v>-16879</c:v>
                </c:pt>
                <c:pt idx="3">
                  <c:v>-46584.8210180624</c:v>
                </c:pt>
                <c:pt idx="4">
                  <c:v>-40141.0077996716</c:v>
                </c:pt>
                <c:pt idx="5">
                  <c:v>-94450.4445812808</c:v>
                </c:pt>
                <c:pt idx="6">
                  <c:v>-145667.548029557</c:v>
                </c:pt>
                <c:pt idx="7">
                  <c:v>-209043.198275862</c:v>
                </c:pt>
                <c:pt idx="8">
                  <c:v>-336734.267241379</c:v>
                </c:pt>
                <c:pt idx="9">
                  <c:v>-314038.336206897</c:v>
                </c:pt>
                <c:pt idx="10">
                  <c:v>-283163.155172414</c:v>
                </c:pt>
                <c:pt idx="11">
                  <c:v>-256249</c:v>
                </c:pt>
                <c:pt idx="12">
                  <c:v>-168634</c:v>
                </c:pt>
              </c:numCache>
            </c:numRef>
          </c:val>
          <c:smooth val="0"/>
        </c:ser>
        <c:ser>
          <c:idx val="4"/>
          <c:order val="4"/>
          <c:tx>
            <c:strRef>
              <c:f>Scenarios!B28</c:f>
              <c:strCache>
                <c:ptCount val="1"/>
                <c:pt idx="0">
                  <c:v>Overdraft limit (shown as a minus)</c:v>
                </c:pt>
              </c:strCache>
            </c:strRef>
          </c:tx>
          <c:spPr>
            <a:solidFill>
              <a:srgbClr val="7f7f7f"/>
            </a:solidFill>
            <a:ln w="11880">
              <a:solidFill>
                <a:srgbClr val="7f7f7f"/>
              </a:solidFill>
              <a:prstDash val="dash"/>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Lists!$C$27:$O$27</c:f>
              <c:strCache>
                <c:ptCount val="13"/>
                <c:pt idx="0">
                  <c:v>13 Nov</c:v>
                </c:pt>
                <c:pt idx="1">
                  <c:v>20 Nov</c:v>
                </c:pt>
                <c:pt idx="2">
                  <c:v>27 Nov</c:v>
                </c:pt>
                <c:pt idx="3">
                  <c:v>04 Dec</c:v>
                </c:pt>
                <c:pt idx="4">
                  <c:v>11 Dec</c:v>
                </c:pt>
                <c:pt idx="5">
                  <c:v>18 Dec</c:v>
                </c:pt>
                <c:pt idx="6">
                  <c:v>25 Dec</c:v>
                </c:pt>
                <c:pt idx="7">
                  <c:v>01 Jan</c:v>
                </c:pt>
                <c:pt idx="8">
                  <c:v>08 Jan</c:v>
                </c:pt>
                <c:pt idx="9">
                  <c:v>15 Jan</c:v>
                </c:pt>
                <c:pt idx="10">
                  <c:v>22 Jan</c:v>
                </c:pt>
                <c:pt idx="11">
                  <c:v>29 Jan</c:v>
                </c:pt>
                <c:pt idx="12">
                  <c:v>05 Feb</c:v>
                </c:pt>
              </c:strCache>
            </c:strRef>
          </c:cat>
          <c:val>
            <c:numRef>
              <c:f>Scenarios!$C$28:$O$28</c:f>
              <c:numCache>
                <c:formatCode>#,##0;[RED]\(#,##0\);\-</c:formatCode>
                <c:ptCount val="13"/>
                <c:pt idx="0">
                  <c:v>-50000</c:v>
                </c:pt>
                <c:pt idx="1">
                  <c:v>-50000</c:v>
                </c:pt>
                <c:pt idx="2">
                  <c:v>-50000</c:v>
                </c:pt>
                <c:pt idx="3">
                  <c:v>-50000</c:v>
                </c:pt>
                <c:pt idx="4">
                  <c:v>-50000</c:v>
                </c:pt>
                <c:pt idx="5">
                  <c:v>-50000</c:v>
                </c:pt>
                <c:pt idx="6">
                  <c:v>-50000</c:v>
                </c:pt>
                <c:pt idx="7">
                  <c:v>-50000</c:v>
                </c:pt>
                <c:pt idx="8">
                  <c:v>-50000</c:v>
                </c:pt>
                <c:pt idx="9">
                  <c:v>-50000</c:v>
                </c:pt>
                <c:pt idx="10">
                  <c:v>-50000</c:v>
                </c:pt>
                <c:pt idx="11">
                  <c:v>-50000</c:v>
                </c:pt>
                <c:pt idx="12">
                  <c:v>-50000</c:v>
                </c:pt>
              </c:numCache>
            </c:numRef>
          </c:val>
          <c:smooth val="0"/>
        </c:ser>
        <c:hiLowLines>
          <c:spPr>
            <a:ln w="0">
              <a:noFill/>
            </a:ln>
          </c:spPr>
        </c:hiLowLines>
        <c:marker val="0"/>
        <c:axId val="13783443"/>
        <c:axId val="57863462"/>
      </c:lineChart>
      <c:catAx>
        <c:axId val="13783443"/>
        <c:scaling>
          <c:orientation val="minMax"/>
        </c:scaling>
        <c:delete val="0"/>
        <c:axPos val="b"/>
        <c:numFmt formatCode="General"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57863462"/>
        <c:crosses val="autoZero"/>
        <c:auto val="1"/>
        <c:lblAlgn val="ctr"/>
        <c:lblOffset val="100"/>
        <c:noMultiLvlLbl val="0"/>
      </c:catAx>
      <c:valAx>
        <c:axId val="57863462"/>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378344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31</xdr:row>
      <xdr:rowOff>130680</xdr:rowOff>
    </xdr:from>
    <xdr:to>
      <xdr:col>5</xdr:col>
      <xdr:colOff>759960</xdr:colOff>
      <xdr:row>47</xdr:row>
      <xdr:rowOff>141840</xdr:rowOff>
    </xdr:to>
    <xdr:graphicFrame>
      <xdr:nvGraphicFramePr>
        <xdr:cNvPr id="0" name="Chart 1"/>
        <xdr:cNvGraphicFramePr/>
      </xdr:nvGraphicFramePr>
      <xdr:xfrm>
        <a:off x="211320" y="6095880"/>
        <a:ext cx="9359280" cy="305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49</xdr:row>
      <xdr:rowOff>130680</xdr:rowOff>
    </xdr:from>
    <xdr:to>
      <xdr:col>5</xdr:col>
      <xdr:colOff>759960</xdr:colOff>
      <xdr:row>65</xdr:row>
      <xdr:rowOff>141840</xdr:rowOff>
    </xdr:to>
    <xdr:graphicFrame>
      <xdr:nvGraphicFramePr>
        <xdr:cNvPr id="1" name="Chart 2"/>
        <xdr:cNvGraphicFramePr/>
      </xdr:nvGraphicFramePr>
      <xdr:xfrm>
        <a:off x="211320" y="9524880"/>
        <a:ext cx="9359280" cy="305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28</xdr:row>
      <xdr:rowOff>131040</xdr:rowOff>
    </xdr:from>
    <xdr:to>
      <xdr:col>10</xdr:col>
      <xdr:colOff>787680</xdr:colOff>
      <xdr:row>45</xdr:row>
      <xdr:rowOff>131760</xdr:rowOff>
    </xdr:to>
    <xdr:graphicFrame>
      <xdr:nvGraphicFramePr>
        <xdr:cNvPr id="2" name="Chart 1"/>
        <xdr:cNvGraphicFramePr/>
      </xdr:nvGraphicFramePr>
      <xdr:xfrm>
        <a:off x="211320" y="6438960"/>
        <a:ext cx="10799280" cy="323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2.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4.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5.v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6.vml"/>
</Relationships>
</file>

<file path=xl/worksheets/_rels/sheet12.xml.rels><?xml version="1.0" encoding="UTF-8"?>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7.vml"/>
</Relationships>
</file>

<file path=xl/worksheets/_rels/sheet13.xml.rels><?xml version="1.0" encoding="UTF-8"?>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8.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6"/>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6"/>
    <col collapsed="false" customWidth="true" hidden="false" outlineLevel="0" max="3" min="3" style="1" width="100"/>
  </cols>
  <sheetData>
    <row r="1" customFormat="false" ht="24.45" hidden="false" customHeight="false" outlineLevel="0" collapsed="false">
      <c r="A1" s="2"/>
      <c r="B1" s="3" t="s">
        <v>0</v>
      </c>
      <c r="C1" s="2"/>
    </row>
    <row r="2" customFormat="false" ht="15" hidden="false" customHeight="false" outlineLevel="0" collapsed="false">
      <c r="A2" s="2"/>
      <c r="B2" s="4" t="s">
        <v>1</v>
      </c>
      <c r="C2" s="2"/>
    </row>
    <row r="3" customFormat="false" ht="15" hidden="false" customHeight="false" outlineLevel="0" collapsed="false">
      <c r="A3" s="2"/>
      <c r="B3" s="2"/>
      <c r="C3" s="2"/>
    </row>
    <row r="4" customFormat="false" ht="15" hidden="false" customHeight="false" outlineLevel="0" collapsed="false">
      <c r="A4" s="2"/>
      <c r="B4" s="2"/>
      <c r="C4" s="2"/>
    </row>
    <row r="5" customFormat="false" ht="15" hidden="false" customHeight="false" outlineLevel="0" collapsed="false">
      <c r="A5" s="2"/>
      <c r="B5" s="5" t="s">
        <v>2</v>
      </c>
      <c r="C5" s="6"/>
    </row>
    <row r="6" customFormat="false" ht="54" hidden="false" customHeight="true" outlineLevel="0" collapsed="false">
      <c r="A6" s="2"/>
      <c r="B6" s="7" t="s">
        <v>3</v>
      </c>
      <c r="C6" s="7"/>
    </row>
    <row r="7" customFormat="false" ht="40.5" hidden="false" customHeight="true" outlineLevel="0" collapsed="false">
      <c r="A7" s="2"/>
      <c r="B7" s="7" t="s">
        <v>4</v>
      </c>
      <c r="C7" s="7"/>
    </row>
    <row r="8" customFormat="false" ht="15" hidden="false" customHeight="false" outlineLevel="0" collapsed="false">
      <c r="A8" s="2"/>
      <c r="B8" s="2"/>
      <c r="C8" s="2"/>
    </row>
    <row r="9" customFormat="false" ht="15" hidden="false" customHeight="false" outlineLevel="0" collapsed="false">
      <c r="A9" s="2"/>
      <c r="B9" s="5" t="s">
        <v>5</v>
      </c>
      <c r="C9" s="6"/>
    </row>
    <row r="10" customFormat="false" ht="15" hidden="false" customHeight="false" outlineLevel="0" collapsed="false">
      <c r="A10" s="2"/>
      <c r="B10" s="8" t="s">
        <v>6</v>
      </c>
      <c r="C10" s="9" t="s">
        <v>7</v>
      </c>
    </row>
    <row r="11" customFormat="false" ht="15" hidden="false" customHeight="false" outlineLevel="0" collapsed="false">
      <c r="A11" s="2"/>
      <c r="B11" s="10" t="s">
        <v>8</v>
      </c>
      <c r="C11" s="9" t="s">
        <v>9</v>
      </c>
    </row>
    <row r="12" customFormat="false" ht="15" hidden="false" customHeight="false" outlineLevel="0" collapsed="false">
      <c r="A12" s="2"/>
      <c r="B12" s="11" t="s">
        <v>10</v>
      </c>
      <c r="C12" s="9" t="s">
        <v>11</v>
      </c>
    </row>
    <row r="13" customFormat="false" ht="15" hidden="false" customHeight="false" outlineLevel="0" collapsed="false">
      <c r="A13" s="2"/>
      <c r="B13" s="12" t="s">
        <v>12</v>
      </c>
      <c r="C13" s="9" t="s">
        <v>13</v>
      </c>
    </row>
    <row r="14" customFormat="false" ht="15" hidden="false" customHeight="false" outlineLevel="0" collapsed="false">
      <c r="A14" s="2"/>
      <c r="B14" s="13" t="s">
        <v>14</v>
      </c>
      <c r="C14" s="9" t="s">
        <v>15</v>
      </c>
    </row>
    <row r="15" customFormat="false" ht="15" hidden="false" customHeight="false" outlineLevel="0" collapsed="false">
      <c r="A15" s="2"/>
      <c r="B15" s="2"/>
      <c r="C15" s="2"/>
    </row>
    <row r="16" customFormat="false" ht="15" hidden="false" customHeight="false" outlineLevel="0" collapsed="false">
      <c r="A16" s="2"/>
      <c r="B16" s="5" t="s">
        <v>16</v>
      </c>
      <c r="C16" s="6"/>
    </row>
    <row r="17" customFormat="false" ht="27" hidden="false" customHeight="true" outlineLevel="0" collapsed="false">
      <c r="A17" s="2"/>
      <c r="B17" s="7" t="s">
        <v>17</v>
      </c>
      <c r="C17" s="7"/>
    </row>
    <row r="18" customFormat="false" ht="15" hidden="false" customHeight="false" outlineLevel="0" collapsed="false">
      <c r="A18" s="2"/>
      <c r="B18" s="14" t="s">
        <v>18</v>
      </c>
      <c r="C18" s="15" t="s">
        <v>19</v>
      </c>
    </row>
    <row r="19" customFormat="false" ht="15" hidden="false" customHeight="true" outlineLevel="0" collapsed="false">
      <c r="A19" s="2"/>
      <c r="B19" s="16" t="s">
        <v>20</v>
      </c>
      <c r="C19" s="17" t="s">
        <v>21</v>
      </c>
    </row>
    <row r="20" customFormat="false" ht="15" hidden="false" customHeight="true" outlineLevel="0" collapsed="false">
      <c r="A20" s="2"/>
      <c r="B20" s="16" t="s">
        <v>22</v>
      </c>
      <c r="C20" s="17" t="s">
        <v>23</v>
      </c>
    </row>
    <row r="21" customFormat="false" ht="15" hidden="false" customHeight="false" outlineLevel="0" collapsed="false">
      <c r="A21" s="2"/>
      <c r="B21" s="12" t="s">
        <v>24</v>
      </c>
      <c r="C21" s="15" t="s">
        <v>25</v>
      </c>
    </row>
    <row r="22" customFormat="false" ht="15" hidden="false" customHeight="true" outlineLevel="0" collapsed="false">
      <c r="A22" s="2"/>
      <c r="B22" s="16" t="s">
        <v>26</v>
      </c>
      <c r="C22" s="17" t="s">
        <v>27</v>
      </c>
    </row>
    <row r="23" customFormat="false" ht="15" hidden="false" customHeight="true" outlineLevel="0" collapsed="false">
      <c r="A23" s="2"/>
      <c r="B23" s="16" t="s">
        <v>28</v>
      </c>
      <c r="C23" s="17" t="s">
        <v>29</v>
      </c>
    </row>
    <row r="24" customFormat="false" ht="15" hidden="false" customHeight="true" outlineLevel="0" collapsed="false">
      <c r="A24" s="2"/>
      <c r="B24" s="16" t="s">
        <v>30</v>
      </c>
      <c r="C24" s="17" t="s">
        <v>31</v>
      </c>
    </row>
    <row r="25" customFormat="false" ht="15" hidden="false" customHeight="true" outlineLevel="0" collapsed="false">
      <c r="A25" s="2"/>
      <c r="B25" s="16" t="s">
        <v>32</v>
      </c>
      <c r="C25" s="17" t="s">
        <v>33</v>
      </c>
    </row>
    <row r="26" customFormat="false" ht="15" hidden="false" customHeight="false" outlineLevel="0" collapsed="false">
      <c r="A26" s="2"/>
      <c r="B26" s="18" t="s">
        <v>34</v>
      </c>
      <c r="C26" s="15" t="s">
        <v>35</v>
      </c>
    </row>
    <row r="27" customFormat="false" ht="15" hidden="false" customHeight="true" outlineLevel="0" collapsed="false">
      <c r="A27" s="2"/>
      <c r="B27" s="16" t="s">
        <v>36</v>
      </c>
      <c r="C27" s="17" t="s">
        <v>37</v>
      </c>
    </row>
    <row r="28" customFormat="false" ht="15" hidden="false" customHeight="true" outlineLevel="0" collapsed="false">
      <c r="A28" s="2"/>
      <c r="B28" s="16" t="s">
        <v>38</v>
      </c>
      <c r="C28" s="17" t="s">
        <v>39</v>
      </c>
    </row>
    <row r="29" customFormat="false" ht="15" hidden="false" customHeight="true" outlineLevel="0" collapsed="false">
      <c r="A29" s="2"/>
      <c r="B29" s="16" t="s">
        <v>40</v>
      </c>
      <c r="C29" s="17" t="s">
        <v>41</v>
      </c>
    </row>
    <row r="30" customFormat="false" ht="15" hidden="false" customHeight="true" outlineLevel="0" collapsed="false">
      <c r="A30" s="2"/>
      <c r="B30" s="16" t="s">
        <v>42</v>
      </c>
      <c r="C30" s="17" t="s">
        <v>43</v>
      </c>
    </row>
    <row r="31" customFormat="false" ht="15" hidden="false" customHeight="true" outlineLevel="0" collapsed="false">
      <c r="A31" s="2"/>
      <c r="B31" s="16" t="s">
        <v>44</v>
      </c>
      <c r="C31" s="17" t="s">
        <v>45</v>
      </c>
    </row>
    <row r="32" customFormat="false" ht="15" hidden="false" customHeight="true" outlineLevel="0" collapsed="false">
      <c r="A32" s="2"/>
      <c r="B32" s="16" t="s">
        <v>46</v>
      </c>
      <c r="C32" s="17" t="s">
        <v>47</v>
      </c>
    </row>
    <row r="33" customFormat="false" ht="15" hidden="false" customHeight="true" outlineLevel="0" collapsed="false">
      <c r="A33" s="2"/>
      <c r="B33" s="16" t="s">
        <v>48</v>
      </c>
      <c r="C33" s="17" t="s">
        <v>49</v>
      </c>
    </row>
    <row r="34" customFormat="false" ht="15" hidden="false" customHeight="true" outlineLevel="0" collapsed="false">
      <c r="A34" s="2"/>
      <c r="B34" s="16" t="s">
        <v>50</v>
      </c>
      <c r="C34" s="17" t="s">
        <v>51</v>
      </c>
    </row>
    <row r="35" customFormat="false" ht="15" hidden="false" customHeight="false" outlineLevel="0" collapsed="false">
      <c r="A35" s="2"/>
      <c r="B35" s="2"/>
      <c r="C35" s="2"/>
    </row>
    <row r="36" customFormat="false" ht="15" hidden="false" customHeight="false" outlineLevel="0" collapsed="false">
      <c r="A36" s="2"/>
      <c r="B36" s="5" t="s">
        <v>52</v>
      </c>
      <c r="C36" s="6"/>
    </row>
    <row r="37" customFormat="false" ht="15" hidden="false" customHeight="true" outlineLevel="0" collapsed="false">
      <c r="A37" s="2"/>
      <c r="B37" s="16" t="s">
        <v>53</v>
      </c>
      <c r="C37" s="17" t="s">
        <v>54</v>
      </c>
    </row>
    <row r="38" customFormat="false" ht="27" hidden="false" customHeight="true" outlineLevel="0" collapsed="false">
      <c r="A38" s="2"/>
      <c r="B38" s="16" t="s">
        <v>55</v>
      </c>
      <c r="C38" s="17" t="s">
        <v>56</v>
      </c>
    </row>
    <row r="39" customFormat="false" ht="27" hidden="false" customHeight="true" outlineLevel="0" collapsed="false">
      <c r="A39" s="2"/>
      <c r="B39" s="16" t="s">
        <v>57</v>
      </c>
      <c r="C39" s="17" t="s">
        <v>58</v>
      </c>
    </row>
    <row r="40" customFormat="false" ht="15" hidden="false" customHeight="true" outlineLevel="0" collapsed="false">
      <c r="A40" s="2"/>
      <c r="B40" s="16" t="s">
        <v>59</v>
      </c>
      <c r="C40" s="17" t="s">
        <v>60</v>
      </c>
    </row>
    <row r="41" customFormat="false" ht="27" hidden="false" customHeight="true" outlineLevel="0" collapsed="false">
      <c r="A41" s="2"/>
      <c r="B41" s="16" t="s">
        <v>61</v>
      </c>
      <c r="C41" s="17" t="s">
        <v>62</v>
      </c>
    </row>
    <row r="42" customFormat="false" ht="15" hidden="false" customHeight="true" outlineLevel="0" collapsed="false">
      <c r="A42" s="2"/>
      <c r="B42" s="16" t="s">
        <v>63</v>
      </c>
      <c r="C42" s="17" t="s">
        <v>64</v>
      </c>
    </row>
    <row r="43" customFormat="false" ht="15" hidden="false" customHeight="true" outlineLevel="0" collapsed="false">
      <c r="A43" s="2"/>
      <c r="B43" s="16" t="s">
        <v>65</v>
      </c>
      <c r="C43" s="17" t="s">
        <v>66</v>
      </c>
    </row>
    <row r="44" customFormat="false" ht="27" hidden="false" customHeight="true" outlineLevel="0" collapsed="false">
      <c r="A44" s="2"/>
      <c r="B44" s="16" t="s">
        <v>67</v>
      </c>
      <c r="C44" s="17" t="s">
        <v>68</v>
      </c>
    </row>
    <row r="45" customFormat="false" ht="15" hidden="false" customHeight="false" outlineLevel="0" collapsed="false">
      <c r="A45" s="2"/>
      <c r="B45" s="2"/>
      <c r="C45" s="2"/>
    </row>
    <row r="46" customFormat="false" ht="15" hidden="false" customHeight="false" outlineLevel="0" collapsed="false">
      <c r="A46" s="2"/>
      <c r="B46" s="5" t="s">
        <v>69</v>
      </c>
      <c r="C46" s="6"/>
    </row>
    <row r="47" customFormat="false" ht="40.5" hidden="false" customHeight="true" outlineLevel="0" collapsed="false">
      <c r="A47" s="2"/>
      <c r="B47" s="19" t="s">
        <v>70</v>
      </c>
      <c r="C47" s="17" t="s">
        <v>71</v>
      </c>
    </row>
    <row r="48" customFormat="false" ht="81" hidden="false" customHeight="true" outlineLevel="0" collapsed="false">
      <c r="A48" s="2"/>
      <c r="B48" s="19" t="s">
        <v>72</v>
      </c>
      <c r="C48" s="17" t="s">
        <v>73</v>
      </c>
    </row>
    <row r="49" customFormat="false" ht="27" hidden="false" customHeight="true" outlineLevel="0" collapsed="false">
      <c r="A49" s="2"/>
      <c r="B49" s="19" t="s">
        <v>74</v>
      </c>
      <c r="C49" s="17" t="s">
        <v>75</v>
      </c>
    </row>
    <row r="50" customFormat="false" ht="54" hidden="false" customHeight="true" outlineLevel="0" collapsed="false">
      <c r="A50" s="2"/>
      <c r="B50" s="19" t="s">
        <v>76</v>
      </c>
      <c r="C50" s="17" t="s">
        <v>77</v>
      </c>
    </row>
    <row r="51" customFormat="false" ht="67.5" hidden="false" customHeight="true" outlineLevel="0" collapsed="false">
      <c r="A51" s="2"/>
      <c r="B51" s="19" t="s">
        <v>78</v>
      </c>
      <c r="C51" s="17" t="s">
        <v>79</v>
      </c>
    </row>
    <row r="52" customFormat="false" ht="40.5" hidden="false" customHeight="true" outlineLevel="0" collapsed="false">
      <c r="A52" s="2"/>
      <c r="B52" s="19" t="s">
        <v>80</v>
      </c>
      <c r="C52" s="17" t="s">
        <v>81</v>
      </c>
    </row>
    <row r="53" customFormat="false" ht="27" hidden="false" customHeight="true" outlineLevel="0" collapsed="false">
      <c r="A53" s="2"/>
      <c r="B53" s="19" t="s">
        <v>82</v>
      </c>
      <c r="C53" s="17" t="s">
        <v>83</v>
      </c>
    </row>
    <row r="54" customFormat="false" ht="15" hidden="false" customHeight="true" outlineLevel="0" collapsed="false">
      <c r="A54" s="2"/>
      <c r="B54" s="19" t="s">
        <v>84</v>
      </c>
      <c r="C54" s="17" t="s">
        <v>85</v>
      </c>
    </row>
    <row r="55" customFormat="false" ht="27" hidden="false" customHeight="true" outlineLevel="0" collapsed="false">
      <c r="A55" s="2"/>
      <c r="B55" s="19" t="s">
        <v>86</v>
      </c>
      <c r="C55" s="17" t="s">
        <v>87</v>
      </c>
    </row>
    <row r="56" customFormat="false" ht="27" hidden="false" customHeight="true" outlineLevel="0" collapsed="false">
      <c r="A56" s="2"/>
      <c r="B56" s="19" t="s">
        <v>88</v>
      </c>
      <c r="C56" s="17" t="s">
        <v>89</v>
      </c>
    </row>
    <row r="57" customFormat="false" ht="40.5" hidden="false" customHeight="true" outlineLevel="0" collapsed="false">
      <c r="A57" s="2"/>
      <c r="B57" s="19" t="s">
        <v>90</v>
      </c>
      <c r="C57" s="17" t="s">
        <v>91</v>
      </c>
    </row>
    <row r="58" customFormat="false" ht="15" hidden="false" customHeight="false" outlineLevel="0" collapsed="false">
      <c r="A58" s="2"/>
      <c r="B58" s="2"/>
      <c r="C58" s="2"/>
    </row>
    <row r="59" customFormat="false" ht="15" hidden="false" customHeight="false" outlineLevel="0" collapsed="false">
      <c r="A59" s="2"/>
      <c r="B59" s="5" t="s">
        <v>92</v>
      </c>
      <c r="C59" s="6"/>
    </row>
    <row r="60" customFormat="false" ht="54" hidden="false" customHeight="true" outlineLevel="0" collapsed="false">
      <c r="A60" s="2"/>
      <c r="B60" s="16" t="s">
        <v>93</v>
      </c>
      <c r="C60" s="17" t="s">
        <v>94</v>
      </c>
    </row>
    <row r="61" customFormat="false" ht="27" hidden="false" customHeight="true" outlineLevel="0" collapsed="false">
      <c r="A61" s="2"/>
      <c r="B61" s="16" t="s">
        <v>95</v>
      </c>
      <c r="C61" s="17" t="s">
        <v>96</v>
      </c>
    </row>
    <row r="62" customFormat="false" ht="54" hidden="false" customHeight="true" outlineLevel="0" collapsed="false">
      <c r="A62" s="2"/>
      <c r="B62" s="16" t="s">
        <v>97</v>
      </c>
      <c r="C62" s="17" t="s">
        <v>98</v>
      </c>
    </row>
    <row r="63" customFormat="false" ht="27" hidden="false" customHeight="true" outlineLevel="0" collapsed="false">
      <c r="A63" s="2"/>
      <c r="B63" s="16" t="s">
        <v>99</v>
      </c>
      <c r="C63" s="17" t="s">
        <v>100</v>
      </c>
    </row>
    <row r="64" customFormat="false" ht="27" hidden="false" customHeight="true" outlineLevel="0" collapsed="false">
      <c r="A64" s="2"/>
      <c r="B64" s="16" t="s">
        <v>101</v>
      </c>
      <c r="C64" s="17" t="s">
        <v>102</v>
      </c>
    </row>
    <row r="65" customFormat="false" ht="15" hidden="false" customHeight="false" outlineLevel="0" collapsed="false">
      <c r="A65" s="2"/>
      <c r="B65" s="2"/>
      <c r="C65" s="2"/>
    </row>
    <row r="66" customFormat="false" ht="15" hidden="false" customHeight="false" outlineLevel="0" collapsed="false">
      <c r="A66" s="2"/>
      <c r="B66" s="5" t="s">
        <v>103</v>
      </c>
      <c r="C66" s="6"/>
    </row>
    <row r="67" customFormat="false" ht="40.5" hidden="false" customHeight="true" outlineLevel="0" collapsed="false">
      <c r="A67" s="2"/>
      <c r="B67" s="16" t="s">
        <v>104</v>
      </c>
      <c r="C67" s="17" t="s">
        <v>105</v>
      </c>
    </row>
    <row r="68" customFormat="false" ht="40.5" hidden="false" customHeight="true" outlineLevel="0" collapsed="false">
      <c r="A68" s="2"/>
      <c r="B68" s="16" t="s">
        <v>106</v>
      </c>
      <c r="C68" s="17" t="s">
        <v>107</v>
      </c>
    </row>
    <row r="69" customFormat="false" ht="27" hidden="false" customHeight="true" outlineLevel="0" collapsed="false">
      <c r="A69" s="2"/>
      <c r="B69" s="16" t="s">
        <v>108</v>
      </c>
      <c r="C69" s="17" t="s">
        <v>109</v>
      </c>
    </row>
    <row r="70" customFormat="false" ht="81" hidden="false" customHeight="true" outlineLevel="0" collapsed="false">
      <c r="A70" s="2"/>
      <c r="B70" s="16" t="s">
        <v>110</v>
      </c>
      <c r="C70" s="17" t="s">
        <v>111</v>
      </c>
    </row>
    <row r="71" customFormat="false" ht="67.5" hidden="false" customHeight="true" outlineLevel="0" collapsed="false">
      <c r="A71" s="2"/>
      <c r="B71" s="16" t="s">
        <v>112</v>
      </c>
      <c r="C71" s="17" t="s">
        <v>113</v>
      </c>
    </row>
    <row r="72" customFormat="false" ht="40.5" hidden="false" customHeight="true" outlineLevel="0" collapsed="false">
      <c r="A72" s="2"/>
      <c r="B72" s="16" t="s">
        <v>114</v>
      </c>
      <c r="C72" s="17" t="s">
        <v>115</v>
      </c>
    </row>
    <row r="73" customFormat="false" ht="27" hidden="false" customHeight="true" outlineLevel="0" collapsed="false">
      <c r="A73" s="2"/>
      <c r="B73" s="16" t="s">
        <v>116</v>
      </c>
      <c r="C73" s="17" t="s">
        <v>117</v>
      </c>
    </row>
    <row r="74" customFormat="false" ht="67.5" hidden="false" customHeight="true" outlineLevel="0" collapsed="false">
      <c r="A74" s="2"/>
      <c r="B74" s="16" t="s">
        <v>118</v>
      </c>
      <c r="C74" s="17" t="s">
        <v>119</v>
      </c>
    </row>
    <row r="75" customFormat="false" ht="15" hidden="false" customHeight="false" outlineLevel="0" collapsed="false">
      <c r="A75" s="2"/>
      <c r="B75" s="2"/>
      <c r="C75" s="2"/>
    </row>
    <row r="76" customFormat="false" ht="15" hidden="false" customHeight="false" outlineLevel="0" collapsed="false">
      <c r="A76" s="2"/>
      <c r="B76" s="5" t="s">
        <v>120</v>
      </c>
      <c r="C76" s="6"/>
    </row>
    <row r="77" customFormat="false" ht="27" hidden="false" customHeight="true" outlineLevel="0" collapsed="false">
      <c r="A77" s="2"/>
      <c r="B77" s="7" t="s">
        <v>121</v>
      </c>
      <c r="C77" s="7"/>
    </row>
    <row r="78" customFormat="false" ht="15" hidden="false" customHeight="true" outlineLevel="0" collapsed="false">
      <c r="A78" s="2"/>
      <c r="B78" s="7" t="s">
        <v>122</v>
      </c>
      <c r="C78" s="7"/>
    </row>
    <row r="79" customFormat="false" ht="27" hidden="false" customHeight="true" outlineLevel="0" collapsed="false">
      <c r="A79" s="2"/>
      <c r="B79" s="7" t="s">
        <v>123</v>
      </c>
      <c r="C79" s="7"/>
    </row>
    <row r="80" customFormat="false" ht="27" hidden="false" customHeight="true" outlineLevel="0" collapsed="false">
      <c r="A80" s="2"/>
      <c r="B80" s="7" t="s">
        <v>124</v>
      </c>
      <c r="C80" s="7"/>
    </row>
    <row r="81" customFormat="false" ht="27" hidden="false" customHeight="true" outlineLevel="0" collapsed="false">
      <c r="A81" s="2"/>
      <c r="B81" s="7" t="s">
        <v>125</v>
      </c>
      <c r="C81" s="7"/>
    </row>
    <row r="82" customFormat="false" ht="40.5" hidden="false" customHeight="true" outlineLevel="0" collapsed="false">
      <c r="A82" s="2"/>
      <c r="B82" s="7" t="s">
        <v>126</v>
      </c>
      <c r="C82" s="7"/>
    </row>
    <row r="83" customFormat="false" ht="15" hidden="false" customHeight="false" outlineLevel="0" collapsed="false">
      <c r="A83" s="2"/>
      <c r="B83" s="2"/>
      <c r="C83" s="2"/>
    </row>
    <row r="84" customFormat="false" ht="15" hidden="false" customHeight="false" outlineLevel="0" collapsed="false">
      <c r="A84" s="2"/>
      <c r="B84" s="5" t="s">
        <v>127</v>
      </c>
      <c r="C84" s="6"/>
    </row>
    <row r="85" customFormat="false" ht="27" hidden="false" customHeight="true" outlineLevel="0" collapsed="false">
      <c r="A85" s="2"/>
      <c r="B85" s="16" t="s">
        <v>128</v>
      </c>
      <c r="C85" s="17" t="s">
        <v>129</v>
      </c>
    </row>
    <row r="86" customFormat="false" ht="15" hidden="false" customHeight="true" outlineLevel="0" collapsed="false">
      <c r="A86" s="2"/>
      <c r="B86" s="16" t="s">
        <v>32</v>
      </c>
      <c r="C86" s="17" t="s">
        <v>130</v>
      </c>
    </row>
    <row r="87" customFormat="false" ht="15" hidden="false" customHeight="true" outlineLevel="0" collapsed="false">
      <c r="A87" s="2"/>
      <c r="B87" s="16" t="s">
        <v>131</v>
      </c>
      <c r="C87" s="17" t="s">
        <v>132</v>
      </c>
    </row>
    <row r="88" customFormat="false" ht="15" hidden="false" customHeight="true" outlineLevel="0" collapsed="false">
      <c r="A88" s="2"/>
      <c r="B88" s="16" t="s">
        <v>133</v>
      </c>
      <c r="C88" s="17" t="s">
        <v>134</v>
      </c>
    </row>
    <row r="89" customFormat="false" ht="15" hidden="false" customHeight="true" outlineLevel="0" collapsed="false">
      <c r="A89" s="2"/>
      <c r="B89" s="16" t="s">
        <v>135</v>
      </c>
      <c r="C89" s="17" t="s">
        <v>136</v>
      </c>
    </row>
    <row r="90" customFormat="false" ht="15" hidden="false" customHeight="true" outlineLevel="0" collapsed="false">
      <c r="A90" s="2"/>
      <c r="B90" s="16" t="s">
        <v>137</v>
      </c>
      <c r="C90" s="17" t="s">
        <v>138</v>
      </c>
    </row>
    <row r="91" customFormat="false" ht="15" hidden="false" customHeight="true" outlineLevel="0" collapsed="false">
      <c r="A91" s="2"/>
      <c r="B91" s="16" t="s">
        <v>139</v>
      </c>
      <c r="C91" s="17" t="s">
        <v>140</v>
      </c>
    </row>
    <row r="92" customFormat="false" ht="15" hidden="false" customHeight="true" outlineLevel="0" collapsed="false">
      <c r="A92" s="2"/>
      <c r="B92" s="16" t="s">
        <v>44</v>
      </c>
      <c r="C92" s="17" t="s">
        <v>141</v>
      </c>
    </row>
    <row r="93" customFormat="false" ht="15" hidden="false" customHeight="true" outlineLevel="0" collapsed="false">
      <c r="A93" s="2"/>
      <c r="B93" s="16" t="s">
        <v>142</v>
      </c>
      <c r="C93" s="17" t="s">
        <v>143</v>
      </c>
    </row>
    <row r="94" customFormat="false" ht="15" hidden="false" customHeight="true" outlineLevel="0" collapsed="false">
      <c r="A94" s="2"/>
      <c r="B94" s="16" t="s">
        <v>144</v>
      </c>
      <c r="C94" s="17" t="s">
        <v>145</v>
      </c>
    </row>
    <row r="95" customFormat="false" ht="27" hidden="false" customHeight="true" outlineLevel="0" collapsed="false">
      <c r="A95" s="2"/>
      <c r="B95" s="16" t="s">
        <v>146</v>
      </c>
      <c r="C95" s="17" t="s">
        <v>147</v>
      </c>
    </row>
    <row r="96" customFormat="false" ht="15" hidden="false" customHeight="true" outlineLevel="0" collapsed="false">
      <c r="A96" s="2"/>
      <c r="B96" s="16" t="s">
        <v>148</v>
      </c>
      <c r="C96" s="17" t="s">
        <v>149</v>
      </c>
    </row>
    <row r="97" customFormat="false" ht="15" hidden="false" customHeight="false" outlineLevel="0" collapsed="false">
      <c r="A97" s="2"/>
      <c r="B97" s="2"/>
      <c r="C97" s="2"/>
    </row>
    <row r="98" customFormat="false" ht="15" hidden="false" customHeight="false" outlineLevel="0" collapsed="false">
      <c r="A98" s="2"/>
      <c r="B98" s="5" t="s">
        <v>150</v>
      </c>
      <c r="C98" s="6"/>
    </row>
    <row r="99" customFormat="false" ht="40.5" hidden="false" customHeight="true" outlineLevel="0" collapsed="false">
      <c r="A99" s="2"/>
      <c r="B99" s="16" t="s">
        <v>151</v>
      </c>
      <c r="C99" s="17" t="s">
        <v>152</v>
      </c>
    </row>
    <row r="100" customFormat="false" ht="27" hidden="false" customHeight="true" outlineLevel="0" collapsed="false">
      <c r="A100" s="2"/>
      <c r="B100" s="16" t="s">
        <v>153</v>
      </c>
      <c r="C100" s="17" t="s">
        <v>154</v>
      </c>
    </row>
    <row r="101" customFormat="false" ht="15" hidden="false" customHeight="true" outlineLevel="0" collapsed="false">
      <c r="A101" s="2"/>
      <c r="B101" s="16" t="s">
        <v>155</v>
      </c>
      <c r="C101" s="17" t="s">
        <v>156</v>
      </c>
    </row>
    <row r="102" customFormat="false" ht="15" hidden="false" customHeight="true" outlineLevel="0" collapsed="false">
      <c r="A102" s="2"/>
      <c r="B102" s="16" t="s">
        <v>157</v>
      </c>
      <c r="C102" s="17" t="s">
        <v>158</v>
      </c>
    </row>
    <row r="103" customFormat="false" ht="27" hidden="false" customHeight="true" outlineLevel="0" collapsed="false">
      <c r="A103" s="2"/>
      <c r="B103" s="16" t="s">
        <v>159</v>
      </c>
      <c r="C103" s="17" t="s">
        <v>160</v>
      </c>
    </row>
    <row r="104" customFormat="false" ht="27" hidden="false" customHeight="true" outlineLevel="0" collapsed="false">
      <c r="A104" s="2"/>
      <c r="B104" s="16" t="s">
        <v>161</v>
      </c>
      <c r="C104" s="17" t="s">
        <v>162</v>
      </c>
    </row>
    <row r="105" customFormat="false" ht="15" hidden="false" customHeight="true" outlineLevel="0" collapsed="false">
      <c r="A105" s="2"/>
      <c r="B105" s="7"/>
      <c r="C105" s="7"/>
    </row>
    <row r="106" customFormat="false" ht="27.75" hidden="false" customHeight="true" outlineLevel="0" collapsed="false">
      <c r="A106" s="2"/>
      <c r="B106" s="7" t="s">
        <v>163</v>
      </c>
      <c r="C106" s="7"/>
    </row>
  </sheetData>
  <sheetProtection sheet="true" formatCells="false" formatColumns="false" formatRows="false"/>
  <mergeCells count="11">
    <mergeCell ref="B6:C6"/>
    <mergeCell ref="B7:C7"/>
    <mergeCell ref="B17:C17"/>
    <mergeCell ref="B77:C77"/>
    <mergeCell ref="B78:C78"/>
    <mergeCell ref="B79:C79"/>
    <mergeCell ref="B80:C80"/>
    <mergeCell ref="B81:C81"/>
    <mergeCell ref="B82:C82"/>
    <mergeCell ref="B105:C105"/>
    <mergeCell ref="B106:C106"/>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
    <col collapsed="false" customWidth="true" hidden="false" outlineLevel="0" max="3" min="3" style="1" width="58"/>
    <col collapsed="false" customWidth="true" hidden="false" outlineLevel="0" max="4" min="4" style="1" width="22"/>
    <col collapsed="false" customWidth="true" hidden="false" outlineLevel="0" max="5" min="5" style="1" width="3"/>
    <col collapsed="false" customWidth="true" hidden="false" outlineLevel="0" max="6" min="6" style="1" width="80"/>
  </cols>
  <sheetData>
    <row r="1" customFormat="false" ht="19.7" hidden="false" customHeight="false" outlineLevel="0" collapsed="false">
      <c r="A1" s="2"/>
      <c r="B1" s="20" t="str">
        <f aca="false">D5</f>
        <v>Brightwater Fabrications Ltd (fictional example)</v>
      </c>
      <c r="C1" s="2"/>
      <c r="D1" s="2"/>
      <c r="E1" s="2"/>
      <c r="F1" s="2"/>
    </row>
    <row r="2" customFormat="false" ht="15" hidden="false" customHeight="false" outlineLevel="0" collapsed="false">
      <c r="A2" s="2"/>
      <c r="B2" s="4" t="s">
        <v>164</v>
      </c>
      <c r="C2" s="2"/>
      <c r="D2" s="2"/>
      <c r="E2" s="2"/>
      <c r="F2" s="2"/>
    </row>
    <row r="3" customFormat="false" ht="15" hidden="false" customHeight="false" outlineLevel="0" collapsed="false">
      <c r="A3" s="2"/>
      <c r="B3" s="21" t="s">
        <v>165</v>
      </c>
      <c r="C3" s="2"/>
      <c r="D3" s="2"/>
      <c r="E3" s="2"/>
      <c r="F3" s="2"/>
    </row>
    <row r="4" customFormat="false" ht="15" hidden="false" customHeight="false" outlineLevel="0" collapsed="false">
      <c r="A4" s="2"/>
      <c r="B4" s="5" t="s">
        <v>166</v>
      </c>
      <c r="C4" s="6"/>
      <c r="D4" s="6"/>
      <c r="E4" s="6"/>
      <c r="F4" s="6"/>
    </row>
    <row r="5" customFormat="false" ht="15" hidden="false" customHeight="true" outlineLevel="0" collapsed="false">
      <c r="A5" s="2"/>
      <c r="B5" s="2"/>
      <c r="C5" s="22" t="s">
        <v>167</v>
      </c>
      <c r="D5" s="23" t="s">
        <v>168</v>
      </c>
      <c r="E5" s="2"/>
      <c r="F5" s="24" t="s">
        <v>169</v>
      </c>
    </row>
    <row r="6" customFormat="false" ht="15" hidden="false" customHeight="true" outlineLevel="0" collapsed="false">
      <c r="A6" s="2"/>
      <c r="B6" s="2"/>
      <c r="C6" s="22" t="s">
        <v>170</v>
      </c>
      <c r="D6" s="23" t="s">
        <v>171</v>
      </c>
      <c r="E6" s="2"/>
      <c r="F6" s="24" t="s">
        <v>172</v>
      </c>
    </row>
    <row r="7" customFormat="false" ht="15" hidden="false" customHeight="true" outlineLevel="0" collapsed="false">
      <c r="A7" s="2"/>
      <c r="B7" s="2"/>
      <c r="C7" s="22" t="s">
        <v>173</v>
      </c>
      <c r="D7" s="25" t="n">
        <v>46332</v>
      </c>
      <c r="E7" s="2"/>
      <c r="F7" s="24" t="s">
        <v>174</v>
      </c>
    </row>
    <row r="8" customFormat="false" ht="15" hidden="false" customHeight="false" outlineLevel="0" collapsed="false">
      <c r="A8" s="2"/>
      <c r="B8" s="2"/>
      <c r="C8" s="2"/>
      <c r="D8" s="2"/>
      <c r="E8" s="2"/>
      <c r="F8" s="2"/>
    </row>
    <row r="9" customFormat="false" ht="15" hidden="false" customHeight="false" outlineLevel="0" collapsed="false">
      <c r="A9" s="2"/>
      <c r="B9" s="5" t="s">
        <v>175</v>
      </c>
      <c r="C9" s="6"/>
      <c r="D9" s="6"/>
      <c r="E9" s="6"/>
      <c r="F9" s="6"/>
    </row>
    <row r="10" customFormat="false" ht="27.75" hidden="false" customHeight="true" outlineLevel="0" collapsed="false">
      <c r="A10" s="2"/>
      <c r="B10" s="2"/>
      <c r="C10" s="22" t="s">
        <v>176</v>
      </c>
      <c r="D10" s="25" t="n">
        <v>46335</v>
      </c>
      <c r="E10" s="2"/>
      <c r="F10" s="24" t="s">
        <v>177</v>
      </c>
    </row>
    <row r="11" customFormat="false" ht="27.75" hidden="false" customHeight="true" outlineLevel="0" collapsed="false">
      <c r="A11" s="2"/>
      <c r="B11" s="2"/>
      <c r="C11" s="22" t="s">
        <v>178</v>
      </c>
      <c r="D11" s="26" t="n">
        <v>250000</v>
      </c>
      <c r="E11" s="2"/>
      <c r="F11" s="24" t="s">
        <v>179</v>
      </c>
    </row>
    <row r="12" customFormat="false" ht="15" hidden="false" customHeight="true" outlineLevel="0" collapsed="false">
      <c r="A12" s="2"/>
      <c r="B12" s="2"/>
      <c r="C12" s="22" t="s">
        <v>180</v>
      </c>
      <c r="D12" s="26" t="n">
        <v>50000</v>
      </c>
      <c r="E12" s="2"/>
      <c r="F12" s="24" t="s">
        <v>181</v>
      </c>
    </row>
    <row r="13" customFormat="false" ht="15" hidden="false" customHeight="true" outlineLevel="0" collapsed="false">
      <c r="A13" s="2"/>
      <c r="B13" s="2"/>
      <c r="C13" s="22" t="s">
        <v>182</v>
      </c>
      <c r="D13" s="26" t="n">
        <v>50000</v>
      </c>
      <c r="E13" s="2"/>
      <c r="F13" s="24" t="s">
        <v>183</v>
      </c>
    </row>
    <row r="14" customFormat="false" ht="15" hidden="false" customHeight="false" outlineLevel="0" collapsed="false">
      <c r="A14" s="2"/>
      <c r="B14" s="2"/>
      <c r="C14" s="2"/>
      <c r="D14" s="2"/>
      <c r="E14" s="2"/>
      <c r="F14" s="2"/>
    </row>
    <row r="15" customFormat="false" ht="15" hidden="false" customHeight="false" outlineLevel="0" collapsed="false">
      <c r="A15" s="2"/>
      <c r="B15" s="5" t="s">
        <v>184</v>
      </c>
      <c r="C15" s="6"/>
      <c r="D15" s="6"/>
      <c r="E15" s="6"/>
      <c r="F15" s="6"/>
    </row>
    <row r="16" customFormat="false" ht="27.75" hidden="false" customHeight="true" outlineLevel="0" collapsed="false">
      <c r="A16" s="2"/>
      <c r="B16" s="2"/>
      <c r="C16" s="22" t="s">
        <v>185</v>
      </c>
      <c r="D16" s="23" t="s">
        <v>186</v>
      </c>
      <c r="E16" s="2"/>
      <c r="F16" s="24" t="s">
        <v>187</v>
      </c>
    </row>
    <row r="17" customFormat="false" ht="15" hidden="false" customHeight="true" outlineLevel="0" collapsed="false">
      <c r="A17" s="2"/>
      <c r="B17" s="2"/>
      <c r="C17" s="22" t="s">
        <v>188</v>
      </c>
      <c r="D17" s="27" t="n">
        <v>0.2</v>
      </c>
      <c r="E17" s="2"/>
      <c r="F17" s="24" t="s">
        <v>189</v>
      </c>
    </row>
    <row r="18" customFormat="false" ht="15" hidden="false" customHeight="false" outlineLevel="0" collapsed="false">
      <c r="A18" s="2"/>
      <c r="B18" s="2"/>
      <c r="C18" s="2"/>
      <c r="D18" s="2"/>
      <c r="E18" s="2"/>
      <c r="F18" s="2"/>
    </row>
    <row r="19" customFormat="false" ht="15" hidden="false" customHeight="false" outlineLevel="0" collapsed="false">
      <c r="A19" s="2"/>
      <c r="B19" s="5" t="s">
        <v>190</v>
      </c>
      <c r="C19" s="6"/>
      <c r="D19" s="6"/>
      <c r="E19" s="6"/>
      <c r="F19" s="6"/>
    </row>
    <row r="20" customFormat="false" ht="27.75" hidden="false" customHeight="true" outlineLevel="0" collapsed="false">
      <c r="A20" s="2"/>
      <c r="B20" s="2"/>
      <c r="C20" s="22" t="s">
        <v>191</v>
      </c>
      <c r="D20" s="28" t="n">
        <v>60</v>
      </c>
      <c r="E20" s="2"/>
      <c r="F20" s="24" t="s">
        <v>192</v>
      </c>
    </row>
    <row r="21" customFormat="false" ht="15" hidden="false" customHeight="true" outlineLevel="0" collapsed="false">
      <c r="A21" s="2"/>
      <c r="B21" s="2"/>
      <c r="C21" s="22" t="s">
        <v>193</v>
      </c>
      <c r="D21" s="28" t="n">
        <v>40</v>
      </c>
      <c r="E21" s="2"/>
      <c r="F21" s="24" t="s">
        <v>194</v>
      </c>
    </row>
    <row r="22" customFormat="false" ht="39.75" hidden="false" customHeight="true" outlineLevel="0" collapsed="false">
      <c r="A22" s="2"/>
      <c r="B22" s="2"/>
      <c r="C22" s="22" t="s">
        <v>195</v>
      </c>
      <c r="D22" s="28" t="n">
        <v>28</v>
      </c>
      <c r="E22" s="2"/>
      <c r="F22" s="24" t="s">
        <v>196</v>
      </c>
    </row>
    <row r="23" customFormat="false" ht="27.75" hidden="false" customHeight="true" outlineLevel="0" collapsed="false">
      <c r="A23" s="2"/>
      <c r="B23" s="2"/>
      <c r="C23" s="22" t="s">
        <v>197</v>
      </c>
      <c r="D23" s="23" t="s">
        <v>186</v>
      </c>
      <c r="E23" s="2"/>
      <c r="F23" s="24" t="s">
        <v>198</v>
      </c>
    </row>
    <row r="24" customFormat="false" ht="15" hidden="false" customHeight="false" outlineLevel="0" collapsed="false">
      <c r="A24" s="2"/>
      <c r="B24" s="2"/>
      <c r="C24" s="2"/>
      <c r="D24" s="2"/>
      <c r="E24" s="2"/>
      <c r="F24" s="2"/>
    </row>
    <row r="25" customFormat="false" ht="15" hidden="false" customHeight="false" outlineLevel="0" collapsed="false">
      <c r="A25" s="2"/>
      <c r="B25" s="5" t="s">
        <v>199</v>
      </c>
      <c r="C25" s="6"/>
      <c r="D25" s="6"/>
      <c r="E25" s="6"/>
      <c r="F25" s="6"/>
    </row>
    <row r="26" customFormat="false" ht="15" hidden="false" customHeight="true" outlineLevel="0" collapsed="false">
      <c r="A26" s="2"/>
      <c r="B26" s="2"/>
      <c r="C26" s="22" t="s">
        <v>200</v>
      </c>
      <c r="D26" s="26" t="n">
        <v>789000</v>
      </c>
      <c r="E26" s="2"/>
      <c r="F26" s="24" t="s">
        <v>201</v>
      </c>
    </row>
    <row r="27" customFormat="false" ht="15" hidden="false" customHeight="true" outlineLevel="0" collapsed="false">
      <c r="A27" s="2"/>
      <c r="B27" s="2"/>
      <c r="C27" s="22" t="s">
        <v>202</v>
      </c>
      <c r="D27" s="26" t="n">
        <v>4800000</v>
      </c>
      <c r="E27" s="2"/>
      <c r="F27" s="24" t="s">
        <v>203</v>
      </c>
    </row>
    <row r="28" customFormat="false" ht="27.75" hidden="false" customHeight="true" outlineLevel="0" collapsed="false">
      <c r="A28" s="2"/>
      <c r="B28" s="2"/>
      <c r="C28" s="22" t="s">
        <v>204</v>
      </c>
      <c r="D28" s="29" t="n">
        <f aca="false">IF(N(D27)=0,"",ROUND(D26/D27*365,0))</f>
        <v>60</v>
      </c>
      <c r="E28" s="2"/>
      <c r="F28" s="24" t="s">
        <v>205</v>
      </c>
    </row>
    <row r="29" customFormat="false" ht="15" hidden="false" customHeight="true" outlineLevel="0" collapsed="false">
      <c r="A29" s="2"/>
      <c r="B29" s="2"/>
      <c r="C29" s="22" t="s">
        <v>206</v>
      </c>
      <c r="D29" s="26" t="n">
        <v>315000</v>
      </c>
      <c r="E29" s="2"/>
      <c r="F29" s="24" t="s">
        <v>207</v>
      </c>
    </row>
    <row r="30" customFormat="false" ht="27.75" hidden="false" customHeight="true" outlineLevel="0" collapsed="false">
      <c r="A30" s="2"/>
      <c r="B30" s="2"/>
      <c r="C30" s="22" t="s">
        <v>208</v>
      </c>
      <c r="D30" s="26" t="n">
        <v>2880000</v>
      </c>
      <c r="E30" s="2"/>
      <c r="F30" s="24" t="s">
        <v>209</v>
      </c>
    </row>
    <row r="31" customFormat="false" ht="15" hidden="false" customHeight="true" outlineLevel="0" collapsed="false">
      <c r="A31" s="2"/>
      <c r="B31" s="2"/>
      <c r="C31" s="22" t="s">
        <v>210</v>
      </c>
      <c r="D31" s="29" t="n">
        <f aca="false">IF(N(D30)=0,"",ROUND(D29/D30*365,0))</f>
        <v>40</v>
      </c>
      <c r="E31" s="2"/>
      <c r="F31" s="24" t="s">
        <v>211</v>
      </c>
    </row>
    <row r="32" customFormat="false" ht="15" hidden="false" customHeight="false" outlineLevel="0" collapsed="false">
      <c r="A32" s="2"/>
      <c r="B32" s="2"/>
      <c r="C32" s="2"/>
      <c r="D32" s="2"/>
      <c r="E32" s="2"/>
      <c r="F32" s="2"/>
    </row>
    <row r="33" customFormat="false" ht="15" hidden="false" customHeight="false" outlineLevel="0" collapsed="false">
      <c r="A33" s="2"/>
      <c r="B33" s="2"/>
      <c r="C33" s="15" t="s">
        <v>212</v>
      </c>
      <c r="D33" s="30" t="n">
        <f aca="false">D10</f>
        <v>46335</v>
      </c>
      <c r="E33" s="2"/>
      <c r="F33" s="31" t="str">
        <f aca="false">IF(WEEKDAY(D10,2)&lt;&gt;1,"Warning: the start date is not a Monday – week 1 will be a part-week.","Start date OK.")</f>
        <v>Start date OK.</v>
      </c>
    </row>
    <row r="34" customFormat="false" ht="15" hidden="false" customHeight="false" outlineLevel="0" collapsed="false">
      <c r="A34" s="2"/>
      <c r="B34" s="2"/>
      <c r="C34" s="15" t="s">
        <v>213</v>
      </c>
      <c r="D34" s="30" t="n">
        <f aca="false">Lists!O21</f>
        <v>46423</v>
      </c>
      <c r="E34" s="2"/>
      <c r="F34" s="2"/>
    </row>
  </sheetData>
  <sheetProtection sheet="true" formatCells="false" formatColumns="false" formatRows="false"/>
  <dataValidations count="2">
    <dataValidation allowBlank="true" error="Please pick from the list." errorStyle="stop" errorTitle="Choose from the list" operator="between" showDropDown="false" showErrorMessage="false" showInputMessage="false" sqref="D16 D23" type="list">
      <formula1>Lists!$A$2:$A$3</formula1>
      <formula2>0</formula2>
    </dataValidation>
    <dataValidation allowBlank="false" error="The start date should be a Monday. Continue anyway?" errorStyle="warning" errorTitle="Not a Monday" operator="between" showDropDown="false" showErrorMessage="true" showInputMessage="false" sqref="D10" type="custom">
      <formula1>WEEKDAY(D10,2)=1</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6"/>
    <col collapsed="false" customWidth="true" hidden="false" outlineLevel="0" max="3" min="3" style="1" width="26"/>
    <col collapsed="false" customWidth="true" hidden="false" outlineLevel="0" max="4" min="4" style="1" width="4"/>
    <col collapsed="false" customWidth="true" hidden="false" outlineLevel="0" max="5" min="5" style="1" width="46"/>
    <col collapsed="false" customWidth="true" hidden="false" outlineLevel="0" max="6" min="6" style="1" width="18"/>
  </cols>
  <sheetData>
    <row r="1" customFormat="false" ht="19.7" hidden="false" customHeight="false" outlineLevel="0" collapsed="false">
      <c r="A1" s="20" t="str">
        <f aca="false">Setup!$D$5</f>
        <v>Brightwater Fabrications Ltd (fictional example)</v>
      </c>
      <c r="B1" s="2"/>
      <c r="C1" s="2"/>
      <c r="D1" s="2"/>
      <c r="E1" s="2"/>
      <c r="F1" s="2"/>
    </row>
    <row r="2" customFormat="false" ht="15" hidden="false" customHeight="false" outlineLevel="0" collapsed="false">
      <c r="A2" s="4" t="s">
        <v>214</v>
      </c>
      <c r="B2" s="2"/>
      <c r="C2" s="2"/>
      <c r="D2" s="2"/>
      <c r="E2" s="2"/>
      <c r="F2" s="2"/>
    </row>
    <row r="3" customFormat="false" ht="15" hidden="false" customHeight="false" outlineLevel="0" collapsed="false">
      <c r="A3" s="21" t="s">
        <v>215</v>
      </c>
      <c r="B3" s="2"/>
      <c r="C3" s="2"/>
      <c r="D3" s="2"/>
      <c r="E3" s="2"/>
      <c r="F3" s="2"/>
    </row>
    <row r="4" customFormat="false" ht="15" hidden="false" customHeight="false" outlineLevel="0" collapsed="false">
      <c r="A4" s="2"/>
      <c r="B4" s="2"/>
      <c r="C4" s="2"/>
      <c r="D4" s="2"/>
      <c r="E4" s="2"/>
      <c r="F4" s="2"/>
    </row>
    <row r="5" customFormat="false" ht="15" hidden="false" customHeight="false" outlineLevel="0" collapsed="false">
      <c r="A5" s="2"/>
      <c r="B5" s="15" t="str">
        <f aca="false">"Forecast from "&amp;TEXT(Setup!D33,"dd mmm yyyy")&amp;" to "&amp;TEXT(Setup!D34,"dd mmm yyyy")</f>
        <v>Forecast from 09 Nov 2026 to 05 Feb 2027</v>
      </c>
      <c r="C5" s="2"/>
      <c r="D5" s="2"/>
      <c r="E5" s="2"/>
      <c r="F5" s="2"/>
    </row>
    <row r="6" customFormat="false" ht="15" hidden="false" customHeight="false" outlineLevel="0" collapsed="false">
      <c r="A6" s="2"/>
      <c r="B6" s="5" t="s">
        <v>216</v>
      </c>
      <c r="C6" s="6"/>
      <c r="D6" s="2"/>
      <c r="E6" s="5" t="s">
        <v>217</v>
      </c>
      <c r="F6" s="6"/>
    </row>
    <row r="7" customFormat="false" ht="15" hidden="false" customHeight="false" outlineLevel="0" collapsed="false">
      <c r="A7" s="2"/>
      <c r="B7" s="9" t="s">
        <v>218</v>
      </c>
      <c r="C7" s="32" t="n">
        <f aca="false">Setup!D11</f>
        <v>250000</v>
      </c>
      <c r="D7" s="2"/>
      <c r="E7" s="9" t="s">
        <v>219</v>
      </c>
      <c r="F7" s="32" t="n">
        <f aca="false">Profit!P19</f>
        <v>893000</v>
      </c>
    </row>
    <row r="8" customFormat="false" ht="15" hidden="false" customHeight="false" outlineLevel="0" collapsed="false">
      <c r="A8" s="2"/>
      <c r="B8" s="9" t="s">
        <v>220</v>
      </c>
      <c r="C8" s="32" t="n">
        <f aca="false">'Cash Flow'!O46</f>
        <v>226106.666666667</v>
      </c>
      <c r="D8" s="2"/>
      <c r="E8" s="9" t="s">
        <v>221</v>
      </c>
      <c r="F8" s="32" t="n">
        <f aca="false">Profit!P32</f>
        <v>535800</v>
      </c>
    </row>
    <row r="9" customFormat="false" ht="15" hidden="false" customHeight="false" outlineLevel="0" collapsed="false">
      <c r="A9" s="2"/>
      <c r="B9" s="9" t="s">
        <v>222</v>
      </c>
      <c r="C9" s="32" t="n">
        <f aca="false">C8-C7</f>
        <v>-23893.3333333333</v>
      </c>
      <c r="D9" s="2"/>
      <c r="E9" s="9" t="s">
        <v>223</v>
      </c>
      <c r="F9" s="32" t="n">
        <f aca="false">Profit!P34</f>
        <v>357200</v>
      </c>
    </row>
    <row r="10" customFormat="false" ht="15" hidden="false" customHeight="false" outlineLevel="0" collapsed="false">
      <c r="A10" s="2"/>
      <c r="B10" s="9" t="s">
        <v>224</v>
      </c>
      <c r="C10" s="32" t="n">
        <f aca="false">MIN('Cash Flow'!$C$46:$O$46)</f>
        <v>19060</v>
      </c>
      <c r="D10" s="2"/>
      <c r="E10" s="9" t="s">
        <v>225</v>
      </c>
      <c r="F10" s="33" t="n">
        <f aca="false">Profit!P35</f>
        <v>0.4</v>
      </c>
    </row>
    <row r="11" customFormat="false" ht="15" hidden="false" customHeight="false" outlineLevel="0" collapsed="false">
      <c r="A11" s="2"/>
      <c r="B11" s="9" t="s">
        <v>226</v>
      </c>
      <c r="C11" s="34" t="n">
        <f aca="false">INDEX('Cash Flow'!$C$6:$O$6,MATCH(C10,'Cash Flow'!$C$46:$O$46,0))</f>
        <v>46395</v>
      </c>
      <c r="D11" s="2"/>
      <c r="E11" s="9" t="s">
        <v>227</v>
      </c>
      <c r="F11" s="32" t="n">
        <f aca="false">Profit!P51</f>
        <v>305400</v>
      </c>
    </row>
    <row r="12" customFormat="false" ht="15" hidden="false" customHeight="false" outlineLevel="0" collapsed="false">
      <c r="A12" s="2"/>
      <c r="B12" s="9" t="s">
        <v>228</v>
      </c>
      <c r="C12" s="32" t="n">
        <f aca="false">Setup!D12</f>
        <v>50000</v>
      </c>
      <c r="D12" s="2"/>
      <c r="E12" s="9" t="s">
        <v>229</v>
      </c>
      <c r="F12" s="32" t="n">
        <f aca="false">Profit!P53</f>
        <v>51800</v>
      </c>
    </row>
    <row r="13" customFormat="false" ht="15" hidden="false" customHeight="false" outlineLevel="0" collapsed="false">
      <c r="A13" s="2"/>
      <c r="B13" s="9" t="s">
        <v>230</v>
      </c>
      <c r="C13" s="32" t="n">
        <f aca="false">MIN('Cash Flow'!$C$48:$O$48)</f>
        <v>69060</v>
      </c>
      <c r="D13" s="2"/>
      <c r="E13" s="9" t="s">
        <v>231</v>
      </c>
      <c r="F13" s="33" t="n">
        <f aca="false">Profit!P54</f>
        <v>0.058006718924972</v>
      </c>
    </row>
    <row r="14" customFormat="false" ht="15" hidden="false" customHeight="false" outlineLevel="0" collapsed="false">
      <c r="A14" s="2"/>
      <c r="B14" s="9" t="s">
        <v>232</v>
      </c>
      <c r="C14" s="35" t="n">
        <f aca="false">COUNTIF('Cash Flow'!$C$50:$O$50,"Below buffer")+COUNTIF('Cash Flow'!$C$50:$O$50,"Overdrawn")</f>
        <v>1</v>
      </c>
      <c r="D14" s="2"/>
      <c r="E14" s="2"/>
      <c r="F14" s="2"/>
    </row>
    <row r="15" customFormat="false" ht="15" hidden="false" customHeight="false" outlineLevel="0" collapsed="false">
      <c r="A15" s="2"/>
      <c r="B15" s="9" t="s">
        <v>233</v>
      </c>
      <c r="C15" s="35" t="n">
        <f aca="false">COUNTIF('Cash Flow'!$C$50:$O$50,"OVER LIMIT")</f>
        <v>0</v>
      </c>
      <c r="D15" s="2"/>
      <c r="E15" s="5" t="s">
        <v>234</v>
      </c>
      <c r="F15" s="6"/>
    </row>
    <row r="16" customFormat="false" ht="15" hidden="false" customHeight="false" outlineLevel="0" collapsed="false">
      <c r="A16" s="2"/>
      <c r="B16" s="2"/>
      <c r="C16" s="2"/>
      <c r="D16" s="2"/>
      <c r="E16" s="9" t="s">
        <v>235</v>
      </c>
      <c r="F16" s="36" t="n">
        <f aca="false">Debtors!AA69</f>
        <v>13333.3333333333</v>
      </c>
    </row>
    <row r="17" customFormat="false" ht="15" hidden="false" customHeight="false" outlineLevel="0" collapsed="false">
      <c r="A17" s="2"/>
      <c r="B17" s="37" t="s">
        <v>236</v>
      </c>
      <c r="C17" s="38" t="str">
        <f aca="false">IF(C15&gt;0,"RED – exceeds overdraft",IF(C10&lt;0,"AMBER – uses overdraft",IF(C14&gt;0,"AMBER – below buffer","GREEN – OK")))</f>
        <v>AMBER – below buffer</v>
      </c>
      <c r="D17" s="2"/>
      <c r="E17" s="9" t="s">
        <v>237</v>
      </c>
      <c r="F17" s="36" t="n">
        <f aca="false">Creditors!AA69</f>
        <v>0</v>
      </c>
    </row>
    <row r="18" customFormat="false" ht="15" hidden="false" customHeight="false" outlineLevel="0" collapsed="false">
      <c r="A18" s="2"/>
      <c r="B18" s="2"/>
      <c r="C18" s="2"/>
      <c r="D18" s="2"/>
      <c r="E18" s="9" t="s">
        <v>238</v>
      </c>
      <c r="F18" s="36" t="n">
        <f aca="false">Sales!X47</f>
        <v>649200</v>
      </c>
    </row>
    <row r="19" customFormat="false" ht="15" hidden="false" customHeight="false" outlineLevel="0" collapsed="false">
      <c r="A19" s="2"/>
      <c r="B19" s="5" t="s">
        <v>239</v>
      </c>
      <c r="C19" s="6"/>
      <c r="D19" s="2"/>
      <c r="E19" s="9" t="s">
        <v>240</v>
      </c>
      <c r="F19" s="39" t="str">
        <f aca="false">IF(Debtors!I72="","Not checked",Debtors!I72)</f>
        <v>Not checked</v>
      </c>
    </row>
    <row r="20" customFormat="false" ht="15" hidden="false" customHeight="false" outlineLevel="0" collapsed="false">
      <c r="A20" s="2"/>
      <c r="B20" s="9" t="s">
        <v>241</v>
      </c>
      <c r="C20" s="32" t="n">
        <f aca="false">'Cash Flow'!P14</f>
        <v>1199066.66666667</v>
      </c>
      <c r="D20" s="2"/>
      <c r="E20" s="9" t="s">
        <v>242</v>
      </c>
      <c r="F20" s="39" t="str">
        <f aca="false">IF(Creditors!I72="","Not checked",Creditors!I72)</f>
        <v>Not checked</v>
      </c>
    </row>
    <row r="21" customFormat="false" ht="15" hidden="false" customHeight="false" outlineLevel="0" collapsed="false">
      <c r="A21" s="2"/>
      <c r="B21" s="9" t="s">
        <v>243</v>
      </c>
      <c r="C21" s="32" t="n">
        <f aca="false">'Cash Flow'!P41</f>
        <v>1222960</v>
      </c>
      <c r="D21" s="2"/>
      <c r="E21" s="2"/>
      <c r="F21" s="2"/>
    </row>
    <row r="22" customFormat="false" ht="15" hidden="false" customHeight="false" outlineLevel="0" collapsed="false">
      <c r="A22" s="2"/>
      <c r="B22" s="9" t="s">
        <v>244</v>
      </c>
      <c r="C22" s="32" t="n">
        <f aca="false">'Cash Flow'!P43</f>
        <v>-23893.3333333335</v>
      </c>
      <c r="D22" s="2"/>
      <c r="E22" s="2"/>
      <c r="F22" s="2"/>
    </row>
    <row r="23" customFormat="false" ht="15" hidden="false" customHeight="false" outlineLevel="0" collapsed="false">
      <c r="A23" s="2"/>
      <c r="B23" s="2"/>
      <c r="C23" s="2"/>
      <c r="D23" s="2"/>
      <c r="E23" s="2"/>
      <c r="F23" s="2"/>
    </row>
    <row r="24" customFormat="false" ht="15" hidden="false" customHeight="false" outlineLevel="0" collapsed="false">
      <c r="A24" s="2"/>
      <c r="B24" s="5" t="s">
        <v>245</v>
      </c>
      <c r="C24" s="6"/>
      <c r="D24" s="6"/>
      <c r="E24" s="6"/>
      <c r="F24" s="6"/>
    </row>
    <row r="25" customFormat="false" ht="15" hidden="false" customHeight="false" outlineLevel="0" collapsed="false">
      <c r="A25" s="2"/>
      <c r="B25" s="15" t="s">
        <v>246</v>
      </c>
      <c r="C25" s="40" t="str">
        <f aca="false">Scenarios!$C$5</f>
        <v>Base case</v>
      </c>
      <c r="D25" s="2"/>
      <c r="E25" s="2"/>
      <c r="F25" s="2"/>
    </row>
    <row r="26" customFormat="false" ht="15" hidden="false" customHeight="false" outlineLevel="0" collapsed="false">
      <c r="A26" s="2"/>
      <c r="B26" s="41" t="s">
        <v>247</v>
      </c>
      <c r="C26" s="42" t="s">
        <v>248</v>
      </c>
      <c r="D26" s="2"/>
      <c r="E26" s="42" t="s">
        <v>249</v>
      </c>
      <c r="F26" s="42" t="s">
        <v>250</v>
      </c>
    </row>
    <row r="27" customFormat="false" ht="15" hidden="false" customHeight="false" outlineLevel="0" collapsed="false">
      <c r="A27" s="2"/>
      <c r="B27" s="9" t="str">
        <f aca="false">Scenarios!B24</f>
        <v>Base case</v>
      </c>
      <c r="C27" s="43" t="n">
        <f aca="false">Scenarios!P24</f>
        <v>19060</v>
      </c>
      <c r="D27" s="2"/>
      <c r="E27" s="43" t="n">
        <f aca="false">Scenarios!R24</f>
        <v>226106.666666667</v>
      </c>
      <c r="F27" s="44" t="n">
        <f aca="false">Scenarios!S24</f>
        <v>0</v>
      </c>
    </row>
    <row r="28" customFormat="false" ht="15" hidden="false" customHeight="false" outlineLevel="0" collapsed="false">
      <c r="A28" s="2"/>
      <c r="B28" s="9" t="str">
        <f aca="false">Scenarios!B25</f>
        <v>Customers pay 2 weeks late</v>
      </c>
      <c r="C28" s="43" t="n">
        <f aca="false">Scenarios!P25</f>
        <v>-204659.540229885</v>
      </c>
      <c r="D28" s="2"/>
      <c r="E28" s="43" t="n">
        <f aca="false">Scenarios!R25</f>
        <v>-17026.6666666667</v>
      </c>
      <c r="F28" s="44" t="n">
        <f aca="false">Scenarios!S25</f>
        <v>7</v>
      </c>
    </row>
    <row r="29" customFormat="false" ht="15" hidden="false" customHeight="false" outlineLevel="0" collapsed="false">
      <c r="A29" s="2"/>
      <c r="B29" s="9" t="str">
        <f aca="false">Scenarios!B26</f>
        <v>Sales down 20%</v>
      </c>
      <c r="C29" s="43" t="n">
        <f aca="false">Scenarios!P26</f>
        <v>44536</v>
      </c>
      <c r="D29" s="2"/>
      <c r="E29" s="43" t="n">
        <f aca="false">Scenarios!R26</f>
        <v>213050.666666667</v>
      </c>
      <c r="F29" s="44" t="n">
        <f aca="false">Scenarios!S26</f>
        <v>0</v>
      </c>
    </row>
    <row r="30" customFormat="false" ht="15" hidden="false" customHeight="false" outlineLevel="0" collapsed="false">
      <c r="A30" s="2"/>
      <c r="B30" s="9" t="str">
        <f aca="false">Scenarios!B27</f>
        <v>Severe downturn</v>
      </c>
      <c r="C30" s="43" t="n">
        <f aca="false">Scenarios!P27</f>
        <v>-336734.267241379</v>
      </c>
      <c r="D30" s="2"/>
      <c r="E30" s="43" t="n">
        <f aca="false">Scenarios!R27</f>
        <v>-168634</v>
      </c>
      <c r="F30" s="44" t="n">
        <f aca="false">Scenarios!S27</f>
        <v>11</v>
      </c>
    </row>
  </sheetData>
  <sheetProtection sheet="true" formatCells="false" formatColumns="false" formatRows="false"/>
  <conditionalFormatting sqref="C17">
    <cfRule type="expression" priority="2" aboveAverage="0" equalAverage="0" bottom="0" percent="0" rank="0" text="" dxfId="0">
      <formula>LEFT(C17,3)="RED"</formula>
    </cfRule>
    <cfRule type="expression" priority="3" aboveAverage="0" equalAverage="0" bottom="0" percent="0" rank="0" text="" dxfId="1">
      <formula>LEFT(C17,5)="AMBER"</formula>
    </cfRule>
    <cfRule type="expression" priority="4" aboveAverage="0" equalAverage="0" bottom="0" percent="0" rank="0" text="" dxfId="2">
      <formula>LEFT(C17,5)="GREEN"</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5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15" min="3" style="1" width="11.5"/>
    <col collapsed="false" customWidth="true" hidden="false" outlineLevel="0" max="16" min="16" style="1" width="13"/>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row>
    <row r="2" customFormat="false" ht="15" hidden="false" customHeight="false" outlineLevel="0" collapsed="false">
      <c r="A2" s="4" t="s">
        <v>251</v>
      </c>
      <c r="B2" s="2"/>
      <c r="C2" s="2"/>
      <c r="D2" s="2"/>
      <c r="E2" s="2"/>
      <c r="F2" s="2"/>
      <c r="G2" s="2"/>
      <c r="H2" s="2"/>
      <c r="I2" s="2"/>
      <c r="J2" s="2"/>
      <c r="K2" s="2"/>
      <c r="L2" s="2"/>
      <c r="M2" s="2"/>
      <c r="N2" s="2"/>
      <c r="O2" s="2"/>
      <c r="P2" s="2"/>
    </row>
    <row r="3" customFormat="false" ht="15" hidden="false" customHeight="false" outlineLevel="0" collapsed="false">
      <c r="A3" s="21" t="s">
        <v>252</v>
      </c>
      <c r="B3" s="2"/>
      <c r="C3" s="2"/>
      <c r="D3" s="2"/>
      <c r="E3" s="2"/>
      <c r="F3" s="2"/>
      <c r="G3" s="2"/>
      <c r="H3" s="2"/>
      <c r="I3" s="2"/>
      <c r="J3" s="2"/>
      <c r="K3" s="2"/>
      <c r="L3" s="2"/>
      <c r="M3" s="2"/>
      <c r="N3" s="2"/>
      <c r="O3" s="2"/>
      <c r="P3" s="2"/>
    </row>
    <row r="4" customFormat="false" ht="15" hidden="false" customHeight="false" outlineLevel="0" collapsed="false">
      <c r="A4" s="2"/>
      <c r="B4" s="2"/>
      <c r="C4" s="2"/>
      <c r="D4" s="2"/>
      <c r="E4" s="2"/>
      <c r="F4" s="2"/>
      <c r="G4" s="2"/>
      <c r="H4" s="2"/>
      <c r="I4" s="2"/>
      <c r="J4" s="2"/>
      <c r="K4" s="2"/>
      <c r="L4" s="2"/>
      <c r="M4" s="2"/>
      <c r="N4" s="2"/>
      <c r="O4" s="2"/>
      <c r="P4" s="2"/>
    </row>
    <row r="5" customFormat="false" ht="15" hidden="false" customHeight="false" outlineLevel="0" collapsed="false">
      <c r="A5" s="2"/>
      <c r="B5" s="2"/>
      <c r="C5" s="42" t="str">
        <f aca="false">"Week "&amp;Lists!C$20</f>
        <v>Week 1</v>
      </c>
      <c r="D5" s="42" t="str">
        <f aca="false">"Week "&amp;Lists!D$20</f>
        <v>Week 2</v>
      </c>
      <c r="E5" s="42" t="str">
        <f aca="false">"Week "&amp;Lists!E$20</f>
        <v>Week 3</v>
      </c>
      <c r="F5" s="42" t="str">
        <f aca="false">"Week "&amp;Lists!F$20</f>
        <v>Week 4</v>
      </c>
      <c r="G5" s="42" t="str">
        <f aca="false">"Week "&amp;Lists!G$20</f>
        <v>Week 5</v>
      </c>
      <c r="H5" s="42" t="str">
        <f aca="false">"Week "&amp;Lists!H$20</f>
        <v>Week 6</v>
      </c>
      <c r="I5" s="42" t="str">
        <f aca="false">"Week "&amp;Lists!I$20</f>
        <v>Week 7</v>
      </c>
      <c r="J5" s="42" t="str">
        <f aca="false">"Week "&amp;Lists!J$20</f>
        <v>Week 8</v>
      </c>
      <c r="K5" s="42" t="str">
        <f aca="false">"Week "&amp;Lists!K$20</f>
        <v>Week 9</v>
      </c>
      <c r="L5" s="42" t="str">
        <f aca="false">"Week "&amp;Lists!L$20</f>
        <v>Week 10</v>
      </c>
      <c r="M5" s="42" t="str">
        <f aca="false">"Week "&amp;Lists!M$20</f>
        <v>Week 11</v>
      </c>
      <c r="N5" s="42" t="str">
        <f aca="false">"Week "&amp;Lists!N$20</f>
        <v>Week 12</v>
      </c>
      <c r="O5" s="42" t="str">
        <f aca="false">"Week "&amp;Lists!O$20</f>
        <v>Week 13</v>
      </c>
      <c r="P5" s="42" t="s">
        <v>253</v>
      </c>
    </row>
    <row r="6" customFormat="false" ht="15" hidden="false" customHeight="false" outlineLevel="0" collapsed="false">
      <c r="A6" s="2"/>
      <c r="B6" s="2"/>
      <c r="C6" s="45" t="n">
        <f aca="false">Lists!C$21</f>
        <v>46339</v>
      </c>
      <c r="D6" s="45" t="n">
        <f aca="false">Lists!D$21</f>
        <v>46346</v>
      </c>
      <c r="E6" s="45" t="n">
        <f aca="false">Lists!E$21</f>
        <v>46353</v>
      </c>
      <c r="F6" s="45" t="n">
        <f aca="false">Lists!F$21</f>
        <v>46360</v>
      </c>
      <c r="G6" s="45" t="n">
        <f aca="false">Lists!G$21</f>
        <v>46367</v>
      </c>
      <c r="H6" s="45" t="n">
        <f aca="false">Lists!H$21</f>
        <v>46374</v>
      </c>
      <c r="I6" s="45" t="n">
        <f aca="false">Lists!I$21</f>
        <v>46381</v>
      </c>
      <c r="J6" s="45" t="n">
        <f aca="false">Lists!J$21</f>
        <v>46388</v>
      </c>
      <c r="K6" s="45" t="n">
        <f aca="false">Lists!K$21</f>
        <v>46395</v>
      </c>
      <c r="L6" s="45" t="n">
        <f aca="false">Lists!L$21</f>
        <v>46402</v>
      </c>
      <c r="M6" s="45" t="n">
        <f aca="false">Lists!M$21</f>
        <v>46409</v>
      </c>
      <c r="N6" s="45" t="n">
        <f aca="false">Lists!N$21</f>
        <v>46416</v>
      </c>
      <c r="O6" s="45" t="n">
        <f aca="false">Lists!O$21</f>
        <v>46423</v>
      </c>
      <c r="P6" s="42" t="s">
        <v>254</v>
      </c>
    </row>
    <row r="7" customFormat="false" ht="15" hidden="false" customHeight="false" outlineLevel="0" collapsed="false">
      <c r="A7" s="2"/>
      <c r="B7" s="2"/>
      <c r="C7" s="2"/>
      <c r="D7" s="2"/>
      <c r="E7" s="2"/>
      <c r="F7" s="2"/>
      <c r="G7" s="2"/>
      <c r="H7" s="2"/>
      <c r="I7" s="2"/>
      <c r="J7" s="2"/>
      <c r="K7" s="2"/>
      <c r="L7" s="2"/>
      <c r="M7" s="2"/>
      <c r="N7" s="2"/>
      <c r="O7" s="2"/>
      <c r="P7" s="2"/>
    </row>
    <row r="8" customFormat="false" ht="15" hidden="false" customHeight="false" outlineLevel="0" collapsed="false">
      <c r="A8" s="2"/>
      <c r="B8" s="15" t="s">
        <v>255</v>
      </c>
      <c r="C8" s="46" t="n">
        <f aca="false">Setup!$D$11</f>
        <v>250000</v>
      </c>
      <c r="D8" s="46" t="n">
        <f aca="false">C46</f>
        <v>271409.458128079</v>
      </c>
      <c r="E8" s="46" t="n">
        <f aca="false">D46</f>
        <v>293852.676518883</v>
      </c>
      <c r="F8" s="46" t="n">
        <f aca="false">E46</f>
        <v>221315.894909688</v>
      </c>
      <c r="G8" s="46" t="n">
        <f aca="false">F46</f>
        <v>211279.113300493</v>
      </c>
      <c r="H8" s="46" t="n">
        <f aca="false">G46</f>
        <v>216471.724137931</v>
      </c>
      <c r="I8" s="46" t="n">
        <f aca="false">H46</f>
        <v>187796.091954023</v>
      </c>
      <c r="J8" s="46" t="n">
        <f aca="false">I46</f>
        <v>144320.459770115</v>
      </c>
      <c r="K8" s="46" t="n">
        <f aca="false">J46</f>
        <v>192678.16091954</v>
      </c>
      <c r="L8" s="46" t="n">
        <f aca="false">K46</f>
        <v>19060</v>
      </c>
      <c r="M8" s="46" t="n">
        <f aca="false">L46</f>
        <v>73526.6666666666</v>
      </c>
      <c r="N8" s="46" t="n">
        <f aca="false">M46</f>
        <v>109733.333333333</v>
      </c>
      <c r="O8" s="46" t="n">
        <f aca="false">N46</f>
        <v>131320</v>
      </c>
      <c r="P8" s="46" t="n">
        <f aca="false">C8</f>
        <v>250000</v>
      </c>
    </row>
    <row r="9" customFormat="false" ht="15" hidden="false" customHeight="false" outlineLevel="0" collapsed="false">
      <c r="A9" s="2"/>
      <c r="B9" s="2"/>
      <c r="C9" s="2"/>
      <c r="D9" s="2"/>
      <c r="E9" s="2"/>
      <c r="F9" s="2"/>
      <c r="G9" s="2"/>
      <c r="H9" s="2"/>
      <c r="I9" s="2"/>
      <c r="J9" s="2"/>
      <c r="K9" s="2"/>
      <c r="L9" s="2"/>
      <c r="M9" s="2"/>
      <c r="N9" s="2"/>
      <c r="O9" s="2"/>
      <c r="P9" s="2"/>
    </row>
    <row r="10" customFormat="false" ht="15" hidden="false" customHeight="false" outlineLevel="0" collapsed="false">
      <c r="A10" s="5" t="s">
        <v>256</v>
      </c>
      <c r="B10" s="6"/>
      <c r="C10" s="6"/>
      <c r="D10" s="6"/>
      <c r="E10" s="6"/>
      <c r="F10" s="6"/>
      <c r="G10" s="6"/>
      <c r="H10" s="6"/>
      <c r="I10" s="6"/>
      <c r="J10" s="6"/>
      <c r="K10" s="6"/>
      <c r="L10" s="6"/>
      <c r="M10" s="6"/>
      <c r="N10" s="6"/>
      <c r="O10" s="6"/>
      <c r="P10" s="6"/>
    </row>
    <row r="11" customFormat="false" ht="15" hidden="false" customHeight="false" outlineLevel="0" collapsed="false">
      <c r="A11" s="2"/>
      <c r="B11" s="9" t="s">
        <v>257</v>
      </c>
      <c r="C11" s="47" t="n">
        <f aca="false">Debtors!M$69</f>
        <v>40369.4581280788</v>
      </c>
      <c r="D11" s="47" t="n">
        <f aca="false">Debtors!N$69</f>
        <v>70646.5517241379</v>
      </c>
      <c r="E11" s="47" t="n">
        <f aca="false">Debtors!O$69</f>
        <v>70646.5517241379</v>
      </c>
      <c r="F11" s="47" t="n">
        <f aca="false">Debtors!P$69</f>
        <v>70646.5517241379</v>
      </c>
      <c r="G11" s="47" t="n">
        <f aca="false">Debtors!Q$69</f>
        <v>62575.9441707718</v>
      </c>
      <c r="H11" s="47" t="n">
        <f aca="false">Debtors!R$69</f>
        <v>87097.7011494253</v>
      </c>
      <c r="I11" s="47" t="n">
        <f aca="false">Debtors!S$69</f>
        <v>87097.7011494253</v>
      </c>
      <c r="J11" s="47" t="n">
        <f aca="false">Debtors!T$69</f>
        <v>87097.7011494253</v>
      </c>
      <c r="K11" s="47" t="n">
        <f aca="false">Debtors!U$69</f>
        <v>83821.8390804598</v>
      </c>
      <c r="L11" s="47" t="n">
        <f aca="false">Debtors!V$69</f>
        <v>29166.6666666667</v>
      </c>
      <c r="M11" s="47" t="n">
        <f aca="false">Debtors!W$69</f>
        <v>29166.6666666667</v>
      </c>
      <c r="N11" s="47" t="n">
        <f aca="false">Debtors!X$69</f>
        <v>29166.6666666667</v>
      </c>
      <c r="O11" s="47" t="n">
        <f aca="false">Debtors!Y$69</f>
        <v>29166.6666666667</v>
      </c>
      <c r="P11" s="46" t="n">
        <f aca="false">SUM(C11:O11)</f>
        <v>776666.666666667</v>
      </c>
    </row>
    <row r="12" customFormat="false" ht="15" hidden="false" customHeight="false" outlineLevel="0" collapsed="false">
      <c r="A12" s="2"/>
      <c r="B12" s="9" t="s">
        <v>258</v>
      </c>
      <c r="C12" s="47" t="n">
        <f aca="false">Sales!J$47</f>
        <v>0</v>
      </c>
      <c r="D12" s="47" t="n">
        <f aca="false">Sales!K$47</f>
        <v>0</v>
      </c>
      <c r="E12" s="47" t="n">
        <f aca="false">Sales!L$47</f>
        <v>0</v>
      </c>
      <c r="F12" s="47" t="n">
        <f aca="false">Sales!M$47</f>
        <v>0</v>
      </c>
      <c r="G12" s="47" t="n">
        <f aca="false">Sales!N$47</f>
        <v>0</v>
      </c>
      <c r="H12" s="47" t="n">
        <f aca="false">Sales!O$47</f>
        <v>0</v>
      </c>
      <c r="I12" s="47" t="n">
        <f aca="false">Sales!P$47</f>
        <v>0</v>
      </c>
      <c r="J12" s="47" t="n">
        <f aca="false">Sales!Q$47</f>
        <v>26400</v>
      </c>
      <c r="K12" s="47" t="n">
        <f aca="false">Sales!R$47</f>
        <v>26400</v>
      </c>
      <c r="L12" s="47" t="n">
        <f aca="false">Sales!S$47</f>
        <v>92400</v>
      </c>
      <c r="M12" s="47" t="n">
        <f aca="false">Sales!T$47</f>
        <v>92400</v>
      </c>
      <c r="N12" s="47" t="n">
        <f aca="false">Sales!U$47</f>
        <v>92400</v>
      </c>
      <c r="O12" s="47" t="n">
        <f aca="false">Sales!V$47</f>
        <v>92400</v>
      </c>
      <c r="P12" s="46" t="n">
        <f aca="false">SUM(C12:O12)</f>
        <v>422400</v>
      </c>
    </row>
    <row r="13" customFormat="false" ht="15" hidden="false" customHeight="false" outlineLevel="0" collapsed="false">
      <c r="A13" s="2"/>
      <c r="B13" s="9" t="s">
        <v>259</v>
      </c>
      <c r="C13" s="47" t="n">
        <f aca="false">'Other Cash'!C$17</f>
        <v>0</v>
      </c>
      <c r="D13" s="47" t="n">
        <f aca="false">'Other Cash'!D$17</f>
        <v>0</v>
      </c>
      <c r="E13" s="47" t="n">
        <f aca="false">'Other Cash'!E$17</f>
        <v>0</v>
      </c>
      <c r="F13" s="47" t="n">
        <f aca="false">'Other Cash'!F$17</f>
        <v>0</v>
      </c>
      <c r="G13" s="47" t="n">
        <f aca="false">'Other Cash'!G$17</f>
        <v>0</v>
      </c>
      <c r="H13" s="47" t="n">
        <f aca="false">'Other Cash'!H$17</f>
        <v>0</v>
      </c>
      <c r="I13" s="47" t="n">
        <f aca="false">'Other Cash'!I$17</f>
        <v>0</v>
      </c>
      <c r="J13" s="47" t="n">
        <f aca="false">'Other Cash'!J$17</f>
        <v>0</v>
      </c>
      <c r="K13" s="47" t="n">
        <f aca="false">'Other Cash'!K$17</f>
        <v>0</v>
      </c>
      <c r="L13" s="47" t="n">
        <f aca="false">'Other Cash'!L$17</f>
        <v>0</v>
      </c>
      <c r="M13" s="47" t="n">
        <f aca="false">'Other Cash'!M$17</f>
        <v>0</v>
      </c>
      <c r="N13" s="47" t="n">
        <f aca="false">'Other Cash'!N$17</f>
        <v>0</v>
      </c>
      <c r="O13" s="47" t="n">
        <f aca="false">'Other Cash'!O$17</f>
        <v>0</v>
      </c>
      <c r="P13" s="46" t="n">
        <f aca="false">SUM(C13:O13)</f>
        <v>0</v>
      </c>
    </row>
    <row r="14" customFormat="false" ht="15" hidden="false" customHeight="false" outlineLevel="0" collapsed="false">
      <c r="A14" s="2"/>
      <c r="B14" s="15" t="s">
        <v>241</v>
      </c>
      <c r="C14" s="48" t="n">
        <f aca="false">SUM(C11:C13)</f>
        <v>40369.4581280788</v>
      </c>
      <c r="D14" s="48" t="n">
        <f aca="false">SUM(D11:D13)</f>
        <v>70646.5517241379</v>
      </c>
      <c r="E14" s="48" t="n">
        <f aca="false">SUM(E11:E13)</f>
        <v>70646.5517241379</v>
      </c>
      <c r="F14" s="48" t="n">
        <f aca="false">SUM(F11:F13)</f>
        <v>70646.5517241379</v>
      </c>
      <c r="G14" s="48" t="n">
        <f aca="false">SUM(G11:G13)</f>
        <v>62575.9441707718</v>
      </c>
      <c r="H14" s="48" t="n">
        <f aca="false">SUM(H11:H13)</f>
        <v>87097.7011494253</v>
      </c>
      <c r="I14" s="48" t="n">
        <f aca="false">SUM(I11:I13)</f>
        <v>87097.7011494253</v>
      </c>
      <c r="J14" s="48" t="n">
        <f aca="false">SUM(J11:J13)</f>
        <v>113497.701149425</v>
      </c>
      <c r="K14" s="48" t="n">
        <f aca="false">SUM(K11:K13)</f>
        <v>110221.83908046</v>
      </c>
      <c r="L14" s="48" t="n">
        <f aca="false">SUM(L11:L13)</f>
        <v>121566.666666667</v>
      </c>
      <c r="M14" s="48" t="n">
        <f aca="false">SUM(M11:M13)</f>
        <v>121566.666666667</v>
      </c>
      <c r="N14" s="48" t="n">
        <f aca="false">SUM(N11:N13)</f>
        <v>121566.666666667</v>
      </c>
      <c r="O14" s="48" t="n">
        <f aca="false">SUM(O11:O13)</f>
        <v>121566.666666667</v>
      </c>
      <c r="P14" s="48" t="n">
        <f aca="false">SUM(P11:P13)</f>
        <v>1199066.66666667</v>
      </c>
    </row>
    <row r="15" customFormat="false" ht="15" hidden="false" customHeight="false" outlineLevel="0" collapsed="false">
      <c r="A15" s="2"/>
      <c r="B15" s="2"/>
      <c r="C15" s="2"/>
      <c r="D15" s="2"/>
      <c r="E15" s="2"/>
      <c r="F15" s="2"/>
      <c r="G15" s="2"/>
      <c r="H15" s="2"/>
      <c r="I15" s="2"/>
      <c r="J15" s="2"/>
      <c r="K15" s="2"/>
      <c r="L15" s="2"/>
      <c r="M15" s="2"/>
      <c r="N15" s="2"/>
      <c r="O15" s="2"/>
      <c r="P15" s="2"/>
    </row>
    <row r="16" customFormat="false" ht="15" hidden="false" customHeight="false" outlineLevel="0" collapsed="false">
      <c r="A16" s="5" t="s">
        <v>260</v>
      </c>
      <c r="B16" s="6"/>
      <c r="C16" s="6"/>
      <c r="D16" s="6"/>
      <c r="E16" s="6"/>
      <c r="F16" s="6"/>
      <c r="G16" s="6"/>
      <c r="H16" s="6"/>
      <c r="I16" s="6"/>
      <c r="J16" s="6"/>
      <c r="K16" s="6"/>
      <c r="L16" s="6"/>
      <c r="M16" s="6"/>
      <c r="N16" s="6"/>
      <c r="O16" s="6"/>
      <c r="P16" s="6"/>
    </row>
    <row r="17" customFormat="false" ht="15" hidden="false" customHeight="false" outlineLevel="0" collapsed="false">
      <c r="A17" s="2"/>
      <c r="B17" s="9" t="s">
        <v>261</v>
      </c>
      <c r="C17" s="47" t="n">
        <f aca="false">Creditors!M$69</f>
        <v>15000</v>
      </c>
      <c r="D17" s="47" t="n">
        <f aca="false">Creditors!N$69</f>
        <v>32583.3333333333</v>
      </c>
      <c r="E17" s="47" t="n">
        <f aca="false">Creditors!O$69</f>
        <v>70583.3333333333</v>
      </c>
      <c r="F17" s="47" t="n">
        <f aca="false">Creditors!P$69</f>
        <v>70583.3333333333</v>
      </c>
      <c r="G17" s="47" t="n">
        <f aca="false">Creditors!Q$69</f>
        <v>55583.3333333333</v>
      </c>
      <c r="H17" s="47" t="n">
        <f aca="false">Creditors!R$69</f>
        <v>44333.3333333333</v>
      </c>
      <c r="I17" s="47" t="n">
        <f aca="false">Creditors!S$69</f>
        <v>6333.33333333333</v>
      </c>
      <c r="J17" s="47" t="n">
        <f aca="false">Creditors!T$69</f>
        <v>0</v>
      </c>
      <c r="K17" s="47" t="n">
        <f aca="false">Creditors!U$69</f>
        <v>66000</v>
      </c>
      <c r="L17" s="47" t="n">
        <f aca="false">Creditors!V$69</f>
        <v>0</v>
      </c>
      <c r="M17" s="47" t="n">
        <f aca="false">Creditors!W$69</f>
        <v>0</v>
      </c>
      <c r="N17" s="47" t="n">
        <f aca="false">Creditors!X$69</f>
        <v>0</v>
      </c>
      <c r="O17" s="47" t="n">
        <f aca="false">Creditors!Y$69</f>
        <v>0</v>
      </c>
      <c r="P17" s="46" t="n">
        <f aca="false">SUM(C17:O17)</f>
        <v>361000</v>
      </c>
    </row>
    <row r="18" customFormat="false" ht="15" hidden="false" customHeight="false" outlineLevel="0" collapsed="false">
      <c r="A18" s="2"/>
      <c r="B18" s="9" t="s">
        <v>262</v>
      </c>
      <c r="C18" s="47" t="n">
        <f aca="false">'Direct Costs'!J$47</f>
        <v>0</v>
      </c>
      <c r="D18" s="47" t="n">
        <f aca="false">'Direct Costs'!K$47</f>
        <v>0</v>
      </c>
      <c r="E18" s="47" t="n">
        <f aca="false">'Direct Costs'!L$47</f>
        <v>0</v>
      </c>
      <c r="F18" s="47" t="n">
        <f aca="false">'Direct Costs'!M$47</f>
        <v>0</v>
      </c>
      <c r="G18" s="47" t="n">
        <f aca="false">'Direct Costs'!N$47</f>
        <v>0</v>
      </c>
      <c r="H18" s="47" t="n">
        <f aca="false">'Direct Costs'!O$47</f>
        <v>13860</v>
      </c>
      <c r="I18" s="47" t="n">
        <f aca="false">'Direct Costs'!P$47</f>
        <v>55440</v>
      </c>
      <c r="J18" s="47" t="n">
        <f aca="false">'Direct Costs'!Q$47</f>
        <v>55440</v>
      </c>
      <c r="K18" s="47" t="n">
        <f aca="false">'Direct Costs'!R$47</f>
        <v>55440</v>
      </c>
      <c r="L18" s="47" t="n">
        <f aca="false">'Direct Costs'!S$47</f>
        <v>55440</v>
      </c>
      <c r="M18" s="47" t="n">
        <f aca="false">'Direct Costs'!T$47</f>
        <v>55440</v>
      </c>
      <c r="N18" s="47" t="n">
        <f aca="false">'Direct Costs'!U$47</f>
        <v>46980</v>
      </c>
      <c r="O18" s="47" t="n">
        <f aca="false">'Direct Costs'!V$47</f>
        <v>19080</v>
      </c>
      <c r="P18" s="46" t="n">
        <f aca="false">SUM(C18:O18)</f>
        <v>357120</v>
      </c>
    </row>
    <row r="19" customFormat="false" ht="15" hidden="false" customHeight="false" outlineLevel="0" collapsed="false">
      <c r="A19" s="2"/>
      <c r="B19" s="9" t="str">
        <f aca="false">"Overheads – "&amp;Overheads!$B$52</f>
        <v>Overheads – Premises (rent, rates, service charge)</v>
      </c>
      <c r="C19" s="47" t="n">
        <f aca="false">Overheads!J$52</f>
        <v>0</v>
      </c>
      <c r="D19" s="47" t="n">
        <f aca="false">Overheads!K$52</f>
        <v>3500</v>
      </c>
      <c r="E19" s="47" t="n">
        <f aca="false">Overheads!L$52</f>
        <v>0</v>
      </c>
      <c r="F19" s="47" t="n">
        <f aca="false">Overheads!M$52</f>
        <v>0</v>
      </c>
      <c r="G19" s="47" t="n">
        <f aca="false">Overheads!N$52</f>
        <v>0</v>
      </c>
      <c r="H19" s="47" t="n">
        <f aca="false">Overheads!O$52</f>
        <v>3500</v>
      </c>
      <c r="I19" s="47" t="n">
        <f aca="false">Overheads!P$52</f>
        <v>36000</v>
      </c>
      <c r="J19" s="47" t="n">
        <f aca="false">Overheads!Q$52</f>
        <v>0</v>
      </c>
      <c r="K19" s="47" t="n">
        <f aca="false">Overheads!R$52</f>
        <v>0</v>
      </c>
      <c r="L19" s="47" t="n">
        <f aca="false">Overheads!S$52</f>
        <v>3500</v>
      </c>
      <c r="M19" s="47" t="n">
        <f aca="false">Overheads!T$52</f>
        <v>0</v>
      </c>
      <c r="N19" s="47" t="n">
        <f aca="false">Overheads!U$52</f>
        <v>0</v>
      </c>
      <c r="O19" s="47" t="n">
        <f aca="false">Overheads!V$52</f>
        <v>0</v>
      </c>
      <c r="P19" s="46" t="n">
        <f aca="false">SUM(C19:O19)</f>
        <v>46500</v>
      </c>
    </row>
    <row r="20" customFormat="false" ht="15" hidden="false" customHeight="false" outlineLevel="0" collapsed="false">
      <c r="A20" s="2"/>
      <c r="B20" s="9" t="str">
        <f aca="false">"Overheads – "&amp;Overheads!$B$53</f>
        <v>Overheads – Utilities (gas, electric, water)</v>
      </c>
      <c r="C20" s="47" t="n">
        <f aca="false">Overheads!J$53</f>
        <v>0</v>
      </c>
      <c r="D20" s="47" t="n">
        <f aca="false">Overheads!K$53</f>
        <v>7200</v>
      </c>
      <c r="E20" s="47" t="n">
        <f aca="false">Overheads!L$53</f>
        <v>0</v>
      </c>
      <c r="F20" s="47" t="n">
        <f aca="false">Overheads!M$53</f>
        <v>0</v>
      </c>
      <c r="G20" s="47" t="n">
        <f aca="false">Overheads!N$53</f>
        <v>0</v>
      </c>
      <c r="H20" s="47" t="n">
        <f aca="false">Overheads!O$53</f>
        <v>0</v>
      </c>
      <c r="I20" s="47" t="n">
        <f aca="false">Overheads!P$53</f>
        <v>7200</v>
      </c>
      <c r="J20" s="47" t="n">
        <f aca="false">Overheads!Q$53</f>
        <v>0</v>
      </c>
      <c r="K20" s="47" t="n">
        <f aca="false">Overheads!R$53</f>
        <v>0</v>
      </c>
      <c r="L20" s="47" t="n">
        <f aca="false">Overheads!S$53</f>
        <v>0</v>
      </c>
      <c r="M20" s="47" t="n">
        <f aca="false">Overheads!T$53</f>
        <v>7200</v>
      </c>
      <c r="N20" s="47" t="n">
        <f aca="false">Overheads!U$53</f>
        <v>0</v>
      </c>
      <c r="O20" s="47" t="n">
        <f aca="false">Overheads!V$53</f>
        <v>0</v>
      </c>
      <c r="P20" s="46" t="n">
        <f aca="false">SUM(C20:O20)</f>
        <v>21600</v>
      </c>
    </row>
    <row r="21" customFormat="false" ht="15" hidden="false" customHeight="false" outlineLevel="0" collapsed="false">
      <c r="A21" s="2"/>
      <c r="B21" s="9" t="str">
        <f aca="false">"Overheads – "&amp;Overheads!$B$54</f>
        <v>Overheads – Insurance</v>
      </c>
      <c r="C21" s="47" t="n">
        <f aca="false">Overheads!J$54</f>
        <v>0</v>
      </c>
      <c r="D21" s="47" t="n">
        <f aca="false">Overheads!K$54</f>
        <v>0</v>
      </c>
      <c r="E21" s="47" t="n">
        <f aca="false">Overheads!L$54</f>
        <v>0</v>
      </c>
      <c r="F21" s="47" t="n">
        <f aca="false">Overheads!M$54</f>
        <v>2500</v>
      </c>
      <c r="G21" s="47" t="n">
        <f aca="false">Overheads!N$54</f>
        <v>0</v>
      </c>
      <c r="H21" s="47" t="n">
        <f aca="false">Overheads!O$54</f>
        <v>0</v>
      </c>
      <c r="I21" s="47" t="n">
        <f aca="false">Overheads!P$54</f>
        <v>0</v>
      </c>
      <c r="J21" s="47" t="n">
        <f aca="false">Overheads!Q$54</f>
        <v>2500</v>
      </c>
      <c r="K21" s="47" t="n">
        <f aca="false">Overheads!R$54</f>
        <v>0</v>
      </c>
      <c r="L21" s="47" t="n">
        <f aca="false">Overheads!S$54</f>
        <v>0</v>
      </c>
      <c r="M21" s="47" t="n">
        <f aca="false">Overheads!T$54</f>
        <v>0</v>
      </c>
      <c r="N21" s="47" t="n">
        <f aca="false">Overheads!U$54</f>
        <v>0</v>
      </c>
      <c r="O21" s="47" t="n">
        <f aca="false">Overheads!V$54</f>
        <v>2500</v>
      </c>
      <c r="P21" s="46" t="n">
        <f aca="false">SUM(C21:O21)</f>
        <v>7500</v>
      </c>
    </row>
    <row r="22" customFormat="false" ht="15" hidden="false" customHeight="false" outlineLevel="0" collapsed="false">
      <c r="A22" s="2"/>
      <c r="B22" s="9" t="str">
        <f aca="false">"Overheads – "&amp;Overheads!$B$55</f>
        <v>Overheads – IT &amp; software</v>
      </c>
      <c r="C22" s="47" t="n">
        <f aca="false">Overheads!J$55</f>
        <v>1800</v>
      </c>
      <c r="D22" s="47" t="n">
        <f aca="false">Overheads!K$55</f>
        <v>0</v>
      </c>
      <c r="E22" s="47" t="n">
        <f aca="false">Overheads!L$55</f>
        <v>0</v>
      </c>
      <c r="F22" s="47" t="n">
        <f aca="false">Overheads!M$55</f>
        <v>0</v>
      </c>
      <c r="G22" s="47" t="n">
        <f aca="false">Overheads!N$55</f>
        <v>1800</v>
      </c>
      <c r="H22" s="47" t="n">
        <f aca="false">Overheads!O$55</f>
        <v>0</v>
      </c>
      <c r="I22" s="47" t="n">
        <f aca="false">Overheads!P$55</f>
        <v>0</v>
      </c>
      <c r="J22" s="47" t="n">
        <f aca="false">Overheads!Q$55</f>
        <v>0</v>
      </c>
      <c r="K22" s="47" t="n">
        <f aca="false">Overheads!R$55</f>
        <v>0</v>
      </c>
      <c r="L22" s="47" t="n">
        <f aca="false">Overheads!S$55</f>
        <v>1800</v>
      </c>
      <c r="M22" s="47" t="n">
        <f aca="false">Overheads!T$55</f>
        <v>0</v>
      </c>
      <c r="N22" s="47" t="n">
        <f aca="false">Overheads!U$55</f>
        <v>0</v>
      </c>
      <c r="O22" s="47" t="n">
        <f aca="false">Overheads!V$55</f>
        <v>0</v>
      </c>
      <c r="P22" s="46" t="n">
        <f aca="false">SUM(C22:O22)</f>
        <v>5400</v>
      </c>
    </row>
    <row r="23" customFormat="false" ht="15" hidden="false" customHeight="false" outlineLevel="0" collapsed="false">
      <c r="A23" s="2"/>
      <c r="B23" s="9" t="str">
        <f aca="false">"Overheads – "&amp;Overheads!$B$56</f>
        <v>Overheads – Telephone &amp; internet</v>
      </c>
      <c r="C23" s="47" t="n">
        <f aca="false">Overheads!J$56</f>
        <v>0</v>
      </c>
      <c r="D23" s="47" t="n">
        <f aca="false">Overheads!K$56</f>
        <v>720</v>
      </c>
      <c r="E23" s="47" t="n">
        <f aca="false">Overheads!L$56</f>
        <v>0</v>
      </c>
      <c r="F23" s="47" t="n">
        <f aca="false">Overheads!M$56</f>
        <v>0</v>
      </c>
      <c r="G23" s="47" t="n">
        <f aca="false">Overheads!N$56</f>
        <v>0</v>
      </c>
      <c r="H23" s="47" t="n">
        <f aca="false">Overheads!O$56</f>
        <v>720</v>
      </c>
      <c r="I23" s="47" t="n">
        <f aca="false">Overheads!P$56</f>
        <v>0</v>
      </c>
      <c r="J23" s="47" t="n">
        <f aca="false">Overheads!Q$56</f>
        <v>0</v>
      </c>
      <c r="K23" s="47" t="n">
        <f aca="false">Overheads!R$56</f>
        <v>0</v>
      </c>
      <c r="L23" s="47" t="n">
        <f aca="false">Overheads!S$56</f>
        <v>0</v>
      </c>
      <c r="M23" s="47" t="n">
        <f aca="false">Overheads!T$56</f>
        <v>720</v>
      </c>
      <c r="N23" s="47" t="n">
        <f aca="false">Overheads!U$56</f>
        <v>0</v>
      </c>
      <c r="O23" s="47" t="n">
        <f aca="false">Overheads!V$56</f>
        <v>0</v>
      </c>
      <c r="P23" s="46" t="n">
        <f aca="false">SUM(C23:O23)</f>
        <v>2160</v>
      </c>
    </row>
    <row r="24" customFormat="false" ht="15" hidden="false" customHeight="false" outlineLevel="0" collapsed="false">
      <c r="A24" s="2"/>
      <c r="B24" s="9" t="str">
        <f aca="false">"Overheads – "&amp;Overheads!$B$57</f>
        <v>Overheads – Marketing &amp; advertising</v>
      </c>
      <c r="C24" s="47" t="n">
        <f aca="false">Overheads!J$57</f>
        <v>0</v>
      </c>
      <c r="D24" s="47" t="n">
        <f aca="false">Overheads!K$57</f>
        <v>0</v>
      </c>
      <c r="E24" s="47" t="n">
        <f aca="false">Overheads!L$57</f>
        <v>0</v>
      </c>
      <c r="F24" s="47" t="n">
        <f aca="false">Overheads!M$57</f>
        <v>1800</v>
      </c>
      <c r="G24" s="47" t="n">
        <f aca="false">Overheads!N$57</f>
        <v>0</v>
      </c>
      <c r="H24" s="47" t="n">
        <f aca="false">Overheads!O$57</f>
        <v>0</v>
      </c>
      <c r="I24" s="47" t="n">
        <f aca="false">Overheads!P$57</f>
        <v>0</v>
      </c>
      <c r="J24" s="47" t="n">
        <f aca="false">Overheads!Q$57</f>
        <v>1800</v>
      </c>
      <c r="K24" s="47" t="n">
        <f aca="false">Overheads!R$57</f>
        <v>0</v>
      </c>
      <c r="L24" s="47" t="n">
        <f aca="false">Overheads!S$57</f>
        <v>0</v>
      </c>
      <c r="M24" s="47" t="n">
        <f aca="false">Overheads!T$57</f>
        <v>0</v>
      </c>
      <c r="N24" s="47" t="n">
        <f aca="false">Overheads!U$57</f>
        <v>0</v>
      </c>
      <c r="O24" s="47" t="n">
        <f aca="false">Overheads!V$57</f>
        <v>1800</v>
      </c>
      <c r="P24" s="46" t="n">
        <f aca="false">SUM(C24:O24)</f>
        <v>5400</v>
      </c>
    </row>
    <row r="25" customFormat="false" ht="15" hidden="false" customHeight="false" outlineLevel="0" collapsed="false">
      <c r="A25" s="2"/>
      <c r="B25" s="9" t="str">
        <f aca="false">"Overheads – "&amp;Overheads!$B$58</f>
        <v>Overheads – Professional fees</v>
      </c>
      <c r="C25" s="47" t="n">
        <f aca="false">Overheads!J$58</f>
        <v>0</v>
      </c>
      <c r="D25" s="47" t="n">
        <f aca="false">Overheads!K$58</f>
        <v>0</v>
      </c>
      <c r="E25" s="47" t="n">
        <f aca="false">Overheads!L$58</f>
        <v>0</v>
      </c>
      <c r="F25" s="47" t="n">
        <f aca="false">Overheads!M$58</f>
        <v>2400</v>
      </c>
      <c r="G25" s="47" t="n">
        <f aca="false">Overheads!N$58</f>
        <v>0</v>
      </c>
      <c r="H25" s="47" t="n">
        <f aca="false">Overheads!O$58</f>
        <v>0</v>
      </c>
      <c r="I25" s="47" t="n">
        <f aca="false">Overheads!P$58</f>
        <v>0</v>
      </c>
      <c r="J25" s="47" t="n">
        <f aca="false">Overheads!Q$58</f>
        <v>2400</v>
      </c>
      <c r="K25" s="47" t="n">
        <f aca="false">Overheads!R$58</f>
        <v>0</v>
      </c>
      <c r="L25" s="47" t="n">
        <f aca="false">Overheads!S$58</f>
        <v>0</v>
      </c>
      <c r="M25" s="47" t="n">
        <f aca="false">Overheads!T$58</f>
        <v>0</v>
      </c>
      <c r="N25" s="47" t="n">
        <f aca="false">Overheads!U$58</f>
        <v>2400</v>
      </c>
      <c r="O25" s="47" t="n">
        <f aca="false">Overheads!V$58</f>
        <v>0</v>
      </c>
      <c r="P25" s="46" t="n">
        <f aca="false">SUM(C25:O25)</f>
        <v>7200</v>
      </c>
    </row>
    <row r="26" customFormat="false" ht="15" hidden="false" customHeight="false" outlineLevel="0" collapsed="false">
      <c r="A26" s="2"/>
      <c r="B26" s="9" t="str">
        <f aca="false">"Overheads – "&amp;Overheads!$B$59</f>
        <v>Overheads – Motor &amp; travel</v>
      </c>
      <c r="C26" s="47" t="n">
        <f aca="false">Overheads!J$59</f>
        <v>2160</v>
      </c>
      <c r="D26" s="47" t="n">
        <f aca="false">Overheads!K$59</f>
        <v>0</v>
      </c>
      <c r="E26" s="47" t="n">
        <f aca="false">Overheads!L$59</f>
        <v>0</v>
      </c>
      <c r="F26" s="47" t="n">
        <f aca="false">Overheads!M$59</f>
        <v>0</v>
      </c>
      <c r="G26" s="47" t="n">
        <f aca="false">Overheads!N$59</f>
        <v>0</v>
      </c>
      <c r="H26" s="47" t="n">
        <f aca="false">Overheads!O$59</f>
        <v>2160</v>
      </c>
      <c r="I26" s="47" t="n">
        <f aca="false">Overheads!P$59</f>
        <v>0</v>
      </c>
      <c r="J26" s="47" t="n">
        <f aca="false">Overheads!Q$59</f>
        <v>0</v>
      </c>
      <c r="K26" s="47" t="n">
        <f aca="false">Overheads!R$59</f>
        <v>0</v>
      </c>
      <c r="L26" s="47" t="n">
        <f aca="false">Overheads!S$59</f>
        <v>2160</v>
      </c>
      <c r="M26" s="47" t="n">
        <f aca="false">Overheads!T$59</f>
        <v>0</v>
      </c>
      <c r="N26" s="47" t="n">
        <f aca="false">Overheads!U$59</f>
        <v>0</v>
      </c>
      <c r="O26" s="47" t="n">
        <f aca="false">Overheads!V$59</f>
        <v>0</v>
      </c>
      <c r="P26" s="46" t="n">
        <f aca="false">SUM(C26:O26)</f>
        <v>6480</v>
      </c>
    </row>
    <row r="27" customFormat="false" ht="15" hidden="false" customHeight="false" outlineLevel="0" collapsed="false">
      <c r="A27" s="2"/>
      <c r="B27" s="9" t="str">
        <f aca="false">"Overheads – "&amp;Overheads!$B$60</f>
        <v>Overheads – Bank charges &amp; interest</v>
      </c>
      <c r="C27" s="47" t="n">
        <f aca="false">Overheads!J$60</f>
        <v>0</v>
      </c>
      <c r="D27" s="47" t="n">
        <f aca="false">Overheads!K$60</f>
        <v>0</v>
      </c>
      <c r="E27" s="47" t="n">
        <f aca="false">Overheads!L$60</f>
        <v>0</v>
      </c>
      <c r="F27" s="47" t="n">
        <f aca="false">Overheads!M$60</f>
        <v>400</v>
      </c>
      <c r="G27" s="47" t="n">
        <f aca="false">Overheads!N$60</f>
        <v>0</v>
      </c>
      <c r="H27" s="47" t="n">
        <f aca="false">Overheads!O$60</f>
        <v>0</v>
      </c>
      <c r="I27" s="47" t="n">
        <f aca="false">Overheads!P$60</f>
        <v>0</v>
      </c>
      <c r="J27" s="47" t="n">
        <f aca="false">Overheads!Q$60</f>
        <v>0</v>
      </c>
      <c r="K27" s="47" t="n">
        <f aca="false">Overheads!R$60</f>
        <v>400</v>
      </c>
      <c r="L27" s="47" t="n">
        <f aca="false">Overheads!S$60</f>
        <v>0</v>
      </c>
      <c r="M27" s="47" t="n">
        <f aca="false">Overheads!T$60</f>
        <v>0</v>
      </c>
      <c r="N27" s="47" t="n">
        <f aca="false">Overheads!U$60</f>
        <v>0</v>
      </c>
      <c r="O27" s="47" t="n">
        <f aca="false">Overheads!V$60</f>
        <v>400</v>
      </c>
      <c r="P27" s="46" t="n">
        <f aca="false">SUM(C27:O27)</f>
        <v>1200</v>
      </c>
    </row>
    <row r="28" customFormat="false" ht="15" hidden="false" customHeight="false" outlineLevel="0" collapsed="false">
      <c r="A28" s="2"/>
      <c r="B28" s="9" t="str">
        <f aca="false">"Overheads – "&amp;Overheads!$B$61</f>
        <v>Overheads – Other overheads</v>
      </c>
      <c r="C28" s="47" t="n">
        <f aca="false">Overheads!J$61</f>
        <v>0</v>
      </c>
      <c r="D28" s="47" t="n">
        <f aca="false">Overheads!K$61</f>
        <v>0</v>
      </c>
      <c r="E28" s="47" t="n">
        <f aca="false">Overheads!L$61</f>
        <v>3600</v>
      </c>
      <c r="F28" s="47" t="n">
        <f aca="false">Overheads!M$61</f>
        <v>0</v>
      </c>
      <c r="G28" s="47" t="n">
        <f aca="false">Overheads!N$61</f>
        <v>0</v>
      </c>
      <c r="H28" s="47" t="n">
        <f aca="false">Overheads!O$61</f>
        <v>0</v>
      </c>
      <c r="I28" s="47" t="n">
        <f aca="false">Overheads!P$61</f>
        <v>3600</v>
      </c>
      <c r="J28" s="47" t="n">
        <f aca="false">Overheads!Q$61</f>
        <v>0</v>
      </c>
      <c r="K28" s="47" t="n">
        <f aca="false">Overheads!R$61</f>
        <v>0</v>
      </c>
      <c r="L28" s="47" t="n">
        <f aca="false">Overheads!S$61</f>
        <v>0</v>
      </c>
      <c r="M28" s="47" t="n">
        <f aca="false">Overheads!T$61</f>
        <v>0</v>
      </c>
      <c r="N28" s="47" t="n">
        <f aca="false">Overheads!U$61</f>
        <v>3600</v>
      </c>
      <c r="O28" s="47" t="n">
        <f aca="false">Overheads!V$61</f>
        <v>0</v>
      </c>
      <c r="P28" s="46" t="n">
        <f aca="false">SUM(C28:O28)</f>
        <v>10800</v>
      </c>
    </row>
    <row r="29" customFormat="false" ht="15" hidden="false" customHeight="false" outlineLevel="0" collapsed="false">
      <c r="A29" s="2"/>
      <c r="B29" s="9" t="str">
        <f aca="false">'Payroll &amp; Tax'!$B$32</f>
        <v>Wages (net pay)</v>
      </c>
      <c r="C29" s="47" t="n">
        <f aca="false">'Payroll &amp; Tax'!J$32</f>
        <v>0</v>
      </c>
      <c r="D29" s="47" t="n">
        <f aca="false">'Payroll &amp; Tax'!K$32</f>
        <v>0</v>
      </c>
      <c r="E29" s="47" t="n">
        <f aca="false">'Payroll &amp; Tax'!L$32</f>
        <v>47000</v>
      </c>
      <c r="F29" s="47" t="n">
        <f aca="false">'Payroll &amp; Tax'!M$32</f>
        <v>0</v>
      </c>
      <c r="G29" s="47" t="n">
        <f aca="false">'Payroll &amp; Tax'!N$32</f>
        <v>0</v>
      </c>
      <c r="H29" s="47" t="n">
        <f aca="false">'Payroll &amp; Tax'!O$32</f>
        <v>47000</v>
      </c>
      <c r="I29" s="47" t="n">
        <f aca="false">'Payroll &amp; Tax'!P$32</f>
        <v>0</v>
      </c>
      <c r="J29" s="47" t="n">
        <f aca="false">'Payroll &amp; Tax'!Q$32</f>
        <v>0</v>
      </c>
      <c r="K29" s="47" t="n">
        <f aca="false">'Payroll &amp; Tax'!R$32</f>
        <v>0</v>
      </c>
      <c r="L29" s="47" t="n">
        <f aca="false">'Payroll &amp; Tax'!S$32</f>
        <v>0</v>
      </c>
      <c r="M29" s="47" t="n">
        <f aca="false">'Payroll &amp; Tax'!T$32</f>
        <v>0</v>
      </c>
      <c r="N29" s="47" t="n">
        <f aca="false">'Payroll &amp; Tax'!U$32</f>
        <v>47000</v>
      </c>
      <c r="O29" s="47" t="n">
        <f aca="false">'Payroll &amp; Tax'!V$32</f>
        <v>0</v>
      </c>
      <c r="P29" s="46" t="n">
        <f aca="false">SUM(C29:O29)</f>
        <v>141000</v>
      </c>
    </row>
    <row r="30" customFormat="false" ht="15" hidden="false" customHeight="false" outlineLevel="0" collapsed="false">
      <c r="A30" s="2"/>
      <c r="B30" s="9" t="str">
        <f aca="false">'Payroll &amp; Tax'!$B$33</f>
        <v>PAYE &amp; NI</v>
      </c>
      <c r="C30" s="47" t="n">
        <f aca="false">'Payroll &amp; Tax'!J$33</f>
        <v>0</v>
      </c>
      <c r="D30" s="47" t="n">
        <f aca="false">'Payroll &amp; Tax'!K$33</f>
        <v>0</v>
      </c>
      <c r="E30" s="47" t="n">
        <f aca="false">'Payroll &amp; Tax'!L$33</f>
        <v>19000</v>
      </c>
      <c r="F30" s="47" t="n">
        <f aca="false">'Payroll &amp; Tax'!M$33</f>
        <v>0</v>
      </c>
      <c r="G30" s="47" t="n">
        <f aca="false">'Payroll &amp; Tax'!N$33</f>
        <v>0</v>
      </c>
      <c r="H30" s="47" t="n">
        <f aca="false">'Payroll &amp; Tax'!O$33</f>
        <v>0</v>
      </c>
      <c r="I30" s="47" t="n">
        <f aca="false">'Payroll &amp; Tax'!P$33</f>
        <v>19000</v>
      </c>
      <c r="J30" s="47" t="n">
        <f aca="false">'Payroll &amp; Tax'!Q$33</f>
        <v>0</v>
      </c>
      <c r="K30" s="47" t="n">
        <f aca="false">'Payroll &amp; Tax'!R$33</f>
        <v>0</v>
      </c>
      <c r="L30" s="47" t="n">
        <f aca="false">'Payroll &amp; Tax'!S$33</f>
        <v>0</v>
      </c>
      <c r="M30" s="47" t="n">
        <f aca="false">'Payroll &amp; Tax'!T$33</f>
        <v>19000</v>
      </c>
      <c r="N30" s="47" t="n">
        <f aca="false">'Payroll &amp; Tax'!U$33</f>
        <v>0</v>
      </c>
      <c r="O30" s="47" t="n">
        <f aca="false">'Payroll &amp; Tax'!V$33</f>
        <v>0</v>
      </c>
      <c r="P30" s="46" t="n">
        <f aca="false">SUM(C30:O30)</f>
        <v>57000</v>
      </c>
    </row>
    <row r="31" customFormat="false" ht="15" hidden="false" customHeight="false" outlineLevel="0" collapsed="false">
      <c r="A31" s="2"/>
      <c r="B31" s="9" t="str">
        <f aca="false">'Payroll &amp; Tax'!$B$34</f>
        <v>Pension</v>
      </c>
      <c r="C31" s="47" t="n">
        <f aca="false">'Payroll &amp; Tax'!J$34</f>
        <v>0</v>
      </c>
      <c r="D31" s="47" t="n">
        <f aca="false">'Payroll &amp; Tax'!K$34</f>
        <v>0</v>
      </c>
      <c r="E31" s="47" t="n">
        <f aca="false">'Payroll &amp; Tax'!L$34</f>
        <v>3000</v>
      </c>
      <c r="F31" s="47" t="n">
        <f aca="false">'Payroll &amp; Tax'!M$34</f>
        <v>0</v>
      </c>
      <c r="G31" s="47" t="n">
        <f aca="false">'Payroll &amp; Tax'!N$34</f>
        <v>0</v>
      </c>
      <c r="H31" s="47" t="n">
        <f aca="false">'Payroll &amp; Tax'!O$34</f>
        <v>0</v>
      </c>
      <c r="I31" s="47" t="n">
        <f aca="false">'Payroll &amp; Tax'!P$34</f>
        <v>3000</v>
      </c>
      <c r="J31" s="47" t="n">
        <f aca="false">'Payroll &amp; Tax'!Q$34</f>
        <v>0</v>
      </c>
      <c r="K31" s="47" t="n">
        <f aca="false">'Payroll &amp; Tax'!R$34</f>
        <v>0</v>
      </c>
      <c r="L31" s="47" t="n">
        <f aca="false">'Payroll &amp; Tax'!S$34</f>
        <v>0</v>
      </c>
      <c r="M31" s="47" t="n">
        <f aca="false">'Payroll &amp; Tax'!T$34</f>
        <v>3000</v>
      </c>
      <c r="N31" s="47" t="n">
        <f aca="false">'Payroll &amp; Tax'!U$34</f>
        <v>0</v>
      </c>
      <c r="O31" s="47" t="n">
        <f aca="false">'Payroll &amp; Tax'!V$34</f>
        <v>0</v>
      </c>
      <c r="P31" s="46" t="n">
        <f aca="false">SUM(C31:O31)</f>
        <v>9000</v>
      </c>
    </row>
    <row r="32" customFormat="false" ht="15" hidden="false" customHeight="false" outlineLevel="0" collapsed="false">
      <c r="A32" s="2"/>
      <c r="B32" s="9" t="str">
        <f aca="false">'Payroll &amp; Tax'!$B$35</f>
        <v>VAT</v>
      </c>
      <c r="C32" s="47" t="n">
        <f aca="false">'Payroll &amp; Tax'!J$35</f>
        <v>0</v>
      </c>
      <c r="D32" s="47" t="n">
        <f aca="false">'Payroll &amp; Tax'!K$35</f>
        <v>0</v>
      </c>
      <c r="E32" s="47" t="n">
        <f aca="false">'Payroll &amp; Tax'!L$35</f>
        <v>0</v>
      </c>
      <c r="F32" s="47" t="n">
        <f aca="false">'Payroll &amp; Tax'!M$35</f>
        <v>0</v>
      </c>
      <c r="G32" s="47" t="n">
        <f aca="false">'Payroll &amp; Tax'!N$35</f>
        <v>0</v>
      </c>
      <c r="H32" s="47" t="n">
        <f aca="false">'Payroll &amp; Tax'!O$35</f>
        <v>0</v>
      </c>
      <c r="I32" s="47" t="n">
        <f aca="false">'Payroll &amp; Tax'!P$35</f>
        <v>0</v>
      </c>
      <c r="J32" s="47" t="n">
        <f aca="false">'Payroll &amp; Tax'!Q$35</f>
        <v>0</v>
      </c>
      <c r="K32" s="47" t="n">
        <f aca="false">'Payroll &amp; Tax'!R$35</f>
        <v>72000</v>
      </c>
      <c r="L32" s="47" t="n">
        <f aca="false">'Payroll &amp; Tax'!S$35</f>
        <v>0</v>
      </c>
      <c r="M32" s="47" t="n">
        <f aca="false">'Payroll &amp; Tax'!T$35</f>
        <v>0</v>
      </c>
      <c r="N32" s="47" t="n">
        <f aca="false">'Payroll &amp; Tax'!U$35</f>
        <v>0</v>
      </c>
      <c r="O32" s="47" t="n">
        <f aca="false">'Payroll &amp; Tax'!V$35</f>
        <v>0</v>
      </c>
      <c r="P32" s="46" t="n">
        <f aca="false">SUM(C32:O32)</f>
        <v>72000</v>
      </c>
    </row>
    <row r="33" customFormat="false" ht="15" hidden="false" customHeight="false" outlineLevel="0" collapsed="false">
      <c r="A33" s="2"/>
      <c r="B33" s="9" t="str">
        <f aca="false">'Payroll &amp; Tax'!$B$36</f>
        <v>Corporation tax</v>
      </c>
      <c r="C33" s="47" t="n">
        <f aca="false">'Payroll &amp; Tax'!J$36</f>
        <v>0</v>
      </c>
      <c r="D33" s="47" t="n">
        <f aca="false">'Payroll &amp; Tax'!K$36</f>
        <v>0</v>
      </c>
      <c r="E33" s="47" t="n">
        <f aca="false">'Payroll &amp; Tax'!L$36</f>
        <v>0</v>
      </c>
      <c r="F33" s="47" t="n">
        <f aca="false">'Payroll &amp; Tax'!M$36</f>
        <v>0</v>
      </c>
      <c r="G33" s="47" t="n">
        <f aca="false">'Payroll &amp; Tax'!N$36</f>
        <v>0</v>
      </c>
      <c r="H33" s="47" t="n">
        <f aca="false">'Payroll &amp; Tax'!O$36</f>
        <v>0</v>
      </c>
      <c r="I33" s="47" t="n">
        <f aca="false">'Payroll &amp; Tax'!P$36</f>
        <v>0</v>
      </c>
      <c r="J33" s="47" t="n">
        <f aca="false">'Payroll &amp; Tax'!Q$36</f>
        <v>0</v>
      </c>
      <c r="K33" s="47" t="n">
        <f aca="false">'Payroll &amp; Tax'!R$36</f>
        <v>90000</v>
      </c>
      <c r="L33" s="47" t="n">
        <f aca="false">'Payroll &amp; Tax'!S$36</f>
        <v>0</v>
      </c>
      <c r="M33" s="47" t="n">
        <f aca="false">'Payroll &amp; Tax'!T$36</f>
        <v>0</v>
      </c>
      <c r="N33" s="47" t="n">
        <f aca="false">'Payroll &amp; Tax'!U$36</f>
        <v>0</v>
      </c>
      <c r="O33" s="47" t="n">
        <f aca="false">'Payroll &amp; Tax'!V$36</f>
        <v>0</v>
      </c>
      <c r="P33" s="46" t="n">
        <f aca="false">SUM(C33:O33)</f>
        <v>90000</v>
      </c>
    </row>
    <row r="34" customFormat="false" ht="15" hidden="false" customHeight="false" outlineLevel="0" collapsed="false">
      <c r="A34" s="2"/>
      <c r="B34" s="9" t="str">
        <f aca="false">'Payroll &amp; Tax'!$B$37</f>
        <v>HMRC time to pay</v>
      </c>
      <c r="C34" s="47" t="n">
        <f aca="false">'Payroll &amp; Tax'!J$37</f>
        <v>0</v>
      </c>
      <c r="D34" s="47" t="n">
        <f aca="false">'Payroll &amp; Tax'!K$37</f>
        <v>0</v>
      </c>
      <c r="E34" s="47" t="n">
        <f aca="false">'Payroll &amp; Tax'!L$37</f>
        <v>0</v>
      </c>
      <c r="F34" s="47" t="n">
        <f aca="false">'Payroll &amp; Tax'!M$37</f>
        <v>0</v>
      </c>
      <c r="G34" s="47" t="n">
        <f aca="false">'Payroll &amp; Tax'!N$37</f>
        <v>0</v>
      </c>
      <c r="H34" s="47" t="n">
        <f aca="false">'Payroll &amp; Tax'!O$37</f>
        <v>0</v>
      </c>
      <c r="I34" s="47" t="n">
        <f aca="false">'Payroll &amp; Tax'!P$37</f>
        <v>0</v>
      </c>
      <c r="J34" s="47" t="n">
        <f aca="false">'Payroll &amp; Tax'!Q$37</f>
        <v>0</v>
      </c>
      <c r="K34" s="47" t="n">
        <f aca="false">'Payroll &amp; Tax'!R$37</f>
        <v>0</v>
      </c>
      <c r="L34" s="47" t="n">
        <f aca="false">'Payroll &amp; Tax'!S$37</f>
        <v>0</v>
      </c>
      <c r="M34" s="47" t="n">
        <f aca="false">'Payroll &amp; Tax'!T$37</f>
        <v>0</v>
      </c>
      <c r="N34" s="47" t="n">
        <f aca="false">'Payroll &amp; Tax'!U$37</f>
        <v>0</v>
      </c>
      <c r="O34" s="47" t="n">
        <f aca="false">'Payroll &amp; Tax'!V$37</f>
        <v>0</v>
      </c>
      <c r="P34" s="46" t="n">
        <f aca="false">SUM(C34:O34)</f>
        <v>0</v>
      </c>
    </row>
    <row r="35" customFormat="false" ht="15" hidden="false" customHeight="false" outlineLevel="0" collapsed="false">
      <c r="A35" s="2"/>
      <c r="B35" s="9" t="str">
        <f aca="false">'Payroll &amp; Tax'!$B$38</f>
        <v>Other tax</v>
      </c>
      <c r="C35" s="47" t="n">
        <f aca="false">'Payroll &amp; Tax'!J$38</f>
        <v>0</v>
      </c>
      <c r="D35" s="47" t="n">
        <f aca="false">'Payroll &amp; Tax'!K$38</f>
        <v>0</v>
      </c>
      <c r="E35" s="47" t="n">
        <f aca="false">'Payroll &amp; Tax'!L$38</f>
        <v>0</v>
      </c>
      <c r="F35" s="47" t="n">
        <f aca="false">'Payroll &amp; Tax'!M$38</f>
        <v>0</v>
      </c>
      <c r="G35" s="47" t="n">
        <f aca="false">'Payroll &amp; Tax'!N$38</f>
        <v>0</v>
      </c>
      <c r="H35" s="47" t="n">
        <f aca="false">'Payroll &amp; Tax'!O$38</f>
        <v>0</v>
      </c>
      <c r="I35" s="47" t="n">
        <f aca="false">'Payroll &amp; Tax'!P$38</f>
        <v>0</v>
      </c>
      <c r="J35" s="47" t="n">
        <f aca="false">'Payroll &amp; Tax'!Q$38</f>
        <v>0</v>
      </c>
      <c r="K35" s="47" t="n">
        <f aca="false">'Payroll &amp; Tax'!R$38</f>
        <v>0</v>
      </c>
      <c r="L35" s="47" t="n">
        <f aca="false">'Payroll &amp; Tax'!S$38</f>
        <v>0</v>
      </c>
      <c r="M35" s="47" t="n">
        <f aca="false">'Payroll &amp; Tax'!T$38</f>
        <v>0</v>
      </c>
      <c r="N35" s="47" t="n">
        <f aca="false">'Payroll &amp; Tax'!U$38</f>
        <v>0</v>
      </c>
      <c r="O35" s="47" t="n">
        <f aca="false">'Payroll &amp; Tax'!V$38</f>
        <v>0</v>
      </c>
      <c r="P35" s="46" t="n">
        <f aca="false">SUM(C35:O35)</f>
        <v>0</v>
      </c>
    </row>
    <row r="36" customFormat="false" ht="15" hidden="false" customHeight="false" outlineLevel="0" collapsed="false">
      <c r="A36" s="2"/>
      <c r="B36" s="9" t="str">
        <f aca="false">'Loans &amp; Finance'!$B$24</f>
        <v>Loan repayment</v>
      </c>
      <c r="C36" s="47" t="n">
        <f aca="false">'Loans &amp; Finance'!J$24</f>
        <v>0</v>
      </c>
      <c r="D36" s="47" t="n">
        <f aca="false">'Loans &amp; Finance'!K$24</f>
        <v>0</v>
      </c>
      <c r="E36" s="47" t="n">
        <f aca="false">'Loans &amp; Finance'!L$24</f>
        <v>0</v>
      </c>
      <c r="F36" s="47" t="n">
        <f aca="false">'Loans &amp; Finance'!M$24</f>
        <v>3000</v>
      </c>
      <c r="G36" s="47" t="n">
        <f aca="false">'Loans &amp; Finance'!N$24</f>
        <v>0</v>
      </c>
      <c r="H36" s="47" t="n">
        <f aca="false">'Loans &amp; Finance'!O$24</f>
        <v>0</v>
      </c>
      <c r="I36" s="47" t="n">
        <f aca="false">'Loans &amp; Finance'!P$24</f>
        <v>0</v>
      </c>
      <c r="J36" s="47" t="n">
        <f aca="false">'Loans &amp; Finance'!Q$24</f>
        <v>3000</v>
      </c>
      <c r="K36" s="47" t="n">
        <f aca="false">'Loans &amp; Finance'!R$24</f>
        <v>0</v>
      </c>
      <c r="L36" s="47" t="n">
        <f aca="false">'Loans &amp; Finance'!S$24</f>
        <v>0</v>
      </c>
      <c r="M36" s="47" t="n">
        <f aca="false">'Loans &amp; Finance'!T$24</f>
        <v>0</v>
      </c>
      <c r="N36" s="47" t="n">
        <f aca="false">'Loans &amp; Finance'!U$24</f>
        <v>0</v>
      </c>
      <c r="O36" s="47" t="n">
        <f aca="false">'Loans &amp; Finance'!V$24</f>
        <v>3000</v>
      </c>
      <c r="P36" s="46" t="n">
        <f aca="false">SUM(C36:O36)</f>
        <v>9000</v>
      </c>
    </row>
    <row r="37" customFormat="false" ht="15" hidden="false" customHeight="false" outlineLevel="0" collapsed="false">
      <c r="A37" s="2"/>
      <c r="B37" s="9" t="str">
        <f aca="false">'Loans &amp; Finance'!$B$25</f>
        <v>Hire purchase / lease</v>
      </c>
      <c r="C37" s="47" t="n">
        <f aca="false">'Loans &amp; Finance'!J$25</f>
        <v>0</v>
      </c>
      <c r="D37" s="47" t="n">
        <f aca="false">'Loans &amp; Finance'!K$25</f>
        <v>4200</v>
      </c>
      <c r="E37" s="47" t="n">
        <f aca="false">'Loans &amp; Finance'!L$25</f>
        <v>0</v>
      </c>
      <c r="F37" s="47" t="n">
        <f aca="false">'Loans &amp; Finance'!M$25</f>
        <v>0</v>
      </c>
      <c r="G37" s="47" t="n">
        <f aca="false">'Loans &amp; Finance'!N$25</f>
        <v>0</v>
      </c>
      <c r="H37" s="47" t="n">
        <f aca="false">'Loans &amp; Finance'!O$25</f>
        <v>4200</v>
      </c>
      <c r="I37" s="47" t="n">
        <f aca="false">'Loans &amp; Finance'!P$25</f>
        <v>0</v>
      </c>
      <c r="J37" s="47" t="n">
        <f aca="false">'Loans &amp; Finance'!Q$25</f>
        <v>0</v>
      </c>
      <c r="K37" s="47" t="n">
        <f aca="false">'Loans &amp; Finance'!R$25</f>
        <v>0</v>
      </c>
      <c r="L37" s="47" t="n">
        <f aca="false">'Loans &amp; Finance'!S$25</f>
        <v>4200</v>
      </c>
      <c r="M37" s="47" t="n">
        <f aca="false">'Loans &amp; Finance'!T$25</f>
        <v>0</v>
      </c>
      <c r="N37" s="47" t="n">
        <f aca="false">'Loans &amp; Finance'!U$25</f>
        <v>0</v>
      </c>
      <c r="O37" s="47" t="n">
        <f aca="false">'Loans &amp; Finance'!V$25</f>
        <v>0</v>
      </c>
      <c r="P37" s="46" t="n">
        <f aca="false">SUM(C37:O37)</f>
        <v>12600</v>
      </c>
    </row>
    <row r="38" customFormat="false" ht="15" hidden="false" customHeight="false" outlineLevel="0" collapsed="false">
      <c r="A38" s="2"/>
      <c r="B38" s="9" t="str">
        <f aca="false">'Loans &amp; Finance'!$B$26</f>
        <v>Credit card</v>
      </c>
      <c r="C38" s="47" t="n">
        <f aca="false">'Loans &amp; Finance'!J$26</f>
        <v>0</v>
      </c>
      <c r="D38" s="47" t="n">
        <f aca="false">'Loans &amp; Finance'!K$26</f>
        <v>0</v>
      </c>
      <c r="E38" s="47" t="n">
        <f aca="false">'Loans &amp; Finance'!L$26</f>
        <v>0</v>
      </c>
      <c r="F38" s="47" t="n">
        <f aca="false">'Loans &amp; Finance'!M$26</f>
        <v>0</v>
      </c>
      <c r="G38" s="47" t="n">
        <f aca="false">'Loans &amp; Finance'!N$26</f>
        <v>0</v>
      </c>
      <c r="H38" s="47" t="n">
        <f aca="false">'Loans &amp; Finance'!O$26</f>
        <v>0</v>
      </c>
      <c r="I38" s="47" t="n">
        <f aca="false">'Loans &amp; Finance'!P$26</f>
        <v>0</v>
      </c>
      <c r="J38" s="47" t="n">
        <f aca="false">'Loans &amp; Finance'!Q$26</f>
        <v>0</v>
      </c>
      <c r="K38" s="47" t="n">
        <f aca="false">'Loans &amp; Finance'!R$26</f>
        <v>0</v>
      </c>
      <c r="L38" s="47" t="n">
        <f aca="false">'Loans &amp; Finance'!S$26</f>
        <v>0</v>
      </c>
      <c r="M38" s="47" t="n">
        <f aca="false">'Loans &amp; Finance'!T$26</f>
        <v>0</v>
      </c>
      <c r="N38" s="47" t="n">
        <f aca="false">'Loans &amp; Finance'!U$26</f>
        <v>0</v>
      </c>
      <c r="O38" s="47" t="n">
        <f aca="false">'Loans &amp; Finance'!V$26</f>
        <v>0</v>
      </c>
      <c r="P38" s="46" t="n">
        <f aca="false">SUM(C38:O38)</f>
        <v>0</v>
      </c>
    </row>
    <row r="39" customFormat="false" ht="15" hidden="false" customHeight="false" outlineLevel="0" collapsed="false">
      <c r="A39" s="2"/>
      <c r="B39" s="9" t="str">
        <f aca="false">'Loans &amp; Finance'!$B$27</f>
        <v>Other finance</v>
      </c>
      <c r="C39" s="47" t="n">
        <f aca="false">'Loans &amp; Finance'!J$27</f>
        <v>0</v>
      </c>
      <c r="D39" s="47" t="n">
        <f aca="false">'Loans &amp; Finance'!K$27</f>
        <v>0</v>
      </c>
      <c r="E39" s="47" t="n">
        <f aca="false">'Loans &amp; Finance'!L$27</f>
        <v>0</v>
      </c>
      <c r="F39" s="47" t="n">
        <f aca="false">'Loans &amp; Finance'!M$27</f>
        <v>0</v>
      </c>
      <c r="G39" s="47" t="n">
        <f aca="false">'Loans &amp; Finance'!N$27</f>
        <v>0</v>
      </c>
      <c r="H39" s="47" t="n">
        <f aca="false">'Loans &amp; Finance'!O$27</f>
        <v>0</v>
      </c>
      <c r="I39" s="47" t="n">
        <f aca="false">'Loans &amp; Finance'!P$27</f>
        <v>0</v>
      </c>
      <c r="J39" s="47" t="n">
        <f aca="false">'Loans &amp; Finance'!Q$27</f>
        <v>0</v>
      </c>
      <c r="K39" s="47" t="n">
        <f aca="false">'Loans &amp; Finance'!R$27</f>
        <v>0</v>
      </c>
      <c r="L39" s="47" t="n">
        <f aca="false">'Loans &amp; Finance'!S$27</f>
        <v>0</v>
      </c>
      <c r="M39" s="47" t="n">
        <f aca="false">'Loans &amp; Finance'!T$27</f>
        <v>0</v>
      </c>
      <c r="N39" s="47" t="n">
        <f aca="false">'Loans &amp; Finance'!U$27</f>
        <v>0</v>
      </c>
      <c r="O39" s="47" t="n">
        <f aca="false">'Loans &amp; Finance'!V$27</f>
        <v>0</v>
      </c>
      <c r="P39" s="46" t="n">
        <f aca="false">SUM(C39:O39)</f>
        <v>0</v>
      </c>
    </row>
    <row r="40" customFormat="false" ht="15" hidden="false" customHeight="false" outlineLevel="0" collapsed="false">
      <c r="A40" s="2"/>
      <c r="B40" s="9" t="s">
        <v>263</v>
      </c>
      <c r="C40" s="47" t="n">
        <f aca="false">'Other Cash'!C$29</f>
        <v>0</v>
      </c>
      <c r="D40" s="47" t="n">
        <f aca="false">'Other Cash'!D$29</f>
        <v>0</v>
      </c>
      <c r="E40" s="47" t="n">
        <f aca="false">'Other Cash'!E$29</f>
        <v>0</v>
      </c>
      <c r="F40" s="47" t="n">
        <f aca="false">'Other Cash'!F$29</f>
        <v>0</v>
      </c>
      <c r="G40" s="47" t="n">
        <f aca="false">'Other Cash'!G$29</f>
        <v>0</v>
      </c>
      <c r="H40" s="47" t="n">
        <f aca="false">'Other Cash'!H$29</f>
        <v>0</v>
      </c>
      <c r="I40" s="47" t="n">
        <f aca="false">'Other Cash'!I$29</f>
        <v>0</v>
      </c>
      <c r="J40" s="47" t="n">
        <f aca="false">'Other Cash'!J$29</f>
        <v>0</v>
      </c>
      <c r="K40" s="47" t="n">
        <f aca="false">'Other Cash'!K$29</f>
        <v>0</v>
      </c>
      <c r="L40" s="47" t="n">
        <f aca="false">'Other Cash'!L$29</f>
        <v>0</v>
      </c>
      <c r="M40" s="47" t="n">
        <f aca="false">'Other Cash'!M$29</f>
        <v>0</v>
      </c>
      <c r="N40" s="47" t="n">
        <f aca="false">'Other Cash'!N$29</f>
        <v>0</v>
      </c>
      <c r="O40" s="47" t="n">
        <f aca="false">'Other Cash'!O$29</f>
        <v>0</v>
      </c>
      <c r="P40" s="46" t="n">
        <f aca="false">SUM(C40:O40)</f>
        <v>0</v>
      </c>
    </row>
    <row r="41" customFormat="false" ht="15" hidden="false" customHeight="false" outlineLevel="0" collapsed="false">
      <c r="A41" s="2"/>
      <c r="B41" s="15" t="s">
        <v>243</v>
      </c>
      <c r="C41" s="48" t="n">
        <f aca="false">SUM(C17:C40)</f>
        <v>18960</v>
      </c>
      <c r="D41" s="48" t="n">
        <f aca="false">SUM(D17:D40)</f>
        <v>48203.3333333333</v>
      </c>
      <c r="E41" s="48" t="n">
        <f aca="false">SUM(E17:E40)</f>
        <v>143183.333333333</v>
      </c>
      <c r="F41" s="48" t="n">
        <f aca="false">SUM(F17:F40)</f>
        <v>80683.3333333333</v>
      </c>
      <c r="G41" s="48" t="n">
        <f aca="false">SUM(G17:G40)</f>
        <v>57383.3333333333</v>
      </c>
      <c r="H41" s="48" t="n">
        <f aca="false">SUM(H17:H40)</f>
        <v>115773.333333333</v>
      </c>
      <c r="I41" s="48" t="n">
        <f aca="false">SUM(I17:I40)</f>
        <v>130573.333333333</v>
      </c>
      <c r="J41" s="48" t="n">
        <f aca="false">SUM(J17:J40)</f>
        <v>65140</v>
      </c>
      <c r="K41" s="48" t="n">
        <f aca="false">SUM(K17:K40)</f>
        <v>283840</v>
      </c>
      <c r="L41" s="48" t="n">
        <f aca="false">SUM(L17:L40)</f>
        <v>67100</v>
      </c>
      <c r="M41" s="48" t="n">
        <f aca="false">SUM(M17:M40)</f>
        <v>85360</v>
      </c>
      <c r="N41" s="48" t="n">
        <f aca="false">SUM(N17:N40)</f>
        <v>99980</v>
      </c>
      <c r="O41" s="48" t="n">
        <f aca="false">SUM(O17:O40)</f>
        <v>26780</v>
      </c>
      <c r="P41" s="48" t="n">
        <f aca="false">SUM(P17:P40)</f>
        <v>1222960</v>
      </c>
    </row>
    <row r="42" customFormat="false" ht="15" hidden="false" customHeight="false" outlineLevel="0" collapsed="false">
      <c r="A42" s="2"/>
      <c r="B42" s="2"/>
      <c r="C42" s="2"/>
      <c r="D42" s="2"/>
      <c r="E42" s="2"/>
      <c r="F42" s="2"/>
      <c r="G42" s="2"/>
      <c r="H42" s="2"/>
      <c r="I42" s="2"/>
      <c r="J42" s="2"/>
      <c r="K42" s="2"/>
      <c r="L42" s="2"/>
      <c r="M42" s="2"/>
      <c r="N42" s="2"/>
      <c r="O42" s="2"/>
      <c r="P42" s="2"/>
    </row>
    <row r="43" customFormat="false" ht="15" hidden="false" customHeight="false" outlineLevel="0" collapsed="false">
      <c r="A43" s="2"/>
      <c r="B43" s="15" t="s">
        <v>264</v>
      </c>
      <c r="C43" s="46" t="n">
        <f aca="false">C14-C41</f>
        <v>21409.4581280788</v>
      </c>
      <c r="D43" s="46" t="n">
        <f aca="false">D14-D41</f>
        <v>22443.2183908046</v>
      </c>
      <c r="E43" s="46" t="n">
        <f aca="false">E14-E41</f>
        <v>-72536.7816091954</v>
      </c>
      <c r="F43" s="46" t="n">
        <f aca="false">F14-F41</f>
        <v>-10036.7816091954</v>
      </c>
      <c r="G43" s="46" t="n">
        <f aca="false">G14-G41</f>
        <v>5192.61083743842</v>
      </c>
      <c r="H43" s="46" t="n">
        <f aca="false">H14-H41</f>
        <v>-28675.6321839081</v>
      </c>
      <c r="I43" s="46" t="n">
        <f aca="false">I14-I41</f>
        <v>-43475.6321839081</v>
      </c>
      <c r="J43" s="46" t="n">
        <f aca="false">J14-J41</f>
        <v>48357.7011494253</v>
      </c>
      <c r="K43" s="46" t="n">
        <f aca="false">K14-K41</f>
        <v>-173618.16091954</v>
      </c>
      <c r="L43" s="46" t="n">
        <f aca="false">L14-L41</f>
        <v>54466.6666666667</v>
      </c>
      <c r="M43" s="46" t="n">
        <f aca="false">M14-M41</f>
        <v>36206.6666666667</v>
      </c>
      <c r="N43" s="46" t="n">
        <f aca="false">N14-N41</f>
        <v>21586.6666666667</v>
      </c>
      <c r="O43" s="46" t="n">
        <f aca="false">O14-O41</f>
        <v>94786.6666666667</v>
      </c>
      <c r="P43" s="46" t="n">
        <f aca="false">P14-P41</f>
        <v>-23893.3333333335</v>
      </c>
    </row>
    <row r="44" customFormat="false" ht="15" hidden="false" customHeight="false" outlineLevel="0" collapsed="false">
      <c r="A44" s="2"/>
      <c r="B44" s="49" t="str">
        <f aca="false">IF(Scenarios!$C$5=Scenarios!$C$10,"Stress scenario: none (base case)","Stress scenario: "&amp;Scenarios!$C$5)</f>
        <v>Stress scenario: none (base case)</v>
      </c>
      <c r="C44" s="50" t="n">
        <f aca="false">Scenarios!C$49</f>
        <v>0</v>
      </c>
      <c r="D44" s="50" t="n">
        <f aca="false">Scenarios!D$49</f>
        <v>0</v>
      </c>
      <c r="E44" s="50" t="n">
        <f aca="false">Scenarios!E$49</f>
        <v>0</v>
      </c>
      <c r="F44" s="50" t="n">
        <f aca="false">Scenarios!F$49</f>
        <v>0</v>
      </c>
      <c r="G44" s="50" t="n">
        <f aca="false">Scenarios!G$49</f>
        <v>0</v>
      </c>
      <c r="H44" s="50" t="n">
        <f aca="false">Scenarios!H$49</f>
        <v>0</v>
      </c>
      <c r="I44" s="50" t="n">
        <f aca="false">Scenarios!I$49</f>
        <v>0</v>
      </c>
      <c r="J44" s="50" t="n">
        <f aca="false">Scenarios!J$49</f>
        <v>0</v>
      </c>
      <c r="K44" s="50" t="n">
        <f aca="false">Scenarios!K$49</f>
        <v>0</v>
      </c>
      <c r="L44" s="50" t="n">
        <f aca="false">Scenarios!L$49</f>
        <v>0</v>
      </c>
      <c r="M44" s="50" t="n">
        <f aca="false">Scenarios!M$49</f>
        <v>0</v>
      </c>
      <c r="N44" s="50" t="n">
        <f aca="false">Scenarios!N$49</f>
        <v>0</v>
      </c>
      <c r="O44" s="50" t="n">
        <f aca="false">Scenarios!O$49</f>
        <v>0</v>
      </c>
      <c r="P44" s="51" t="n">
        <f aca="false">SUM(C44:O44)</f>
        <v>0</v>
      </c>
    </row>
    <row r="45" customFormat="false" ht="15" hidden="false" customHeight="false" outlineLevel="0" collapsed="false">
      <c r="A45" s="2"/>
      <c r="B45" s="2"/>
      <c r="C45" s="2"/>
      <c r="D45" s="2"/>
      <c r="E45" s="2"/>
      <c r="F45" s="2"/>
      <c r="G45" s="2"/>
      <c r="H45" s="2"/>
      <c r="I45" s="2"/>
      <c r="J45" s="2"/>
      <c r="K45" s="2"/>
      <c r="L45" s="2"/>
      <c r="M45" s="2"/>
      <c r="N45" s="2"/>
      <c r="O45" s="2"/>
      <c r="P45" s="2"/>
    </row>
    <row r="46" customFormat="false" ht="15" hidden="false" customHeight="false" outlineLevel="0" collapsed="false">
      <c r="A46" s="2"/>
      <c r="B46" s="37" t="s">
        <v>265</v>
      </c>
      <c r="C46" s="52" t="n">
        <f aca="false">C8+C43+C44</f>
        <v>271409.458128079</v>
      </c>
      <c r="D46" s="52" t="n">
        <f aca="false">D8+D43+D44</f>
        <v>293852.676518883</v>
      </c>
      <c r="E46" s="52" t="n">
        <f aca="false">E8+E43+E44</f>
        <v>221315.894909688</v>
      </c>
      <c r="F46" s="52" t="n">
        <f aca="false">F8+F43+F44</f>
        <v>211279.113300493</v>
      </c>
      <c r="G46" s="52" t="n">
        <f aca="false">G8+G43+G44</f>
        <v>216471.724137931</v>
      </c>
      <c r="H46" s="52" t="n">
        <f aca="false">H8+H43+H44</f>
        <v>187796.091954023</v>
      </c>
      <c r="I46" s="52" t="n">
        <f aca="false">I8+I43+I44</f>
        <v>144320.459770115</v>
      </c>
      <c r="J46" s="52" t="n">
        <f aca="false">J8+J43+J44</f>
        <v>192678.16091954</v>
      </c>
      <c r="K46" s="52" t="n">
        <f aca="false">K8+K43+K44</f>
        <v>19060</v>
      </c>
      <c r="L46" s="52" t="n">
        <f aca="false">L8+L43+L44</f>
        <v>73526.6666666666</v>
      </c>
      <c r="M46" s="52" t="n">
        <f aca="false">M8+M43+M44</f>
        <v>109733.333333333</v>
      </c>
      <c r="N46" s="52" t="n">
        <f aca="false">N8+N43+N44</f>
        <v>131320</v>
      </c>
      <c r="O46" s="52" t="n">
        <f aca="false">O8+O43+O44</f>
        <v>226106.666666667</v>
      </c>
      <c r="P46" s="52" t="n">
        <f aca="false">O46</f>
        <v>226106.666666667</v>
      </c>
    </row>
    <row r="47" customFormat="false" ht="15" hidden="false" customHeight="false" outlineLevel="0" collapsed="false">
      <c r="A47" s="2"/>
      <c r="B47" s="9" t="s">
        <v>266</v>
      </c>
      <c r="C47" s="47" t="n">
        <f aca="false">-Setup!$D$12</f>
        <v>-50000</v>
      </c>
      <c r="D47" s="47" t="n">
        <f aca="false">-Setup!$D$12</f>
        <v>-50000</v>
      </c>
      <c r="E47" s="47" t="n">
        <f aca="false">-Setup!$D$12</f>
        <v>-50000</v>
      </c>
      <c r="F47" s="47" t="n">
        <f aca="false">-Setup!$D$12</f>
        <v>-50000</v>
      </c>
      <c r="G47" s="47" t="n">
        <f aca="false">-Setup!$D$12</f>
        <v>-50000</v>
      </c>
      <c r="H47" s="47" t="n">
        <f aca="false">-Setup!$D$12</f>
        <v>-50000</v>
      </c>
      <c r="I47" s="47" t="n">
        <f aca="false">-Setup!$D$12</f>
        <v>-50000</v>
      </c>
      <c r="J47" s="47" t="n">
        <f aca="false">-Setup!$D$12</f>
        <v>-50000</v>
      </c>
      <c r="K47" s="47" t="n">
        <f aca="false">-Setup!$D$12</f>
        <v>-50000</v>
      </c>
      <c r="L47" s="47" t="n">
        <f aca="false">-Setup!$D$12</f>
        <v>-50000</v>
      </c>
      <c r="M47" s="47" t="n">
        <f aca="false">-Setup!$D$12</f>
        <v>-50000</v>
      </c>
      <c r="N47" s="47" t="n">
        <f aca="false">-Setup!$D$12</f>
        <v>-50000</v>
      </c>
      <c r="O47" s="47" t="n">
        <f aca="false">-Setup!$D$12</f>
        <v>-50000</v>
      </c>
      <c r="P47" s="2"/>
    </row>
    <row r="48" customFormat="false" ht="15" hidden="false" customHeight="false" outlineLevel="0" collapsed="false">
      <c r="A48" s="2"/>
      <c r="B48" s="9" t="s">
        <v>267</v>
      </c>
      <c r="C48" s="53" t="n">
        <f aca="false">C46-C47</f>
        <v>321409.458128079</v>
      </c>
      <c r="D48" s="53" t="n">
        <f aca="false">D46-D47</f>
        <v>343852.676518883</v>
      </c>
      <c r="E48" s="53" t="n">
        <f aca="false">E46-E47</f>
        <v>271315.894909688</v>
      </c>
      <c r="F48" s="53" t="n">
        <f aca="false">F46-F47</f>
        <v>261279.113300493</v>
      </c>
      <c r="G48" s="53" t="n">
        <f aca="false">G46-G47</f>
        <v>266471.724137931</v>
      </c>
      <c r="H48" s="53" t="n">
        <f aca="false">H46-H47</f>
        <v>237796.091954023</v>
      </c>
      <c r="I48" s="53" t="n">
        <f aca="false">I46-I47</f>
        <v>194320.459770115</v>
      </c>
      <c r="J48" s="53" t="n">
        <f aca="false">J46-J47</f>
        <v>242678.16091954</v>
      </c>
      <c r="K48" s="53" t="n">
        <f aca="false">K46-K47</f>
        <v>69060</v>
      </c>
      <c r="L48" s="53" t="n">
        <f aca="false">L46-L47</f>
        <v>123526.666666667</v>
      </c>
      <c r="M48" s="53" t="n">
        <f aca="false">M46-M47</f>
        <v>159733.333333333</v>
      </c>
      <c r="N48" s="53" t="n">
        <f aca="false">N46-N47</f>
        <v>181320</v>
      </c>
      <c r="O48" s="53" t="n">
        <f aca="false">O46-O47</f>
        <v>276106.666666667</v>
      </c>
      <c r="P48" s="2"/>
    </row>
    <row r="49" customFormat="false" ht="15" hidden="false" customHeight="false" outlineLevel="0" collapsed="false">
      <c r="A49" s="2"/>
      <c r="B49" s="9" t="s">
        <v>268</v>
      </c>
      <c r="C49" s="47" t="n">
        <f aca="false">Setup!$D$13</f>
        <v>50000</v>
      </c>
      <c r="D49" s="47" t="n">
        <f aca="false">Setup!$D$13</f>
        <v>50000</v>
      </c>
      <c r="E49" s="47" t="n">
        <f aca="false">Setup!$D$13</f>
        <v>50000</v>
      </c>
      <c r="F49" s="47" t="n">
        <f aca="false">Setup!$D$13</f>
        <v>50000</v>
      </c>
      <c r="G49" s="47" t="n">
        <f aca="false">Setup!$D$13</f>
        <v>50000</v>
      </c>
      <c r="H49" s="47" t="n">
        <f aca="false">Setup!$D$13</f>
        <v>50000</v>
      </c>
      <c r="I49" s="47" t="n">
        <f aca="false">Setup!$D$13</f>
        <v>50000</v>
      </c>
      <c r="J49" s="47" t="n">
        <f aca="false">Setup!$D$13</f>
        <v>50000</v>
      </c>
      <c r="K49" s="47" t="n">
        <f aca="false">Setup!$D$13</f>
        <v>50000</v>
      </c>
      <c r="L49" s="47" t="n">
        <f aca="false">Setup!$D$13</f>
        <v>50000</v>
      </c>
      <c r="M49" s="47" t="n">
        <f aca="false">Setup!$D$13</f>
        <v>50000</v>
      </c>
      <c r="N49" s="47" t="n">
        <f aca="false">Setup!$D$13</f>
        <v>50000</v>
      </c>
      <c r="O49" s="47" t="n">
        <f aca="false">Setup!$D$13</f>
        <v>50000</v>
      </c>
      <c r="P49" s="2"/>
    </row>
    <row r="50" customFormat="false" ht="15" hidden="false" customHeight="false" outlineLevel="0" collapsed="false">
      <c r="A50" s="2"/>
      <c r="B50" s="15" t="s">
        <v>269</v>
      </c>
      <c r="C50" s="54" t="str">
        <f aca="false">IF(C46&lt;C47,"OVER LIMIT",IF(C46&lt;0,"Overdrawn",IF(C46&lt;C49,"Below buffer","OK")))</f>
        <v>OK</v>
      </c>
      <c r="D50" s="54" t="str">
        <f aca="false">IF(D46&lt;D47,"OVER LIMIT",IF(D46&lt;0,"Overdrawn",IF(D46&lt;D49,"Below buffer","OK")))</f>
        <v>OK</v>
      </c>
      <c r="E50" s="54" t="str">
        <f aca="false">IF(E46&lt;E47,"OVER LIMIT",IF(E46&lt;0,"Overdrawn",IF(E46&lt;E49,"Below buffer","OK")))</f>
        <v>OK</v>
      </c>
      <c r="F50" s="54" t="str">
        <f aca="false">IF(F46&lt;F47,"OVER LIMIT",IF(F46&lt;0,"Overdrawn",IF(F46&lt;F49,"Below buffer","OK")))</f>
        <v>OK</v>
      </c>
      <c r="G50" s="54" t="str">
        <f aca="false">IF(G46&lt;G47,"OVER LIMIT",IF(G46&lt;0,"Overdrawn",IF(G46&lt;G49,"Below buffer","OK")))</f>
        <v>OK</v>
      </c>
      <c r="H50" s="54" t="str">
        <f aca="false">IF(H46&lt;H47,"OVER LIMIT",IF(H46&lt;0,"Overdrawn",IF(H46&lt;H49,"Below buffer","OK")))</f>
        <v>OK</v>
      </c>
      <c r="I50" s="54" t="str">
        <f aca="false">IF(I46&lt;I47,"OVER LIMIT",IF(I46&lt;0,"Overdrawn",IF(I46&lt;I49,"Below buffer","OK")))</f>
        <v>OK</v>
      </c>
      <c r="J50" s="54" t="str">
        <f aca="false">IF(J46&lt;J47,"OVER LIMIT",IF(J46&lt;0,"Overdrawn",IF(J46&lt;J49,"Below buffer","OK")))</f>
        <v>OK</v>
      </c>
      <c r="K50" s="54" t="str">
        <f aca="false">IF(K46&lt;K47,"OVER LIMIT",IF(K46&lt;0,"Overdrawn",IF(K46&lt;K49,"Below buffer","OK")))</f>
        <v>Below buffer</v>
      </c>
      <c r="L50" s="54" t="str">
        <f aca="false">IF(L46&lt;L47,"OVER LIMIT",IF(L46&lt;0,"Overdrawn",IF(L46&lt;L49,"Below buffer","OK")))</f>
        <v>OK</v>
      </c>
      <c r="M50" s="54" t="str">
        <f aca="false">IF(M46&lt;M47,"OVER LIMIT",IF(M46&lt;0,"Overdrawn",IF(M46&lt;M49,"Below buffer","OK")))</f>
        <v>OK</v>
      </c>
      <c r="N50" s="54" t="str">
        <f aca="false">IF(N46&lt;N47,"OVER LIMIT",IF(N46&lt;0,"Overdrawn",IF(N46&lt;N49,"Below buffer","OK")))</f>
        <v>OK</v>
      </c>
      <c r="O50" s="54" t="str">
        <f aca="false">IF(O46&lt;O47,"OVER LIMIT",IF(O46&lt;0,"Overdrawn",IF(O46&lt;O49,"Below buffer","OK")))</f>
        <v>OK</v>
      </c>
      <c r="P50" s="2"/>
    </row>
    <row r="51" customFormat="false" ht="15" hidden="false" customHeight="false" outlineLevel="0" collapsed="false">
      <c r="A51" s="2"/>
      <c r="B51" s="2"/>
      <c r="C51" s="2"/>
      <c r="D51" s="2"/>
      <c r="E51" s="2"/>
      <c r="F51" s="2"/>
      <c r="G51" s="2"/>
      <c r="H51" s="2"/>
      <c r="I51" s="2"/>
      <c r="J51" s="2"/>
      <c r="K51" s="2"/>
      <c r="L51" s="2"/>
      <c r="M51" s="2"/>
      <c r="N51" s="2"/>
      <c r="O51" s="2"/>
      <c r="P51" s="2"/>
    </row>
    <row r="52" customFormat="false" ht="15" hidden="false" customHeight="false" outlineLevel="0" collapsed="false">
      <c r="A52" s="2"/>
      <c r="B52" s="21" t="s">
        <v>270</v>
      </c>
      <c r="C52" s="2"/>
      <c r="D52" s="2"/>
      <c r="E52" s="2"/>
      <c r="F52" s="2"/>
      <c r="G52" s="2"/>
      <c r="H52" s="2"/>
      <c r="I52" s="2"/>
      <c r="J52" s="2"/>
      <c r="K52" s="2"/>
      <c r="L52" s="2"/>
      <c r="M52" s="2"/>
      <c r="N52" s="2"/>
      <c r="O52" s="2"/>
      <c r="P52" s="2"/>
    </row>
  </sheetData>
  <sheetProtection sheet="true" formatCells="false" formatColumns="false" formatRows="false"/>
  <conditionalFormatting sqref="C50:O50">
    <cfRule type="expression" priority="2" aboveAverage="0" equalAverage="0" bottom="0" percent="0" rank="0" text="" dxfId="0">
      <formula>C50="OVER LIMIT"</formula>
    </cfRule>
    <cfRule type="expression" priority="3" aboveAverage="0" equalAverage="0" bottom="0" percent="0" rank="0" text="" dxfId="1">
      <formula>OR(C50="Overdrawn",C50="Below buffer")</formula>
    </cfRule>
    <cfRule type="expression" priority="4" aboveAverage="0" equalAverage="0" bottom="0" percent="0" rank="0" text="" dxfId="2">
      <formula>C50="OK"</formula>
    </cfRule>
  </conditionalFormatting>
  <conditionalFormatting sqref="C46:O46">
    <cfRule type="expression" priority="5" aboveAverage="0" equalAverage="0" bottom="0" percent="0" rank="0" text="" dxfId="3">
      <formula>C46&lt;C47</formula>
    </cfRule>
    <cfRule type="expression" priority="6" aboveAverage="0" equalAverage="0" bottom="0" percent="0" rank="0" text="" dxfId="4">
      <formula>C46&lt;C49</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13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0"/>
    <col collapsed="false" customWidth="true" hidden="false" outlineLevel="0" max="15" min="3" style="1" width="11.5"/>
    <col collapsed="false" customWidth="true" hidden="false" outlineLevel="0" max="16" min="16" style="1" width="13"/>
    <col collapsed="false" customWidth="true" hidden="false" outlineLevel="0" max="17" min="17" style="1" width="12"/>
    <col collapsed="false" customWidth="true" hidden="false" outlineLevel="0" max="18" min="18" style="1" width="13"/>
    <col collapsed="false" customWidth="true" hidden="false" outlineLevel="0" max="19" min="19" style="1" width="12"/>
    <col collapsed="false" customWidth="true" hidden="true" outlineLevel="0" max="24" min="21" style="1" width="13"/>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row>
    <row r="2" customFormat="false" ht="15" hidden="false" customHeight="false" outlineLevel="0" collapsed="false">
      <c r="A2" s="4" t="s">
        <v>271</v>
      </c>
      <c r="B2" s="2"/>
      <c r="C2" s="2"/>
      <c r="D2" s="2"/>
      <c r="E2" s="2"/>
      <c r="F2" s="2"/>
      <c r="G2" s="2"/>
      <c r="H2" s="2"/>
      <c r="I2" s="2"/>
      <c r="J2" s="2"/>
      <c r="K2" s="2"/>
      <c r="L2" s="2"/>
      <c r="M2" s="2"/>
      <c r="N2" s="2"/>
      <c r="O2" s="2"/>
      <c r="P2" s="2"/>
      <c r="Q2" s="2"/>
      <c r="R2" s="2"/>
      <c r="S2" s="2"/>
      <c r="T2" s="2"/>
      <c r="U2" s="2"/>
      <c r="V2" s="2"/>
      <c r="W2" s="2"/>
      <c r="X2" s="2"/>
    </row>
    <row r="3" customFormat="false" ht="15" hidden="false" customHeight="false" outlineLevel="0" collapsed="false">
      <c r="A3" s="21" t="s">
        <v>272</v>
      </c>
      <c r="B3" s="2"/>
      <c r="C3" s="2"/>
      <c r="D3" s="2"/>
      <c r="E3" s="2"/>
      <c r="F3" s="2"/>
      <c r="G3" s="2"/>
      <c r="H3" s="2"/>
      <c r="I3" s="2"/>
      <c r="J3" s="2"/>
      <c r="K3" s="2"/>
      <c r="L3" s="2"/>
      <c r="M3" s="2"/>
      <c r="N3" s="2"/>
      <c r="O3" s="2"/>
      <c r="P3" s="2"/>
      <c r="Q3" s="2"/>
      <c r="R3" s="2"/>
      <c r="S3" s="2"/>
      <c r="T3" s="2"/>
      <c r="U3" s="2"/>
      <c r="V3" s="2"/>
      <c r="W3" s="2"/>
      <c r="X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row>
    <row r="5" customFormat="false" ht="15" hidden="false" customHeight="false" outlineLevel="0" collapsed="false">
      <c r="A5" s="2"/>
      <c r="B5" s="37" t="s">
        <v>273</v>
      </c>
      <c r="C5" s="55" t="s">
        <v>274</v>
      </c>
      <c r="D5" s="55"/>
      <c r="E5" s="55"/>
      <c r="F5" s="2"/>
      <c r="G5" s="2"/>
      <c r="H5" s="2"/>
      <c r="I5" s="2"/>
      <c r="J5" s="2"/>
      <c r="K5" s="2"/>
      <c r="L5" s="2"/>
      <c r="M5" s="2"/>
      <c r="N5" s="2"/>
      <c r="O5" s="2"/>
      <c r="P5" s="2"/>
      <c r="Q5" s="2"/>
      <c r="R5" s="2"/>
      <c r="S5" s="2"/>
      <c r="T5" s="2"/>
      <c r="U5" s="2"/>
      <c r="V5" s="2"/>
      <c r="W5" s="2"/>
      <c r="X5" s="2"/>
    </row>
    <row r="6" customFormat="false" ht="15" hidden="false" customHeight="false" outlineLevel="0" collapsed="false">
      <c r="A6" s="2"/>
      <c r="B6" s="2"/>
      <c r="C6" s="2"/>
      <c r="D6" s="2"/>
      <c r="E6" s="2"/>
      <c r="F6" s="2"/>
      <c r="G6" s="2"/>
      <c r="H6" s="2"/>
      <c r="I6" s="2"/>
      <c r="J6" s="2"/>
      <c r="K6" s="2"/>
      <c r="L6" s="2"/>
      <c r="M6" s="2"/>
      <c r="N6" s="2"/>
      <c r="O6" s="2"/>
      <c r="P6" s="2"/>
      <c r="Q6" s="2"/>
      <c r="R6" s="2"/>
      <c r="S6" s="2"/>
      <c r="T6" s="2"/>
      <c r="U6" s="2"/>
      <c r="V6" s="2"/>
      <c r="W6" s="2"/>
      <c r="X6" s="2"/>
    </row>
    <row r="7" customFormat="false" ht="15" hidden="false" customHeight="false" outlineLevel="0" collapsed="false">
      <c r="A7" s="5" t="s">
        <v>275</v>
      </c>
      <c r="B7" s="6"/>
      <c r="C7" s="6"/>
      <c r="D7" s="6"/>
      <c r="E7" s="6"/>
      <c r="F7" s="6"/>
      <c r="G7" s="6"/>
      <c r="H7" s="6"/>
      <c r="I7" s="6"/>
      <c r="J7" s="6"/>
      <c r="K7" s="6"/>
      <c r="L7" s="6"/>
      <c r="M7" s="6"/>
      <c r="N7" s="6"/>
      <c r="O7" s="6"/>
      <c r="P7" s="2"/>
      <c r="Q7" s="2"/>
      <c r="R7" s="2"/>
      <c r="S7" s="2"/>
      <c r="T7" s="2"/>
      <c r="U7" s="2"/>
      <c r="V7" s="2"/>
      <c r="W7" s="2"/>
      <c r="X7" s="2"/>
    </row>
    <row r="8" customFormat="false" ht="42" hidden="false" customHeight="true" outlineLevel="0" collapsed="false">
      <c r="A8" s="2"/>
      <c r="B8" s="56" t="s">
        <v>276</v>
      </c>
      <c r="C8" s="56" t="s">
        <v>274</v>
      </c>
      <c r="D8" s="56" t="s">
        <v>277</v>
      </c>
      <c r="E8" s="56" t="s">
        <v>278</v>
      </c>
      <c r="F8" s="56" t="s">
        <v>279</v>
      </c>
      <c r="G8" s="56" t="s">
        <v>280</v>
      </c>
      <c r="H8" s="56" t="s">
        <v>281</v>
      </c>
      <c r="I8" s="56" t="s">
        <v>282</v>
      </c>
      <c r="J8" s="56" t="s">
        <v>283</v>
      </c>
      <c r="K8" s="2"/>
      <c r="L8" s="2"/>
      <c r="M8" s="2"/>
      <c r="N8" s="2"/>
      <c r="O8" s="2"/>
      <c r="P8" s="2"/>
      <c r="Q8" s="2"/>
      <c r="R8" s="2"/>
      <c r="S8" s="2"/>
      <c r="T8" s="2"/>
      <c r="U8" s="2"/>
      <c r="V8" s="2"/>
      <c r="W8" s="2"/>
      <c r="X8" s="2"/>
    </row>
    <row r="9" customFormat="false" ht="30" hidden="false" customHeight="true" outlineLevel="0" collapsed="false">
      <c r="A9" s="2"/>
      <c r="B9" s="15" t="s">
        <v>284</v>
      </c>
      <c r="C9" s="57" t="s">
        <v>285</v>
      </c>
      <c r="D9" s="58" t="s">
        <v>286</v>
      </c>
      <c r="E9" s="58"/>
      <c r="F9" s="58" t="s">
        <v>287</v>
      </c>
      <c r="G9" s="58"/>
      <c r="H9" s="58" t="s">
        <v>288</v>
      </c>
      <c r="I9" s="58"/>
      <c r="J9" s="2"/>
      <c r="K9" s="2"/>
      <c r="L9" s="2"/>
      <c r="M9" s="2"/>
      <c r="N9" s="2"/>
      <c r="O9" s="2"/>
      <c r="P9" s="2"/>
      <c r="Q9" s="2"/>
      <c r="R9" s="2"/>
      <c r="S9" s="2"/>
      <c r="T9" s="2"/>
      <c r="U9" s="2"/>
      <c r="V9" s="2"/>
      <c r="W9" s="2"/>
      <c r="X9" s="2"/>
    </row>
    <row r="10" customFormat="false" ht="30" hidden="false" customHeight="true" outlineLevel="0" collapsed="false">
      <c r="A10" s="2"/>
      <c r="B10" s="15" t="s">
        <v>289</v>
      </c>
      <c r="C10" s="59" t="s">
        <v>274</v>
      </c>
      <c r="D10" s="60" t="str">
        <f aca="false">IF(D9="","Scenario 1",D9)</f>
        <v>Customers pay 2 weeks late</v>
      </c>
      <c r="E10" s="61"/>
      <c r="F10" s="60" t="str">
        <f aca="false">IF(F9="","Scenario 2",F9)</f>
        <v>Sales down 20%</v>
      </c>
      <c r="G10" s="61"/>
      <c r="H10" s="60" t="str">
        <f aca="false">IF(H9="","Scenario 3",H9)</f>
        <v>Severe downturn</v>
      </c>
      <c r="I10" s="61"/>
      <c r="J10" s="62" t="str">
        <f aca="false">IFERROR(INDEX($U10:$X10,MATCH($C$5,$U$10:$X$10,0)),$C$5)</f>
        <v>Base case</v>
      </c>
      <c r="K10" s="2"/>
      <c r="L10" s="2"/>
      <c r="M10" s="2"/>
      <c r="N10" s="2"/>
      <c r="O10" s="2"/>
      <c r="P10" s="2"/>
      <c r="Q10" s="2"/>
      <c r="R10" s="2"/>
      <c r="S10" s="2"/>
      <c r="T10" s="2"/>
      <c r="U10" s="63" t="str">
        <f aca="false">C10</f>
        <v>Base case</v>
      </c>
      <c r="V10" s="63" t="str">
        <f aca="false">IF(E10="",D10,E10)</f>
        <v>Customers pay 2 weeks late</v>
      </c>
      <c r="W10" s="63" t="str">
        <f aca="false">IF(G10="",F10,G10)</f>
        <v>Sales down 20%</v>
      </c>
      <c r="X10" s="63" t="str">
        <f aca="false">IF(I10="",H10,I10)</f>
        <v>Severe downturn</v>
      </c>
    </row>
    <row r="11" customFormat="false" ht="15" hidden="false" customHeight="false" outlineLevel="0" collapsed="false">
      <c r="A11" s="2"/>
      <c r="B11" s="9" t="s">
        <v>290</v>
      </c>
      <c r="C11" s="64" t="n">
        <v>0</v>
      </c>
      <c r="D11" s="64" t="n">
        <f aca="false">IFERROR(INDEX($C$54:$C$68,MATCH(D$9,$B$54:$B$68,0)),0)</f>
        <v>0</v>
      </c>
      <c r="E11" s="65"/>
      <c r="F11" s="64" t="n">
        <f aca="false">IFERROR(INDEX($C$54:$C$68,MATCH(F$9,$B$54:$B$68,0)),0)</f>
        <v>-0.2</v>
      </c>
      <c r="G11" s="65"/>
      <c r="H11" s="64" t="n">
        <f aca="false">IFERROR(INDEX($C$54:$C$68,MATCH(H$9,$B$54:$B$68,0)),0)</f>
        <v>-0.25</v>
      </c>
      <c r="I11" s="65"/>
      <c r="J11" s="66" t="n">
        <f aca="false">IFERROR(INDEX($U11:$X11,MATCH($C$5,$U$10:$X$10,0)),0)</f>
        <v>0</v>
      </c>
      <c r="K11" s="21" t="s">
        <v>291</v>
      </c>
      <c r="L11" s="2"/>
      <c r="M11" s="2"/>
      <c r="N11" s="2"/>
      <c r="O11" s="2"/>
      <c r="P11" s="2"/>
      <c r="Q11" s="2"/>
      <c r="R11" s="2"/>
      <c r="S11" s="2"/>
      <c r="T11" s="2"/>
      <c r="U11" s="67" t="n">
        <f aca="false">C11</f>
        <v>0</v>
      </c>
      <c r="V11" s="67" t="n">
        <f aca="false">IF(E11="",D11,E11)</f>
        <v>0</v>
      </c>
      <c r="W11" s="67" t="n">
        <f aca="false">IF(G11="",F11,G11)</f>
        <v>-0.2</v>
      </c>
      <c r="X11" s="67" t="n">
        <f aca="false">IF(I11="",H11,I11)</f>
        <v>-0.25</v>
      </c>
    </row>
    <row r="12" customFormat="false" ht="15" hidden="false" customHeight="false" outlineLevel="0" collapsed="false">
      <c r="A12" s="2"/>
      <c r="B12" s="9" t="s">
        <v>292</v>
      </c>
      <c r="C12" s="68" t="n">
        <v>0</v>
      </c>
      <c r="D12" s="68" t="n">
        <f aca="false">IFERROR(INDEX($D$54:$D$68,MATCH(D$9,$B$54:$B$68,0)),0)</f>
        <v>14</v>
      </c>
      <c r="E12" s="69"/>
      <c r="F12" s="68" t="n">
        <f aca="false">IFERROR(INDEX($D$54:$D$68,MATCH(F$9,$B$54:$B$68,0)),0)</f>
        <v>0</v>
      </c>
      <c r="G12" s="69"/>
      <c r="H12" s="68" t="n">
        <f aca="false">IFERROR(INDEX($D$54:$D$68,MATCH(H$9,$B$54:$B$68,0)),0)</f>
        <v>21</v>
      </c>
      <c r="I12" s="69"/>
      <c r="J12" s="70" t="n">
        <f aca="false">IFERROR(INDEX($U12:$X12,MATCH($C$5,$U$10:$X$10,0)),0)</f>
        <v>0</v>
      </c>
      <c r="K12" s="21" t="s">
        <v>293</v>
      </c>
      <c r="L12" s="2"/>
      <c r="M12" s="2"/>
      <c r="N12" s="2"/>
      <c r="O12" s="2"/>
      <c r="P12" s="2"/>
      <c r="Q12" s="2"/>
      <c r="R12" s="2"/>
      <c r="S12" s="2"/>
      <c r="T12" s="2"/>
      <c r="U12" s="71" t="n">
        <f aca="false">C12</f>
        <v>0</v>
      </c>
      <c r="V12" s="71" t="n">
        <f aca="false">IF(E12="",D12,E12)</f>
        <v>14</v>
      </c>
      <c r="W12" s="71" t="n">
        <f aca="false">IF(G12="",F12,G12)</f>
        <v>0</v>
      </c>
      <c r="X12" s="71" t="n">
        <f aca="false">IF(I12="",H12,I12)</f>
        <v>21</v>
      </c>
    </row>
    <row r="13" customFormat="false" ht="15" hidden="false" customHeight="false" outlineLevel="0" collapsed="false">
      <c r="A13" s="2"/>
      <c r="B13" s="9" t="s">
        <v>294</v>
      </c>
      <c r="C13" s="64" t="n">
        <v>0</v>
      </c>
      <c r="D13" s="64" t="n">
        <f aca="false">IFERROR(INDEX($E$54:$E$68,MATCH(D$9,$B$54:$B$68,0)),0)</f>
        <v>0</v>
      </c>
      <c r="E13" s="65"/>
      <c r="F13" s="64" t="n">
        <f aca="false">IFERROR(INDEX($E$54:$E$68,MATCH(F$9,$B$54:$B$68,0)),0)</f>
        <v>0</v>
      </c>
      <c r="G13" s="65"/>
      <c r="H13" s="64" t="n">
        <f aca="false">IFERROR(INDEX($E$54:$E$68,MATCH(H$9,$B$54:$B$68,0)),0)</f>
        <v>0.1</v>
      </c>
      <c r="I13" s="65"/>
      <c r="J13" s="66" t="n">
        <f aca="false">IFERROR(INDEX($U13:$X13,MATCH($C$5,$U$10:$X$10,0)),0)</f>
        <v>0</v>
      </c>
      <c r="K13" s="21" t="s">
        <v>295</v>
      </c>
      <c r="L13" s="2"/>
      <c r="M13" s="2"/>
      <c r="N13" s="2"/>
      <c r="O13" s="2"/>
      <c r="P13" s="2"/>
      <c r="Q13" s="2"/>
      <c r="R13" s="2"/>
      <c r="S13" s="2"/>
      <c r="T13" s="2"/>
      <c r="U13" s="67" t="n">
        <f aca="false">C13</f>
        <v>0</v>
      </c>
      <c r="V13" s="67" t="n">
        <f aca="false">IF(E13="",D13,E13)</f>
        <v>0</v>
      </c>
      <c r="W13" s="67" t="n">
        <f aca="false">IF(G13="",F13,G13)</f>
        <v>0</v>
      </c>
      <c r="X13" s="67" t="n">
        <f aca="false">IF(I13="",H13,I13)</f>
        <v>0.1</v>
      </c>
    </row>
    <row r="14" customFormat="false" ht="15" hidden="false" customHeight="false" outlineLevel="0" collapsed="false">
      <c r="A14" s="2"/>
      <c r="B14" s="9" t="s">
        <v>296</v>
      </c>
      <c r="C14" s="64" t="n">
        <v>0</v>
      </c>
      <c r="D14" s="64" t="n">
        <f aca="false">IFERROR(INDEX($F$54:$F$68,MATCH(D$9,$B$54:$B$68,0)),0)</f>
        <v>0</v>
      </c>
      <c r="E14" s="65"/>
      <c r="F14" s="64" t="n">
        <f aca="false">IFERROR(INDEX($F$54:$F$68,MATCH(F$9,$B$54:$B$68,0)),0)</f>
        <v>0</v>
      </c>
      <c r="G14" s="65"/>
      <c r="H14" s="64" t="n">
        <f aca="false">IFERROR(INDEX($F$54:$F$68,MATCH(H$9,$B$54:$B$68,0)),0)</f>
        <v>0.05</v>
      </c>
      <c r="I14" s="65"/>
      <c r="J14" s="66" t="n">
        <f aca="false">IFERROR(INDEX($U14:$X14,MATCH($C$5,$U$10:$X$10,0)),0)</f>
        <v>0</v>
      </c>
      <c r="K14" s="21" t="s">
        <v>297</v>
      </c>
      <c r="L14" s="2"/>
      <c r="M14" s="2"/>
      <c r="N14" s="2"/>
      <c r="O14" s="2"/>
      <c r="P14" s="2"/>
      <c r="Q14" s="2"/>
      <c r="R14" s="2"/>
      <c r="S14" s="2"/>
      <c r="T14" s="2"/>
      <c r="U14" s="67" t="n">
        <f aca="false">C14</f>
        <v>0</v>
      </c>
      <c r="V14" s="67" t="n">
        <f aca="false">IF(E14="",D14,E14)</f>
        <v>0</v>
      </c>
      <c r="W14" s="67" t="n">
        <f aca="false">IF(G14="",F14,G14)</f>
        <v>0</v>
      </c>
      <c r="X14" s="67" t="n">
        <f aca="false">IF(I14="",H14,I14)</f>
        <v>0.05</v>
      </c>
    </row>
    <row r="15" customFormat="false" ht="15" hidden="false" customHeight="false" outlineLevel="0" collapsed="false">
      <c r="A15" s="2"/>
      <c r="B15" s="9" t="s">
        <v>298</v>
      </c>
      <c r="C15" s="64" t="n">
        <v>0</v>
      </c>
      <c r="D15" s="64" t="n">
        <f aca="false">IFERROR(INDEX($G$54:$G$68,MATCH(D$9,$B$54:$B$68,0)),0)</f>
        <v>0</v>
      </c>
      <c r="E15" s="65"/>
      <c r="F15" s="64" t="n">
        <f aca="false">IFERROR(INDEX($G$54:$G$68,MATCH(F$9,$B$54:$B$68,0)),0)</f>
        <v>0</v>
      </c>
      <c r="G15" s="65"/>
      <c r="H15" s="64" t="n">
        <f aca="false">IFERROR(INDEX($G$54:$G$68,MATCH(H$9,$B$54:$B$68,0)),0)</f>
        <v>0</v>
      </c>
      <c r="I15" s="65"/>
      <c r="J15" s="66" t="n">
        <f aca="false">IFERROR(INDEX($U15:$X15,MATCH($C$5,$U$10:$X$10,0)),0)</f>
        <v>0</v>
      </c>
      <c r="K15" s="21" t="s">
        <v>299</v>
      </c>
      <c r="L15" s="2"/>
      <c r="M15" s="2"/>
      <c r="N15" s="2"/>
      <c r="O15" s="2"/>
      <c r="P15" s="2"/>
      <c r="Q15" s="2"/>
      <c r="R15" s="2"/>
      <c r="S15" s="2"/>
      <c r="T15" s="2"/>
      <c r="U15" s="67" t="n">
        <f aca="false">C15</f>
        <v>0</v>
      </c>
      <c r="V15" s="67" t="n">
        <f aca="false">IF(E15="",D15,E15)</f>
        <v>0</v>
      </c>
      <c r="W15" s="67" t="n">
        <f aca="false">IF(G15="",F15,G15)</f>
        <v>0</v>
      </c>
      <c r="X15" s="67" t="n">
        <f aca="false">IF(I15="",H15,I15)</f>
        <v>0</v>
      </c>
    </row>
    <row r="16" customFormat="false" ht="15" hidden="false" customHeight="false" outlineLevel="0" collapsed="false">
      <c r="A16" s="2"/>
      <c r="B16" s="9" t="s">
        <v>300</v>
      </c>
      <c r="C16" s="68" t="n">
        <v>0</v>
      </c>
      <c r="D16" s="68" t="n">
        <f aca="false">IFERROR(INDEX($H$54:$H$68,MATCH(D$9,$B$54:$B$68,0)),0)</f>
        <v>0</v>
      </c>
      <c r="E16" s="69"/>
      <c r="F16" s="68" t="n">
        <f aca="false">IFERROR(INDEX($H$54:$H$68,MATCH(F$9,$B$54:$B$68,0)),0)</f>
        <v>0</v>
      </c>
      <c r="G16" s="69"/>
      <c r="H16" s="68" t="n">
        <f aca="false">IFERROR(INDEX($H$54:$H$68,MATCH(H$9,$B$54:$B$68,0)),0)</f>
        <v>7</v>
      </c>
      <c r="I16" s="69"/>
      <c r="J16" s="70" t="n">
        <f aca="false">IFERROR(INDEX($U16:$X16,MATCH($C$5,$U$10:$X$10,0)),0)</f>
        <v>0</v>
      </c>
      <c r="K16" s="21" t="s">
        <v>301</v>
      </c>
      <c r="L16" s="2"/>
      <c r="M16" s="2"/>
      <c r="N16" s="2"/>
      <c r="O16" s="2"/>
      <c r="P16" s="2"/>
      <c r="Q16" s="2"/>
      <c r="R16" s="2"/>
      <c r="S16" s="2"/>
      <c r="T16" s="2"/>
      <c r="U16" s="71" t="n">
        <f aca="false">C16</f>
        <v>0</v>
      </c>
      <c r="V16" s="71" t="n">
        <f aca="false">IF(E16="",D16,E16)</f>
        <v>0</v>
      </c>
      <c r="W16" s="71" t="n">
        <f aca="false">IF(G16="",F16,G16)</f>
        <v>0</v>
      </c>
      <c r="X16" s="71" t="n">
        <f aca="false">IF(I16="",H16,I16)</f>
        <v>7</v>
      </c>
    </row>
    <row r="17" customFormat="false" ht="15" hidden="false" customHeight="false" outlineLevel="0" collapsed="false">
      <c r="A17" s="2"/>
      <c r="B17" s="9" t="s">
        <v>302</v>
      </c>
      <c r="C17" s="72" t="n">
        <v>0</v>
      </c>
      <c r="D17" s="72" t="n">
        <f aca="false">IFERROR(INDEX($I$54:$I$68,MATCH(D$9,$B$54:$B$68,0)),0)</f>
        <v>0</v>
      </c>
      <c r="E17" s="73"/>
      <c r="F17" s="72" t="n">
        <f aca="false">IFERROR(INDEX($I$54:$I$68,MATCH(F$9,$B$54:$B$68,0)),0)</f>
        <v>0</v>
      </c>
      <c r="G17" s="73"/>
      <c r="H17" s="72" t="n">
        <f aca="false">IFERROR(INDEX($I$54:$I$68,MATCH(H$9,$B$54:$B$68,0)),0)</f>
        <v>-10000</v>
      </c>
      <c r="I17" s="73"/>
      <c r="J17" s="74" t="n">
        <f aca="false">IFERROR(INDEX($U17:$X17,MATCH($C$5,$U$10:$X$10,0)),0)</f>
        <v>0</v>
      </c>
      <c r="K17" s="21" t="s">
        <v>303</v>
      </c>
      <c r="L17" s="2"/>
      <c r="M17" s="2"/>
      <c r="N17" s="2"/>
      <c r="O17" s="2"/>
      <c r="P17" s="2"/>
      <c r="Q17" s="2"/>
      <c r="R17" s="2"/>
      <c r="S17" s="2"/>
      <c r="T17" s="2"/>
      <c r="U17" s="75" t="n">
        <f aca="false">C17</f>
        <v>0</v>
      </c>
      <c r="V17" s="75" t="n">
        <f aca="false">IF(E17="",D17,E17)</f>
        <v>0</v>
      </c>
      <c r="W17" s="75" t="n">
        <f aca="false">IF(G17="",F17,G17)</f>
        <v>0</v>
      </c>
      <c r="X17" s="75" t="n">
        <f aca="false">IF(I17="",H17,I17)</f>
        <v>-10000</v>
      </c>
    </row>
    <row r="18" customFormat="false" ht="15" hidden="false" customHeight="false" outlineLevel="0" collapsed="false">
      <c r="A18" s="2"/>
      <c r="B18" s="9" t="s">
        <v>304</v>
      </c>
      <c r="C18" s="68" t="n">
        <v>0</v>
      </c>
      <c r="D18" s="68" t="n">
        <f aca="false">IFERROR(INDEX($J$54:$J$68,MATCH(D$9,$B$54:$B$68,0)),0)</f>
        <v>0</v>
      </c>
      <c r="E18" s="69"/>
      <c r="F18" s="68" t="n">
        <f aca="false">IFERROR(INDEX($J$54:$J$68,MATCH(F$9,$B$54:$B$68,0)),0)</f>
        <v>0</v>
      </c>
      <c r="G18" s="69"/>
      <c r="H18" s="68" t="n">
        <f aca="false">IFERROR(INDEX($J$54:$J$68,MATCH(H$9,$B$54:$B$68,0)),0)</f>
        <v>6</v>
      </c>
      <c r="I18" s="69"/>
      <c r="J18" s="70" t="n">
        <f aca="false">IFERROR(INDEX($U18:$X18,MATCH($C$5,$U$10:$X$10,0)),0)</f>
        <v>0</v>
      </c>
      <c r="K18" s="21"/>
      <c r="L18" s="2"/>
      <c r="M18" s="2"/>
      <c r="N18" s="2"/>
      <c r="O18" s="2"/>
      <c r="P18" s="2"/>
      <c r="Q18" s="2"/>
      <c r="R18" s="2"/>
      <c r="S18" s="2"/>
      <c r="T18" s="2"/>
      <c r="U18" s="71" t="n">
        <f aca="false">C18</f>
        <v>0</v>
      </c>
      <c r="V18" s="71" t="n">
        <f aca="false">IF(E18="",D18,E18)</f>
        <v>0</v>
      </c>
      <c r="W18" s="71" t="n">
        <f aca="false">IF(G18="",F18,G18)</f>
        <v>0</v>
      </c>
      <c r="X18" s="71" t="n">
        <f aca="false">IF(I18="",H18,I18)</f>
        <v>6</v>
      </c>
    </row>
    <row r="19" customFormat="false" ht="15" hidden="false" customHeight="false" outlineLevel="0" collapsed="false">
      <c r="A19" s="2"/>
      <c r="B19" s="9" t="s">
        <v>305</v>
      </c>
      <c r="C19" s="72" t="n">
        <v>0</v>
      </c>
      <c r="D19" s="72" t="n">
        <f aca="false">IFERROR(INDEX($K$54:$K$68,MATCH(D$9,$B$54:$B$68,0)),0)</f>
        <v>0</v>
      </c>
      <c r="E19" s="73"/>
      <c r="F19" s="72" t="n">
        <f aca="false">IFERROR(INDEX($K$54:$K$68,MATCH(F$9,$B$54:$B$68,0)),0)</f>
        <v>0</v>
      </c>
      <c r="G19" s="73"/>
      <c r="H19" s="72" t="n">
        <f aca="false">IFERROR(INDEX($K$54:$K$68,MATCH(H$9,$B$54:$B$68,0)),0)</f>
        <v>0</v>
      </c>
      <c r="I19" s="73"/>
      <c r="J19" s="74" t="n">
        <f aca="false">IFERROR(INDEX($U19:$X19,MATCH($C$5,$U$10:$X$10,0)),0)</f>
        <v>0</v>
      </c>
      <c r="K19" s="21"/>
      <c r="L19" s="2"/>
      <c r="M19" s="2"/>
      <c r="N19" s="2"/>
      <c r="O19" s="2"/>
      <c r="P19" s="2"/>
      <c r="Q19" s="2"/>
      <c r="R19" s="2"/>
      <c r="S19" s="2"/>
      <c r="T19" s="2"/>
      <c r="U19" s="75" t="n">
        <f aca="false">C19</f>
        <v>0</v>
      </c>
      <c r="V19" s="75" t="n">
        <f aca="false">IF(E19="",D19,E19)</f>
        <v>0</v>
      </c>
      <c r="W19" s="75" t="n">
        <f aca="false">IF(G19="",F19,G19)</f>
        <v>0</v>
      </c>
      <c r="X19" s="75" t="n">
        <f aca="false">IF(I19="",H19,I19)</f>
        <v>0</v>
      </c>
    </row>
    <row r="20" customFormat="false" ht="15" hidden="false" customHeight="false" outlineLevel="0" collapsed="false">
      <c r="A20" s="2"/>
      <c r="B20" s="9" t="s">
        <v>304</v>
      </c>
      <c r="C20" s="68" t="n">
        <v>0</v>
      </c>
      <c r="D20" s="68" t="n">
        <f aca="false">IFERROR(INDEX($L$54:$L$68,MATCH(D$9,$B$54:$B$68,0)),0)</f>
        <v>0</v>
      </c>
      <c r="E20" s="69"/>
      <c r="F20" s="68" t="n">
        <f aca="false">IFERROR(INDEX($L$54:$L$68,MATCH(F$9,$B$54:$B$68,0)),0)</f>
        <v>0</v>
      </c>
      <c r="G20" s="69"/>
      <c r="H20" s="68" t="n">
        <f aca="false">IFERROR(INDEX($L$54:$L$68,MATCH(H$9,$B$54:$B$68,0)),0)</f>
        <v>0</v>
      </c>
      <c r="I20" s="69"/>
      <c r="J20" s="70" t="n">
        <f aca="false">IFERROR(INDEX($U20:$X20,MATCH($C$5,$U$10:$X$10,0)),0)</f>
        <v>0</v>
      </c>
      <c r="K20" s="21"/>
      <c r="L20" s="2"/>
      <c r="M20" s="2"/>
      <c r="N20" s="2"/>
      <c r="O20" s="2"/>
      <c r="P20" s="2"/>
      <c r="Q20" s="2"/>
      <c r="R20" s="2"/>
      <c r="S20" s="2"/>
      <c r="T20" s="2"/>
      <c r="U20" s="71" t="n">
        <f aca="false">C20</f>
        <v>0</v>
      </c>
      <c r="V20" s="71" t="n">
        <f aca="false">IF(E20="",D20,E20)</f>
        <v>0</v>
      </c>
      <c r="W20" s="71" t="n">
        <f aca="false">IF(G20="",F20,G20)</f>
        <v>0</v>
      </c>
      <c r="X20" s="71" t="n">
        <f aca="false">IF(I20="",H20,I20)</f>
        <v>0</v>
      </c>
    </row>
    <row r="21" customFormat="false" ht="15" hidden="false" customHeight="false" outlineLevel="0" collapsed="false">
      <c r="A21" s="2"/>
      <c r="B21" s="2"/>
      <c r="C21" s="2"/>
      <c r="D21" s="2"/>
      <c r="E21" s="2"/>
      <c r="F21" s="2"/>
      <c r="G21" s="2"/>
      <c r="H21" s="2"/>
      <c r="I21" s="2"/>
      <c r="J21" s="2"/>
      <c r="K21" s="2"/>
      <c r="L21" s="2"/>
      <c r="M21" s="2"/>
      <c r="N21" s="2"/>
      <c r="O21" s="2"/>
      <c r="P21" s="2"/>
      <c r="Q21" s="2"/>
      <c r="R21" s="2"/>
      <c r="S21" s="2"/>
      <c r="T21" s="2"/>
      <c r="U21" s="2"/>
      <c r="V21" s="2"/>
      <c r="W21" s="2"/>
      <c r="X21" s="2"/>
    </row>
    <row r="22" customFormat="false" ht="15" hidden="false" customHeight="false" outlineLevel="0" collapsed="false">
      <c r="A22" s="5" t="s">
        <v>306</v>
      </c>
      <c r="B22" s="6"/>
      <c r="C22" s="6"/>
      <c r="D22" s="6"/>
      <c r="E22" s="6"/>
      <c r="F22" s="6"/>
      <c r="G22" s="6"/>
      <c r="H22" s="6"/>
      <c r="I22" s="6"/>
      <c r="J22" s="6"/>
      <c r="K22" s="6"/>
      <c r="L22" s="6"/>
      <c r="M22" s="6"/>
      <c r="N22" s="6"/>
      <c r="O22" s="6"/>
      <c r="P22" s="6"/>
      <c r="Q22" s="6"/>
      <c r="R22" s="6"/>
      <c r="S22" s="6"/>
      <c r="T22" s="2"/>
      <c r="U22" s="2"/>
      <c r="V22" s="2"/>
      <c r="W22" s="2"/>
      <c r="X22" s="2"/>
    </row>
    <row r="23" customFormat="false" ht="30" hidden="false" customHeight="true" outlineLevel="0" collapsed="false">
      <c r="A23" s="2"/>
      <c r="B23" s="41" t="s">
        <v>307</v>
      </c>
      <c r="C23" s="45" t="n">
        <f aca="false">Lists!C$21</f>
        <v>46339</v>
      </c>
      <c r="D23" s="45" t="n">
        <f aca="false">Lists!D$21</f>
        <v>46346</v>
      </c>
      <c r="E23" s="45" t="n">
        <f aca="false">Lists!E$21</f>
        <v>46353</v>
      </c>
      <c r="F23" s="45" t="n">
        <f aca="false">Lists!F$21</f>
        <v>46360</v>
      </c>
      <c r="G23" s="45" t="n">
        <f aca="false">Lists!G$21</f>
        <v>46367</v>
      </c>
      <c r="H23" s="45" t="n">
        <f aca="false">Lists!H$21</f>
        <v>46374</v>
      </c>
      <c r="I23" s="45" t="n">
        <f aca="false">Lists!I$21</f>
        <v>46381</v>
      </c>
      <c r="J23" s="45" t="n">
        <f aca="false">Lists!J$21</f>
        <v>46388</v>
      </c>
      <c r="K23" s="45" t="n">
        <f aca="false">Lists!K$21</f>
        <v>46395</v>
      </c>
      <c r="L23" s="45" t="n">
        <f aca="false">Lists!L$21</f>
        <v>46402</v>
      </c>
      <c r="M23" s="45" t="n">
        <f aca="false">Lists!M$21</f>
        <v>46409</v>
      </c>
      <c r="N23" s="45" t="n">
        <f aca="false">Lists!N$21</f>
        <v>46416</v>
      </c>
      <c r="O23" s="45" t="n">
        <f aca="false">Lists!O$21</f>
        <v>46423</v>
      </c>
      <c r="P23" s="42" t="s">
        <v>248</v>
      </c>
      <c r="Q23" s="42" t="s">
        <v>308</v>
      </c>
      <c r="R23" s="42" t="s">
        <v>249</v>
      </c>
      <c r="S23" s="42" t="s">
        <v>250</v>
      </c>
      <c r="T23" s="2"/>
      <c r="U23" s="2"/>
      <c r="V23" s="2"/>
      <c r="W23" s="2"/>
      <c r="X23" s="2"/>
    </row>
    <row r="24" customFormat="false" ht="15" hidden="false" customHeight="false" outlineLevel="0" collapsed="false">
      <c r="A24" s="2"/>
      <c r="B24" s="15" t="str">
        <f aca="false">U$10</f>
        <v>Base case</v>
      </c>
      <c r="C24" s="53" t="n">
        <f aca="false">C83</f>
        <v>271409.458128079</v>
      </c>
      <c r="D24" s="53" t="n">
        <f aca="false">D83</f>
        <v>293852.676518883</v>
      </c>
      <c r="E24" s="53" t="n">
        <f aca="false">E83</f>
        <v>221315.894909688</v>
      </c>
      <c r="F24" s="53" t="n">
        <f aca="false">F83</f>
        <v>211279.113300493</v>
      </c>
      <c r="G24" s="53" t="n">
        <f aca="false">G83</f>
        <v>216471.724137931</v>
      </c>
      <c r="H24" s="53" t="n">
        <f aca="false">H83</f>
        <v>187796.091954023</v>
      </c>
      <c r="I24" s="53" t="n">
        <f aca="false">I83</f>
        <v>144320.459770115</v>
      </c>
      <c r="J24" s="53" t="n">
        <f aca="false">J83</f>
        <v>192678.16091954</v>
      </c>
      <c r="K24" s="53" t="n">
        <f aca="false">K83</f>
        <v>19060</v>
      </c>
      <c r="L24" s="53" t="n">
        <f aca="false">L83</f>
        <v>73526.6666666666</v>
      </c>
      <c r="M24" s="53" t="n">
        <f aca="false">M83</f>
        <v>109733.333333333</v>
      </c>
      <c r="N24" s="53" t="n">
        <f aca="false">N83</f>
        <v>131320</v>
      </c>
      <c r="O24" s="53" t="n">
        <f aca="false">O83</f>
        <v>226106.666666667</v>
      </c>
      <c r="P24" s="76" t="n">
        <f aca="false">MIN(C24:O24)</f>
        <v>19060</v>
      </c>
      <c r="Q24" s="77" t="n">
        <f aca="false">INDEX($C$23:$O$23,MATCH(P24,C24:O24,0))</f>
        <v>46395</v>
      </c>
      <c r="R24" s="46" t="n">
        <f aca="false">O24</f>
        <v>226106.666666667</v>
      </c>
      <c r="S24" s="78" t="n">
        <f aca="false">COUNTIF(C24:O24,"&lt;0")</f>
        <v>0</v>
      </c>
      <c r="T24" s="2"/>
      <c r="U24" s="2"/>
      <c r="V24" s="2"/>
      <c r="W24" s="2"/>
      <c r="X24" s="2"/>
    </row>
    <row r="25" customFormat="false" ht="15" hidden="false" customHeight="false" outlineLevel="0" collapsed="false">
      <c r="A25" s="2"/>
      <c r="B25" s="15" t="str">
        <f aca="false">V$10</f>
        <v>Customers pay 2 weeks late</v>
      </c>
      <c r="C25" s="53" t="n">
        <f aca="false">C100</f>
        <v>231040</v>
      </c>
      <c r="D25" s="53" t="n">
        <f aca="false">D100</f>
        <v>182836.666666667</v>
      </c>
      <c r="E25" s="53" t="n">
        <f aca="false">E100</f>
        <v>80022.7914614122</v>
      </c>
      <c r="F25" s="53" t="n">
        <f aca="false">F100</f>
        <v>69986.0098522168</v>
      </c>
      <c r="G25" s="53" t="n">
        <f aca="false">G100</f>
        <v>83249.2282430214</v>
      </c>
      <c r="H25" s="53" t="n">
        <f aca="false">H100</f>
        <v>38122.446633826</v>
      </c>
      <c r="I25" s="53" t="n">
        <f aca="false">I100</f>
        <v>-29874.9425287356</v>
      </c>
      <c r="J25" s="53" t="n">
        <f aca="false">J100</f>
        <v>-7917.24137931035</v>
      </c>
      <c r="K25" s="53" t="n">
        <f aca="false">K100</f>
        <v>-204659.540229885</v>
      </c>
      <c r="L25" s="53" t="n">
        <f aca="false">L100</f>
        <v>-158261.83908046</v>
      </c>
      <c r="M25" s="53" t="n">
        <f aca="false">M100</f>
        <v>-133400</v>
      </c>
      <c r="N25" s="53" t="n">
        <f aca="false">N100</f>
        <v>-111813.333333333</v>
      </c>
      <c r="O25" s="53" t="n">
        <f aca="false">O100</f>
        <v>-17026.6666666667</v>
      </c>
      <c r="P25" s="76" t="n">
        <f aca="false">MIN(C25:O25)</f>
        <v>-204659.540229885</v>
      </c>
      <c r="Q25" s="77" t="n">
        <f aca="false">INDEX($C$23:$O$23,MATCH(P25,C25:O25,0))</f>
        <v>46395</v>
      </c>
      <c r="R25" s="46" t="n">
        <f aca="false">O25</f>
        <v>-17026.6666666667</v>
      </c>
      <c r="S25" s="78" t="n">
        <f aca="false">COUNTIF(C25:O25,"&lt;0")</f>
        <v>7</v>
      </c>
      <c r="T25" s="2"/>
      <c r="U25" s="2"/>
      <c r="V25" s="2"/>
      <c r="W25" s="2"/>
      <c r="X25" s="2"/>
    </row>
    <row r="26" customFormat="false" ht="15" hidden="false" customHeight="false" outlineLevel="0" collapsed="false">
      <c r="A26" s="2"/>
      <c r="B26" s="15" t="str">
        <f aca="false">W$10</f>
        <v>Sales down 20%</v>
      </c>
      <c r="C26" s="53" t="n">
        <f aca="false">C117</f>
        <v>271409.458128079</v>
      </c>
      <c r="D26" s="53" t="n">
        <f aca="false">D117</f>
        <v>293852.676518883</v>
      </c>
      <c r="E26" s="53" t="n">
        <f aca="false">E117</f>
        <v>221315.894909688</v>
      </c>
      <c r="F26" s="53" t="n">
        <f aca="false">F117</f>
        <v>211279.113300493</v>
      </c>
      <c r="G26" s="53" t="n">
        <f aca="false">G117</f>
        <v>216471.724137931</v>
      </c>
      <c r="H26" s="53" t="n">
        <f aca="false">H117</f>
        <v>190568.091954023</v>
      </c>
      <c r="I26" s="53" t="n">
        <f aca="false">I117</f>
        <v>158180.459770115</v>
      </c>
      <c r="J26" s="53" t="n">
        <f aca="false">J117</f>
        <v>212346.16091954</v>
      </c>
      <c r="K26" s="53" t="n">
        <f aca="false">K117</f>
        <v>44536</v>
      </c>
      <c r="L26" s="53" t="n">
        <f aca="false">L117</f>
        <v>91610.6666666666</v>
      </c>
      <c r="M26" s="53" t="n">
        <f aca="false">M117</f>
        <v>120425.333333333</v>
      </c>
      <c r="N26" s="53" t="n">
        <f aca="false">N117</f>
        <v>132928</v>
      </c>
      <c r="O26" s="53" t="n">
        <f aca="false">O117</f>
        <v>213050.666666667</v>
      </c>
      <c r="P26" s="76" t="n">
        <f aca="false">MIN(C26:O26)</f>
        <v>44536</v>
      </c>
      <c r="Q26" s="77" t="n">
        <f aca="false">INDEX($C$23:$O$23,MATCH(P26,C26:O26,0))</f>
        <v>46395</v>
      </c>
      <c r="R26" s="46" t="n">
        <f aca="false">O26</f>
        <v>213050.666666667</v>
      </c>
      <c r="S26" s="78" t="n">
        <f aca="false">COUNTIF(C26:O26,"&lt;0")</f>
        <v>0</v>
      </c>
      <c r="T26" s="2"/>
      <c r="U26" s="2"/>
      <c r="V26" s="2"/>
      <c r="W26" s="2"/>
      <c r="X26" s="2"/>
    </row>
    <row r="27" customFormat="false" ht="15" hidden="false" customHeight="false" outlineLevel="0" collapsed="false">
      <c r="A27" s="2"/>
      <c r="B27" s="15" t="str">
        <f aca="false">X$10</f>
        <v>Severe downturn</v>
      </c>
      <c r="C27" s="53" t="n">
        <f aca="false">C134</f>
        <v>213258.666666667</v>
      </c>
      <c r="D27" s="53" t="n">
        <f aca="false">D134</f>
        <v>126484.333333333</v>
      </c>
      <c r="E27" s="53" t="n">
        <f aca="false">E134</f>
        <v>-16879</v>
      </c>
      <c r="F27" s="53" t="n">
        <f aca="false">F134</f>
        <v>-46584.8210180624</v>
      </c>
      <c r="G27" s="53" t="n">
        <f aca="false">G134</f>
        <v>-40141.0077996716</v>
      </c>
      <c r="H27" s="53" t="n">
        <f aca="false">H134</f>
        <v>-94450.4445812808</v>
      </c>
      <c r="I27" s="53" t="n">
        <f aca="false">I134</f>
        <v>-145667.548029557</v>
      </c>
      <c r="J27" s="53" t="n">
        <f aca="false">J134</f>
        <v>-209043.198275862</v>
      </c>
      <c r="K27" s="53" t="n">
        <f aca="false">K134</f>
        <v>-336734.267241379</v>
      </c>
      <c r="L27" s="53" t="n">
        <f aca="false">L134</f>
        <v>-314038.336206897</v>
      </c>
      <c r="M27" s="53" t="n">
        <f aca="false">M134</f>
        <v>-283163.155172414</v>
      </c>
      <c r="N27" s="53" t="n">
        <f aca="false">N134</f>
        <v>-256249</v>
      </c>
      <c r="O27" s="53" t="n">
        <f aca="false">O134</f>
        <v>-168634</v>
      </c>
      <c r="P27" s="76" t="n">
        <f aca="false">MIN(C27:O27)</f>
        <v>-336734.267241379</v>
      </c>
      <c r="Q27" s="77" t="n">
        <f aca="false">INDEX($C$23:$O$23,MATCH(P27,C27:O27,0))</f>
        <v>46395</v>
      </c>
      <c r="R27" s="46" t="n">
        <f aca="false">O27</f>
        <v>-168634</v>
      </c>
      <c r="S27" s="78" t="n">
        <f aca="false">COUNTIF(C27:O27,"&lt;0")</f>
        <v>11</v>
      </c>
      <c r="T27" s="2"/>
      <c r="U27" s="2"/>
      <c r="V27" s="2"/>
      <c r="W27" s="2"/>
      <c r="X27" s="2"/>
    </row>
    <row r="28" customFormat="false" ht="15" hidden="false" customHeight="false" outlineLevel="0" collapsed="false">
      <c r="A28" s="2"/>
      <c r="B28" s="9" t="s">
        <v>266</v>
      </c>
      <c r="C28" s="47" t="n">
        <f aca="false">-Setup!$D$12</f>
        <v>-50000</v>
      </c>
      <c r="D28" s="47" t="n">
        <f aca="false">-Setup!$D$12</f>
        <v>-50000</v>
      </c>
      <c r="E28" s="47" t="n">
        <f aca="false">-Setup!$D$12</f>
        <v>-50000</v>
      </c>
      <c r="F28" s="47" t="n">
        <f aca="false">-Setup!$D$12</f>
        <v>-50000</v>
      </c>
      <c r="G28" s="47" t="n">
        <f aca="false">-Setup!$D$12</f>
        <v>-50000</v>
      </c>
      <c r="H28" s="47" t="n">
        <f aca="false">-Setup!$D$12</f>
        <v>-50000</v>
      </c>
      <c r="I28" s="47" t="n">
        <f aca="false">-Setup!$D$12</f>
        <v>-50000</v>
      </c>
      <c r="J28" s="47" t="n">
        <f aca="false">-Setup!$D$12</f>
        <v>-50000</v>
      </c>
      <c r="K28" s="47" t="n">
        <f aca="false">-Setup!$D$12</f>
        <v>-50000</v>
      </c>
      <c r="L28" s="47" t="n">
        <f aca="false">-Setup!$D$12</f>
        <v>-50000</v>
      </c>
      <c r="M28" s="47" t="n">
        <f aca="false">-Setup!$D$12</f>
        <v>-50000</v>
      </c>
      <c r="N28" s="47" t="n">
        <f aca="false">-Setup!$D$12</f>
        <v>-50000</v>
      </c>
      <c r="O28" s="47" t="n">
        <f aca="false">-Setup!$D$12</f>
        <v>-50000</v>
      </c>
      <c r="P28" s="2"/>
      <c r="Q28" s="2"/>
      <c r="R28" s="2"/>
      <c r="S28" s="2"/>
      <c r="T28" s="2"/>
      <c r="U28" s="2"/>
      <c r="V28" s="2"/>
      <c r="W28" s="2"/>
      <c r="X28" s="2"/>
    </row>
    <row r="29" customFormat="false" ht="15" hidden="false" customHeight="false" outlineLevel="0" collapsed="false">
      <c r="A29" s="2"/>
      <c r="B29" s="2"/>
      <c r="C29" s="2"/>
      <c r="D29" s="2"/>
      <c r="E29" s="2"/>
      <c r="F29" s="2"/>
      <c r="G29" s="2"/>
      <c r="H29" s="2"/>
      <c r="I29" s="2"/>
      <c r="J29" s="2"/>
      <c r="K29" s="2"/>
      <c r="L29" s="2"/>
      <c r="M29" s="2"/>
      <c r="N29" s="2"/>
      <c r="O29" s="2"/>
      <c r="P29" s="2"/>
      <c r="Q29" s="2"/>
      <c r="R29" s="2"/>
      <c r="S29" s="2"/>
      <c r="T29" s="2"/>
      <c r="U29" s="2"/>
      <c r="V29" s="2"/>
      <c r="W29" s="2"/>
      <c r="X29" s="2"/>
    </row>
    <row r="30" customFormat="false" ht="1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c r="W30" s="2"/>
      <c r="X30" s="2"/>
    </row>
    <row r="31" customFormat="false" ht="15" hidden="false" customHeight="false" outlineLevel="0" collapsed="false">
      <c r="A31" s="2"/>
      <c r="B31" s="2"/>
      <c r="C31" s="2"/>
      <c r="D31" s="2"/>
      <c r="E31" s="2"/>
      <c r="F31" s="2"/>
      <c r="G31" s="2"/>
      <c r="H31" s="2"/>
      <c r="I31" s="2"/>
      <c r="J31" s="2"/>
      <c r="K31" s="2"/>
      <c r="L31" s="2"/>
      <c r="M31" s="2"/>
      <c r="N31" s="2"/>
      <c r="O31" s="2"/>
      <c r="P31" s="2"/>
      <c r="Q31" s="2"/>
      <c r="R31" s="2"/>
      <c r="S31" s="2"/>
      <c r="T31" s="2"/>
      <c r="U31" s="2"/>
      <c r="V31" s="2"/>
      <c r="W31" s="2"/>
      <c r="X31" s="2"/>
    </row>
    <row r="32" customFormat="false" ht="1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c r="W32" s="2"/>
      <c r="X32" s="2"/>
    </row>
    <row r="33" customFormat="false" ht="15" hidden="false" customHeight="false" outlineLevel="0" collapsed="false">
      <c r="A33" s="2"/>
      <c r="B33" s="2"/>
      <c r="C33" s="2"/>
      <c r="D33" s="2"/>
      <c r="E33" s="2"/>
      <c r="F33" s="2"/>
      <c r="G33" s="2"/>
      <c r="H33" s="2"/>
      <c r="I33" s="2"/>
      <c r="J33" s="2"/>
      <c r="K33" s="2"/>
      <c r="L33" s="2"/>
      <c r="M33" s="2"/>
      <c r="N33" s="2"/>
      <c r="O33" s="2"/>
      <c r="P33" s="2"/>
      <c r="Q33" s="2"/>
      <c r="R33" s="2"/>
      <c r="S33" s="2"/>
      <c r="T33" s="2"/>
      <c r="U33" s="2"/>
      <c r="V33" s="2"/>
      <c r="W33" s="2"/>
      <c r="X33" s="2"/>
    </row>
    <row r="34" customFormat="false" ht="1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c r="W34" s="2"/>
      <c r="X34" s="2"/>
    </row>
    <row r="35" customFormat="false" ht="1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c r="W35" s="2"/>
      <c r="X35" s="2"/>
    </row>
    <row r="36" customFormat="false" ht="15" hidden="false" customHeight="false" outlineLevel="0" collapsed="false">
      <c r="A36" s="2"/>
      <c r="B36" s="2"/>
      <c r="C36" s="2"/>
      <c r="D36" s="2"/>
      <c r="E36" s="2"/>
      <c r="F36" s="2"/>
      <c r="G36" s="2"/>
      <c r="H36" s="2"/>
      <c r="I36" s="2"/>
      <c r="J36" s="2"/>
      <c r="K36" s="2"/>
      <c r="L36" s="2"/>
      <c r="M36" s="2"/>
      <c r="N36" s="2"/>
      <c r="O36" s="2"/>
      <c r="P36" s="2"/>
      <c r="Q36" s="2"/>
      <c r="R36" s="2"/>
      <c r="S36" s="2"/>
      <c r="T36" s="2"/>
      <c r="U36" s="2"/>
      <c r="V36" s="2"/>
      <c r="W36" s="2"/>
      <c r="X36" s="2"/>
    </row>
    <row r="37" customFormat="false" ht="15" hidden="false" customHeight="false" outlineLevel="0" collapsed="false">
      <c r="A37" s="2"/>
      <c r="B37" s="2"/>
      <c r="C37" s="2"/>
      <c r="D37" s="2"/>
      <c r="E37" s="2"/>
      <c r="F37" s="2"/>
      <c r="G37" s="2"/>
      <c r="H37" s="2"/>
      <c r="I37" s="2"/>
      <c r="J37" s="2"/>
      <c r="K37" s="2"/>
      <c r="L37" s="2"/>
      <c r="M37" s="2"/>
      <c r="N37" s="2"/>
      <c r="O37" s="2"/>
      <c r="P37" s="2"/>
      <c r="Q37" s="2"/>
      <c r="R37" s="2"/>
      <c r="S37" s="2"/>
      <c r="T37" s="2"/>
      <c r="U37" s="2"/>
      <c r="V37" s="2"/>
      <c r="W37" s="2"/>
      <c r="X37" s="2"/>
    </row>
    <row r="38" customFormat="false" ht="15" hidden="false" customHeight="false" outlineLevel="0" collapsed="false">
      <c r="A38" s="2"/>
      <c r="B38" s="2"/>
      <c r="C38" s="2"/>
      <c r="D38" s="2"/>
      <c r="E38" s="2"/>
      <c r="F38" s="2"/>
      <c r="G38" s="2"/>
      <c r="H38" s="2"/>
      <c r="I38" s="2"/>
      <c r="J38" s="2"/>
      <c r="K38" s="2"/>
      <c r="L38" s="2"/>
      <c r="M38" s="2"/>
      <c r="N38" s="2"/>
      <c r="O38" s="2"/>
      <c r="P38" s="2"/>
      <c r="Q38" s="2"/>
      <c r="R38" s="2"/>
      <c r="S38" s="2"/>
      <c r="T38" s="2"/>
      <c r="U38" s="2"/>
      <c r="V38" s="2"/>
      <c r="W38" s="2"/>
      <c r="X38" s="2"/>
    </row>
    <row r="39" customFormat="false" ht="15" hidden="false" customHeight="false" outlineLevel="0" collapsed="false">
      <c r="A39" s="2"/>
      <c r="B39" s="2"/>
      <c r="C39" s="2"/>
      <c r="D39" s="2"/>
      <c r="E39" s="2"/>
      <c r="F39" s="2"/>
      <c r="G39" s="2"/>
      <c r="H39" s="2"/>
      <c r="I39" s="2"/>
      <c r="J39" s="2"/>
      <c r="K39" s="2"/>
      <c r="L39" s="2"/>
      <c r="M39" s="2"/>
      <c r="N39" s="2"/>
      <c r="O39" s="2"/>
      <c r="P39" s="2"/>
      <c r="Q39" s="2"/>
      <c r="R39" s="2"/>
      <c r="S39" s="2"/>
      <c r="T39" s="2"/>
      <c r="U39" s="2"/>
      <c r="V39" s="2"/>
      <c r="W39" s="2"/>
      <c r="X39" s="2"/>
    </row>
    <row r="40" customFormat="false" ht="1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c r="W40" s="2"/>
      <c r="X40" s="2"/>
    </row>
    <row r="41" customFormat="false" ht="15" hidden="false" customHeight="false" outlineLevel="0" collapsed="false">
      <c r="A41" s="2"/>
      <c r="B41" s="2"/>
      <c r="C41" s="2"/>
      <c r="D41" s="2"/>
      <c r="E41" s="2"/>
      <c r="F41" s="2"/>
      <c r="G41" s="2"/>
      <c r="H41" s="2"/>
      <c r="I41" s="2"/>
      <c r="J41" s="2"/>
      <c r="K41" s="2"/>
      <c r="L41" s="2"/>
      <c r="M41" s="2"/>
      <c r="N41" s="2"/>
      <c r="O41" s="2"/>
      <c r="P41" s="2"/>
      <c r="Q41" s="2"/>
      <c r="R41" s="2"/>
      <c r="S41" s="2"/>
      <c r="T41" s="2"/>
      <c r="U41" s="2"/>
      <c r="V41" s="2"/>
      <c r="W41" s="2"/>
      <c r="X41" s="2"/>
    </row>
    <row r="42" customFormat="false" ht="1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c r="W42" s="2"/>
      <c r="X42" s="2"/>
    </row>
    <row r="43" customFormat="false" ht="15" hidden="false" customHeight="false" outlineLevel="0" collapsed="false">
      <c r="A43" s="2"/>
      <c r="B43" s="2"/>
      <c r="C43" s="2"/>
      <c r="D43" s="2"/>
      <c r="E43" s="2"/>
      <c r="F43" s="2"/>
      <c r="G43" s="2"/>
      <c r="H43" s="2"/>
      <c r="I43" s="2"/>
      <c r="J43" s="2"/>
      <c r="K43" s="2"/>
      <c r="L43" s="2"/>
      <c r="M43" s="2"/>
      <c r="N43" s="2"/>
      <c r="O43" s="2"/>
      <c r="P43" s="2"/>
      <c r="Q43" s="2"/>
      <c r="R43" s="2"/>
      <c r="S43" s="2"/>
      <c r="T43" s="2"/>
      <c r="U43" s="2"/>
      <c r="V43" s="2"/>
      <c r="W43" s="2"/>
      <c r="X43" s="2"/>
    </row>
    <row r="44" customFormat="false" ht="1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c r="W44" s="2"/>
      <c r="X44" s="2"/>
    </row>
    <row r="45" customFormat="false" ht="15" hidden="false" customHeight="false" outlineLevel="0" collapsed="false">
      <c r="A45" s="2"/>
      <c r="B45" s="2"/>
      <c r="C45" s="2"/>
      <c r="D45" s="2"/>
      <c r="E45" s="2"/>
      <c r="F45" s="2"/>
      <c r="G45" s="2"/>
      <c r="H45" s="2"/>
      <c r="I45" s="2"/>
      <c r="J45" s="2"/>
      <c r="K45" s="2"/>
      <c r="L45" s="2"/>
      <c r="M45" s="2"/>
      <c r="N45" s="2"/>
      <c r="O45" s="2"/>
      <c r="P45" s="2"/>
      <c r="Q45" s="2"/>
      <c r="R45" s="2"/>
      <c r="S45" s="2"/>
      <c r="T45" s="2"/>
      <c r="U45" s="2"/>
      <c r="V45" s="2"/>
      <c r="W45" s="2"/>
      <c r="X45" s="2"/>
    </row>
    <row r="46" customFormat="false" ht="1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c r="W46" s="2"/>
      <c r="X46" s="2"/>
    </row>
    <row r="47" customFormat="false" ht="1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c r="W47" s="2"/>
      <c r="X47" s="2"/>
    </row>
    <row r="48" customFormat="false" ht="1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c r="W48" s="2"/>
      <c r="X48" s="2"/>
    </row>
    <row r="49" customFormat="false" ht="15" hidden="false" customHeight="false" outlineLevel="0" collapsed="false">
      <c r="A49" s="2"/>
      <c r="B49" s="15" t="s">
        <v>309</v>
      </c>
      <c r="C49" s="76" t="n">
        <f aca="false">CHOOSE(IFERROR(MATCH($C$5,$U$10:$X$10,0),1),C82,C99,C116,C133)</f>
        <v>0</v>
      </c>
      <c r="D49" s="76" t="n">
        <f aca="false">CHOOSE(IFERROR(MATCH($C$5,$U$10:$X$10,0),1),D82,D99,D116,D133)</f>
        <v>0</v>
      </c>
      <c r="E49" s="76" t="n">
        <f aca="false">CHOOSE(IFERROR(MATCH($C$5,$U$10:$X$10,0),1),E82,E99,E116,E133)</f>
        <v>0</v>
      </c>
      <c r="F49" s="76" t="n">
        <f aca="false">CHOOSE(IFERROR(MATCH($C$5,$U$10:$X$10,0),1),F82,F99,F116,F133)</f>
        <v>0</v>
      </c>
      <c r="G49" s="76" t="n">
        <f aca="false">CHOOSE(IFERROR(MATCH($C$5,$U$10:$X$10,0),1),G82,G99,G116,G133)</f>
        <v>0</v>
      </c>
      <c r="H49" s="76" t="n">
        <f aca="false">CHOOSE(IFERROR(MATCH($C$5,$U$10:$X$10,0),1),H82,H99,H116,H133)</f>
        <v>0</v>
      </c>
      <c r="I49" s="76" t="n">
        <f aca="false">CHOOSE(IFERROR(MATCH($C$5,$U$10:$X$10,0),1),I82,I99,I116,I133)</f>
        <v>0</v>
      </c>
      <c r="J49" s="76" t="n">
        <f aca="false">CHOOSE(IFERROR(MATCH($C$5,$U$10:$X$10,0),1),J82,J99,J116,J133)</f>
        <v>0</v>
      </c>
      <c r="K49" s="76" t="n">
        <f aca="false">CHOOSE(IFERROR(MATCH($C$5,$U$10:$X$10,0),1),K82,K99,K116,K133)</f>
        <v>0</v>
      </c>
      <c r="L49" s="76" t="n">
        <f aca="false">CHOOSE(IFERROR(MATCH($C$5,$U$10:$X$10,0),1),L82,L99,L116,L133)</f>
        <v>0</v>
      </c>
      <c r="M49" s="76" t="n">
        <f aca="false">CHOOSE(IFERROR(MATCH($C$5,$U$10:$X$10,0),1),M82,M99,M116,M133)</f>
        <v>0</v>
      </c>
      <c r="N49" s="76" t="n">
        <f aca="false">CHOOSE(IFERROR(MATCH($C$5,$U$10:$X$10,0),1),N82,N99,N116,N133)</f>
        <v>0</v>
      </c>
      <c r="O49" s="76" t="n">
        <f aca="false">CHOOSE(IFERROR(MATCH($C$5,$U$10:$X$10,0),1),O82,O99,O116,O133)</f>
        <v>0</v>
      </c>
      <c r="P49" s="76" t="n">
        <f aca="false">CHOOSE(IFERROR(MATCH($C$5,$U$10:$X$10,0),1),P82,P99,P116,P133)</f>
        <v>0</v>
      </c>
      <c r="Q49" s="2"/>
      <c r="R49" s="2"/>
      <c r="S49" s="2"/>
      <c r="T49" s="2"/>
      <c r="U49" s="2"/>
      <c r="V49" s="2"/>
      <c r="W49" s="2"/>
      <c r="X49" s="2"/>
    </row>
    <row r="50" customFormat="false" ht="15" hidden="false" customHeight="false" outlineLevel="0" collapsed="false">
      <c r="A50" s="2"/>
      <c r="B50" s="21" t="s">
        <v>310</v>
      </c>
      <c r="C50" s="2"/>
      <c r="D50" s="2"/>
      <c r="E50" s="2"/>
      <c r="F50" s="2"/>
      <c r="G50" s="2"/>
      <c r="H50" s="2"/>
      <c r="I50" s="2"/>
      <c r="J50" s="2"/>
      <c r="K50" s="2"/>
      <c r="L50" s="2"/>
      <c r="M50" s="2"/>
      <c r="N50" s="2"/>
      <c r="O50" s="2"/>
      <c r="P50" s="2"/>
      <c r="Q50" s="2"/>
      <c r="R50" s="2"/>
      <c r="S50" s="2"/>
      <c r="T50" s="2"/>
      <c r="U50" s="2"/>
      <c r="V50" s="2"/>
      <c r="W50" s="2"/>
      <c r="X50" s="2"/>
    </row>
    <row r="51" customFormat="false" ht="15" hidden="false" customHeight="false" outlineLevel="0" collapsed="false">
      <c r="A51" s="2"/>
      <c r="B51" s="2"/>
      <c r="C51" s="2"/>
      <c r="D51" s="2"/>
      <c r="E51" s="2"/>
      <c r="F51" s="2"/>
      <c r="G51" s="2"/>
      <c r="H51" s="2"/>
      <c r="I51" s="2"/>
      <c r="J51" s="2"/>
      <c r="K51" s="2"/>
      <c r="L51" s="2"/>
      <c r="M51" s="2"/>
      <c r="N51" s="2"/>
      <c r="O51" s="2"/>
      <c r="P51" s="2"/>
      <c r="Q51" s="2"/>
      <c r="R51" s="2"/>
      <c r="S51" s="2"/>
      <c r="T51" s="2"/>
      <c r="U51" s="2"/>
      <c r="V51" s="2"/>
      <c r="W51" s="2"/>
      <c r="X51" s="2"/>
    </row>
    <row r="52" customFormat="false" ht="15" hidden="false" customHeight="false" outlineLevel="0" collapsed="false">
      <c r="A52" s="5" t="s">
        <v>311</v>
      </c>
      <c r="B52" s="6"/>
      <c r="C52" s="6"/>
      <c r="D52" s="6"/>
      <c r="E52" s="6"/>
      <c r="F52" s="6"/>
      <c r="G52" s="6"/>
      <c r="H52" s="6"/>
      <c r="I52" s="6"/>
      <c r="J52" s="6"/>
      <c r="K52" s="6"/>
      <c r="L52" s="6"/>
      <c r="M52" s="6"/>
      <c r="N52" s="6"/>
      <c r="O52" s="6"/>
      <c r="P52" s="2"/>
      <c r="Q52" s="2"/>
      <c r="R52" s="2"/>
      <c r="S52" s="2"/>
      <c r="T52" s="2"/>
      <c r="U52" s="2"/>
      <c r="V52" s="2"/>
      <c r="W52" s="2"/>
      <c r="X52" s="2"/>
    </row>
    <row r="53" customFormat="false" ht="42" hidden="false" customHeight="true" outlineLevel="0" collapsed="false">
      <c r="A53" s="2"/>
      <c r="B53" s="56" t="s">
        <v>312</v>
      </c>
      <c r="C53" s="56" t="s">
        <v>313</v>
      </c>
      <c r="D53" s="56" t="s">
        <v>314</v>
      </c>
      <c r="E53" s="56" t="s">
        <v>315</v>
      </c>
      <c r="F53" s="56" t="s">
        <v>316</v>
      </c>
      <c r="G53" s="56" t="s">
        <v>317</v>
      </c>
      <c r="H53" s="56" t="s">
        <v>318</v>
      </c>
      <c r="I53" s="56" t="s">
        <v>319</v>
      </c>
      <c r="J53" s="56" t="s">
        <v>320</v>
      </c>
      <c r="K53" s="56" t="s">
        <v>321</v>
      </c>
      <c r="L53" s="56" t="s">
        <v>320</v>
      </c>
      <c r="M53" s="56" t="s">
        <v>322</v>
      </c>
      <c r="N53" s="2"/>
      <c r="O53" s="2"/>
      <c r="P53" s="2"/>
      <c r="Q53" s="2"/>
      <c r="R53" s="2"/>
      <c r="S53" s="2"/>
      <c r="T53" s="2"/>
      <c r="U53" s="2"/>
      <c r="V53" s="2"/>
      <c r="W53" s="2"/>
      <c r="X53" s="2"/>
    </row>
    <row r="54" customFormat="false" ht="15" hidden="false" customHeight="false" outlineLevel="0" collapsed="false">
      <c r="A54" s="2"/>
      <c r="B54" s="55" t="s">
        <v>286</v>
      </c>
      <c r="C54" s="79"/>
      <c r="D54" s="80" t="n">
        <v>14</v>
      </c>
      <c r="E54" s="79"/>
      <c r="F54" s="79"/>
      <c r="G54" s="79"/>
      <c r="H54" s="80"/>
      <c r="I54" s="73"/>
      <c r="J54" s="80"/>
      <c r="K54" s="73"/>
      <c r="L54" s="80"/>
      <c r="M54" s="21" t="s">
        <v>323</v>
      </c>
      <c r="N54" s="2"/>
      <c r="O54" s="2"/>
      <c r="P54" s="2"/>
      <c r="Q54" s="2"/>
      <c r="R54" s="2"/>
      <c r="S54" s="2"/>
      <c r="T54" s="2"/>
      <c r="U54" s="2"/>
      <c r="V54" s="2"/>
      <c r="W54" s="2"/>
      <c r="X54" s="2"/>
    </row>
    <row r="55" customFormat="false" ht="15" hidden="false" customHeight="false" outlineLevel="0" collapsed="false">
      <c r="A55" s="2"/>
      <c r="B55" s="55" t="s">
        <v>324</v>
      </c>
      <c r="C55" s="79"/>
      <c r="D55" s="80" t="n">
        <v>28</v>
      </c>
      <c r="E55" s="79"/>
      <c r="F55" s="79"/>
      <c r="G55" s="79"/>
      <c r="H55" s="80"/>
      <c r="I55" s="73"/>
      <c r="J55" s="80"/>
      <c r="K55" s="73"/>
      <c r="L55" s="80"/>
      <c r="M55" s="21" t="s">
        <v>325</v>
      </c>
      <c r="N55" s="2"/>
      <c r="O55" s="2"/>
      <c r="P55" s="2"/>
      <c r="Q55" s="2"/>
      <c r="R55" s="2"/>
      <c r="S55" s="2"/>
      <c r="T55" s="2"/>
      <c r="U55" s="2"/>
      <c r="V55" s="2"/>
      <c r="W55" s="2"/>
      <c r="X55" s="2"/>
    </row>
    <row r="56" customFormat="false" ht="15" hidden="false" customHeight="false" outlineLevel="0" collapsed="false">
      <c r="A56" s="2"/>
      <c r="B56" s="55" t="s">
        <v>326</v>
      </c>
      <c r="C56" s="79"/>
      <c r="D56" s="80"/>
      <c r="E56" s="79" t="n">
        <v>0.1</v>
      </c>
      <c r="F56" s="79"/>
      <c r="G56" s="79"/>
      <c r="H56" s="80"/>
      <c r="I56" s="73"/>
      <c r="J56" s="80"/>
      <c r="K56" s="73"/>
      <c r="L56" s="80"/>
      <c r="M56" s="21" t="s">
        <v>327</v>
      </c>
      <c r="N56" s="2"/>
      <c r="O56" s="2"/>
      <c r="P56" s="2"/>
      <c r="Q56" s="2"/>
      <c r="R56" s="2"/>
      <c r="S56" s="2"/>
      <c r="T56" s="2"/>
      <c r="U56" s="2"/>
      <c r="V56" s="2"/>
      <c r="W56" s="2"/>
      <c r="X56" s="2"/>
    </row>
    <row r="57" customFormat="false" ht="15" hidden="false" customHeight="false" outlineLevel="0" collapsed="false">
      <c r="A57" s="2"/>
      <c r="B57" s="55" t="s">
        <v>328</v>
      </c>
      <c r="C57" s="79" t="n">
        <v>-0.1</v>
      </c>
      <c r="D57" s="80"/>
      <c r="E57" s="79"/>
      <c r="F57" s="79"/>
      <c r="G57" s="79"/>
      <c r="H57" s="80"/>
      <c r="I57" s="73"/>
      <c r="J57" s="80"/>
      <c r="K57" s="73"/>
      <c r="L57" s="80"/>
      <c r="M57" s="21" t="s">
        <v>329</v>
      </c>
      <c r="N57" s="2"/>
      <c r="O57" s="2"/>
      <c r="P57" s="2"/>
      <c r="Q57" s="2"/>
      <c r="R57" s="2"/>
      <c r="S57" s="2"/>
      <c r="T57" s="2"/>
      <c r="U57" s="2"/>
      <c r="V57" s="2"/>
      <c r="W57" s="2"/>
      <c r="X57" s="2"/>
    </row>
    <row r="58" customFormat="false" ht="15" hidden="false" customHeight="false" outlineLevel="0" collapsed="false">
      <c r="A58" s="2"/>
      <c r="B58" s="55" t="s">
        <v>287</v>
      </c>
      <c r="C58" s="79" t="n">
        <v>-0.2</v>
      </c>
      <c r="D58" s="80"/>
      <c r="E58" s="79"/>
      <c r="F58" s="79"/>
      <c r="G58" s="79"/>
      <c r="H58" s="80"/>
      <c r="I58" s="73"/>
      <c r="J58" s="80"/>
      <c r="K58" s="73"/>
      <c r="L58" s="80"/>
      <c r="M58" s="21" t="s">
        <v>330</v>
      </c>
      <c r="N58" s="2"/>
      <c r="O58" s="2"/>
      <c r="P58" s="2"/>
      <c r="Q58" s="2"/>
      <c r="R58" s="2"/>
      <c r="S58" s="2"/>
      <c r="T58" s="2"/>
      <c r="U58" s="2"/>
      <c r="V58" s="2"/>
      <c r="W58" s="2"/>
      <c r="X58" s="2"/>
    </row>
    <row r="59" customFormat="false" ht="15" hidden="false" customHeight="false" outlineLevel="0" collapsed="false">
      <c r="A59" s="2"/>
      <c r="B59" s="55" t="s">
        <v>331</v>
      </c>
      <c r="C59" s="79" t="n">
        <v>-0.3</v>
      </c>
      <c r="D59" s="80"/>
      <c r="E59" s="79" t="n">
        <v>0.15</v>
      </c>
      <c r="F59" s="79"/>
      <c r="G59" s="79"/>
      <c r="H59" s="80"/>
      <c r="I59" s="73"/>
      <c r="J59" s="80"/>
      <c r="K59" s="73"/>
      <c r="L59" s="80"/>
      <c r="M59" s="21" t="s">
        <v>332</v>
      </c>
      <c r="N59" s="2"/>
      <c r="O59" s="2"/>
      <c r="P59" s="2"/>
      <c r="Q59" s="2"/>
      <c r="R59" s="2"/>
      <c r="S59" s="2"/>
      <c r="T59" s="2"/>
      <c r="U59" s="2"/>
      <c r="V59" s="2"/>
      <c r="W59" s="2"/>
      <c r="X59" s="2"/>
    </row>
    <row r="60" customFormat="false" ht="15" hidden="false" customHeight="false" outlineLevel="0" collapsed="false">
      <c r="A60" s="2"/>
      <c r="B60" s="55" t="s">
        <v>333</v>
      </c>
      <c r="C60" s="79"/>
      <c r="D60" s="80"/>
      <c r="E60" s="79"/>
      <c r="F60" s="79" t="n">
        <v>0.05</v>
      </c>
      <c r="G60" s="79"/>
      <c r="H60" s="80"/>
      <c r="I60" s="73"/>
      <c r="J60" s="80"/>
      <c r="K60" s="73"/>
      <c r="L60" s="80"/>
      <c r="M60" s="21" t="s">
        <v>334</v>
      </c>
      <c r="N60" s="2"/>
      <c r="O60" s="2"/>
      <c r="P60" s="2"/>
      <c r="Q60" s="2"/>
      <c r="R60" s="2"/>
      <c r="S60" s="2"/>
      <c r="T60" s="2"/>
      <c r="U60" s="2"/>
      <c r="V60" s="2"/>
      <c r="W60" s="2"/>
      <c r="X60" s="2"/>
    </row>
    <row r="61" customFormat="false" ht="15" hidden="false" customHeight="false" outlineLevel="0" collapsed="false">
      <c r="A61" s="2"/>
      <c r="B61" s="55" t="s">
        <v>335</v>
      </c>
      <c r="C61" s="79"/>
      <c r="D61" s="80"/>
      <c r="E61" s="79"/>
      <c r="F61" s="79"/>
      <c r="G61" s="79" t="n">
        <v>0.05</v>
      </c>
      <c r="H61" s="80"/>
      <c r="I61" s="73"/>
      <c r="J61" s="80"/>
      <c r="K61" s="73"/>
      <c r="L61" s="80"/>
      <c r="M61" s="21" t="s">
        <v>336</v>
      </c>
      <c r="N61" s="2"/>
      <c r="O61" s="2"/>
      <c r="P61" s="2"/>
      <c r="Q61" s="2"/>
      <c r="R61" s="2"/>
      <c r="S61" s="2"/>
      <c r="T61" s="2"/>
      <c r="U61" s="2"/>
      <c r="V61" s="2"/>
      <c r="W61" s="2"/>
      <c r="X61" s="2"/>
    </row>
    <row r="62" customFormat="false" ht="15" hidden="false" customHeight="false" outlineLevel="0" collapsed="false">
      <c r="A62" s="2"/>
      <c r="B62" s="55" t="s">
        <v>337</v>
      </c>
      <c r="C62" s="79"/>
      <c r="D62" s="80"/>
      <c r="E62" s="79"/>
      <c r="F62" s="79"/>
      <c r="G62" s="79"/>
      <c r="H62" s="80" t="n">
        <v>14</v>
      </c>
      <c r="I62" s="73"/>
      <c r="J62" s="80"/>
      <c r="K62" s="73"/>
      <c r="L62" s="80"/>
      <c r="M62" s="21" t="s">
        <v>338</v>
      </c>
      <c r="N62" s="2"/>
      <c r="O62" s="2"/>
      <c r="P62" s="2"/>
      <c r="Q62" s="2"/>
      <c r="R62" s="2"/>
      <c r="S62" s="2"/>
      <c r="T62" s="2"/>
      <c r="U62" s="2"/>
      <c r="V62" s="2"/>
      <c r="W62" s="2"/>
      <c r="X62" s="2"/>
    </row>
    <row r="63" customFormat="false" ht="15" hidden="false" customHeight="false" outlineLevel="0" collapsed="false">
      <c r="A63" s="2"/>
      <c r="B63" s="55" t="s">
        <v>339</v>
      </c>
      <c r="C63" s="79"/>
      <c r="D63" s="80"/>
      <c r="E63" s="79"/>
      <c r="F63" s="79"/>
      <c r="G63" s="79"/>
      <c r="H63" s="80"/>
      <c r="I63" s="73" t="n">
        <v>-10000</v>
      </c>
      <c r="J63" s="80" t="n">
        <v>4</v>
      </c>
      <c r="K63" s="73"/>
      <c r="L63" s="80"/>
      <c r="M63" s="21" t="s">
        <v>340</v>
      </c>
      <c r="N63" s="2"/>
      <c r="O63" s="2"/>
      <c r="P63" s="2"/>
      <c r="Q63" s="2"/>
      <c r="R63" s="2"/>
      <c r="S63" s="2"/>
      <c r="T63" s="2"/>
      <c r="U63" s="2"/>
      <c r="V63" s="2"/>
      <c r="W63" s="2"/>
      <c r="X63" s="2"/>
    </row>
    <row r="64" customFormat="false" ht="15" hidden="false" customHeight="false" outlineLevel="0" collapsed="false">
      <c r="A64" s="2"/>
      <c r="B64" s="55" t="s">
        <v>341</v>
      </c>
      <c r="C64" s="79" t="n">
        <v>-0.1</v>
      </c>
      <c r="D64" s="80" t="n">
        <v>7</v>
      </c>
      <c r="E64" s="79" t="n">
        <v>0.03</v>
      </c>
      <c r="F64" s="79" t="n">
        <v>0.03</v>
      </c>
      <c r="G64" s="79"/>
      <c r="H64" s="80"/>
      <c r="I64" s="73"/>
      <c r="J64" s="80"/>
      <c r="K64" s="73"/>
      <c r="L64" s="80"/>
      <c r="M64" s="21" t="s">
        <v>342</v>
      </c>
      <c r="N64" s="2"/>
      <c r="O64" s="2"/>
      <c r="P64" s="2"/>
      <c r="Q64" s="2"/>
      <c r="R64" s="2"/>
      <c r="S64" s="2"/>
      <c r="T64" s="2"/>
      <c r="U64" s="2"/>
      <c r="V64" s="2"/>
      <c r="W64" s="2"/>
      <c r="X64" s="2"/>
    </row>
    <row r="65" customFormat="false" ht="15" hidden="false" customHeight="false" outlineLevel="0" collapsed="false">
      <c r="A65" s="2"/>
      <c r="B65" s="55" t="s">
        <v>288</v>
      </c>
      <c r="C65" s="79" t="n">
        <v>-0.25</v>
      </c>
      <c r="D65" s="80" t="n">
        <v>21</v>
      </c>
      <c r="E65" s="79" t="n">
        <v>0.1</v>
      </c>
      <c r="F65" s="79" t="n">
        <v>0.05</v>
      </c>
      <c r="G65" s="79"/>
      <c r="H65" s="80" t="n">
        <v>7</v>
      </c>
      <c r="I65" s="73" t="n">
        <v>-10000</v>
      </c>
      <c r="J65" s="80" t="n">
        <v>6</v>
      </c>
      <c r="K65" s="73"/>
      <c r="L65" s="80"/>
      <c r="M65" s="21" t="s">
        <v>343</v>
      </c>
      <c r="N65" s="2"/>
      <c r="O65" s="2"/>
      <c r="P65" s="2"/>
      <c r="Q65" s="2"/>
      <c r="R65" s="2"/>
      <c r="S65" s="2"/>
      <c r="T65" s="2"/>
      <c r="U65" s="2"/>
      <c r="V65" s="2"/>
      <c r="W65" s="2"/>
      <c r="X65" s="2"/>
    </row>
    <row r="66" customFormat="false" ht="15" hidden="false" customHeight="false" outlineLevel="0" collapsed="false">
      <c r="A66" s="2"/>
      <c r="B66" s="55"/>
      <c r="C66" s="79"/>
      <c r="D66" s="80"/>
      <c r="E66" s="79"/>
      <c r="F66" s="79"/>
      <c r="G66" s="79"/>
      <c r="H66" s="80"/>
      <c r="I66" s="73"/>
      <c r="J66" s="80"/>
      <c r="K66" s="73"/>
      <c r="L66" s="80"/>
      <c r="M66" s="21"/>
      <c r="N66" s="2"/>
      <c r="O66" s="2"/>
      <c r="P66" s="2"/>
      <c r="Q66" s="2"/>
      <c r="R66" s="2"/>
      <c r="S66" s="2"/>
      <c r="T66" s="2"/>
      <c r="U66" s="2"/>
      <c r="V66" s="2"/>
      <c r="W66" s="2"/>
      <c r="X66" s="2"/>
    </row>
    <row r="67" customFormat="false" ht="15" hidden="false" customHeight="false" outlineLevel="0" collapsed="false">
      <c r="A67" s="2"/>
      <c r="B67" s="55"/>
      <c r="C67" s="79"/>
      <c r="D67" s="80"/>
      <c r="E67" s="79"/>
      <c r="F67" s="79"/>
      <c r="G67" s="79"/>
      <c r="H67" s="80"/>
      <c r="I67" s="73"/>
      <c r="J67" s="80"/>
      <c r="K67" s="73"/>
      <c r="L67" s="80"/>
      <c r="M67" s="21"/>
      <c r="N67" s="2"/>
      <c r="O67" s="2"/>
      <c r="P67" s="2"/>
      <c r="Q67" s="2"/>
      <c r="R67" s="2"/>
      <c r="S67" s="2"/>
      <c r="T67" s="2"/>
      <c r="U67" s="2"/>
      <c r="V67" s="2"/>
      <c r="W67" s="2"/>
      <c r="X67" s="2"/>
    </row>
    <row r="68" customFormat="false" ht="15" hidden="false" customHeight="false" outlineLevel="0" collapsed="false">
      <c r="A68" s="2"/>
      <c r="B68" s="55"/>
      <c r="C68" s="79"/>
      <c r="D68" s="80"/>
      <c r="E68" s="79"/>
      <c r="F68" s="79"/>
      <c r="G68" s="79"/>
      <c r="H68" s="80"/>
      <c r="I68" s="73"/>
      <c r="J68" s="80"/>
      <c r="K68" s="73"/>
      <c r="L68" s="80"/>
      <c r="M68" s="21"/>
      <c r="N68" s="2"/>
      <c r="O68" s="2"/>
      <c r="P68" s="2"/>
      <c r="Q68" s="2"/>
      <c r="R68" s="2"/>
      <c r="S68" s="2"/>
      <c r="T68" s="2"/>
      <c r="U68" s="2"/>
      <c r="V68" s="2"/>
      <c r="W68" s="2"/>
      <c r="X68" s="2"/>
    </row>
    <row r="69" customFormat="false" ht="15" hidden="false" customHeight="false" outlineLevel="0" collapsed="false">
      <c r="A69" s="2"/>
      <c r="B69" s="2"/>
      <c r="C69" s="2"/>
      <c r="D69" s="2"/>
      <c r="E69" s="2"/>
      <c r="F69" s="2"/>
      <c r="G69" s="2"/>
      <c r="H69" s="2"/>
      <c r="I69" s="2"/>
      <c r="J69" s="2"/>
      <c r="K69" s="2"/>
      <c r="L69" s="2"/>
      <c r="M69" s="2"/>
      <c r="N69" s="2"/>
      <c r="O69" s="2"/>
      <c r="P69" s="2"/>
      <c r="Q69" s="2"/>
      <c r="R69" s="2"/>
      <c r="S69" s="2"/>
      <c r="T69" s="2"/>
      <c r="U69" s="2"/>
      <c r="V69" s="2"/>
      <c r="W69" s="2"/>
      <c r="X69" s="2"/>
    </row>
    <row r="70" customFormat="false" ht="15" hidden="false" customHeight="false" outlineLevel="0" collapsed="false">
      <c r="A70" s="5" t="s">
        <v>344</v>
      </c>
      <c r="B70" s="6"/>
      <c r="C70" s="6"/>
      <c r="D70" s="6"/>
      <c r="E70" s="6"/>
      <c r="F70" s="6"/>
      <c r="G70" s="6"/>
      <c r="H70" s="6"/>
      <c r="I70" s="6"/>
      <c r="J70" s="6"/>
      <c r="K70" s="6"/>
      <c r="L70" s="6"/>
      <c r="M70" s="6"/>
      <c r="N70" s="6"/>
      <c r="O70" s="6"/>
      <c r="P70" s="2"/>
      <c r="Q70" s="2"/>
      <c r="R70" s="2"/>
      <c r="S70" s="2"/>
      <c r="T70" s="2"/>
      <c r="U70" s="2"/>
      <c r="V70" s="2"/>
      <c r="W70" s="2"/>
      <c r="X70" s="2"/>
    </row>
    <row r="71" customFormat="false" ht="15" hidden="false" customHeight="false" outlineLevel="0" collapsed="false">
      <c r="A71" s="2"/>
      <c r="B71" s="2"/>
      <c r="C71" s="2"/>
      <c r="D71" s="2"/>
      <c r="E71" s="2"/>
      <c r="F71" s="2"/>
      <c r="G71" s="2"/>
      <c r="H71" s="2"/>
      <c r="I71" s="2"/>
      <c r="J71" s="2"/>
      <c r="K71" s="2"/>
      <c r="L71" s="2"/>
      <c r="M71" s="2"/>
      <c r="N71" s="2"/>
      <c r="O71" s="2"/>
      <c r="P71" s="2"/>
      <c r="Q71" s="2"/>
      <c r="R71" s="2"/>
      <c r="S71" s="2"/>
      <c r="T71" s="2"/>
      <c r="U71" s="2"/>
      <c r="V71" s="2"/>
      <c r="W71" s="2"/>
      <c r="X71" s="2"/>
    </row>
    <row r="72" customFormat="false" ht="15" hidden="false" customHeight="false" outlineLevel="0" collapsed="false">
      <c r="A72" s="2"/>
      <c r="B72" s="81" t="str">
        <f aca="false">"Scenario: "&amp;$U$10</f>
        <v>Scenario: Base case</v>
      </c>
      <c r="C72" s="2"/>
      <c r="D72" s="2"/>
      <c r="E72" s="2"/>
      <c r="F72" s="2"/>
      <c r="G72" s="2"/>
      <c r="H72" s="2"/>
      <c r="I72" s="2"/>
      <c r="J72" s="2"/>
      <c r="K72" s="2"/>
      <c r="L72" s="2"/>
      <c r="M72" s="2"/>
      <c r="N72" s="2"/>
      <c r="O72" s="2"/>
      <c r="P72" s="2"/>
      <c r="Q72" s="2"/>
      <c r="R72" s="2"/>
      <c r="S72" s="2"/>
      <c r="T72" s="2"/>
      <c r="U72" s="2"/>
      <c r="V72" s="2"/>
      <c r="W72" s="2"/>
      <c r="X72" s="2"/>
    </row>
    <row r="73" customFormat="false" ht="15" hidden="false" customHeight="false" outlineLevel="0" collapsed="false">
      <c r="A73" s="2"/>
      <c r="B73" s="63" t="s">
        <v>345</v>
      </c>
      <c r="C73" s="82" t="n">
        <f aca="false">INT(MAX(0,N($U$12))/7)</f>
        <v>0</v>
      </c>
      <c r="D73" s="83" t="n">
        <f aca="false">MAX(0,N($U$12))/7-C73</f>
        <v>0</v>
      </c>
      <c r="E73" s="82" t="n">
        <f aca="false">INT(MAX(0,N($U$16))/7)</f>
        <v>0</v>
      </c>
      <c r="F73" s="83" t="n">
        <f aca="false">MAX(0,N($U$16))/7-E73</f>
        <v>0</v>
      </c>
      <c r="G73" s="2"/>
      <c r="H73" s="2"/>
      <c r="I73" s="2"/>
      <c r="J73" s="2"/>
      <c r="K73" s="2"/>
      <c r="L73" s="2"/>
      <c r="M73" s="2"/>
      <c r="N73" s="2"/>
      <c r="O73" s="2"/>
      <c r="P73" s="2"/>
      <c r="Q73" s="2"/>
      <c r="R73" s="2"/>
      <c r="S73" s="2"/>
      <c r="T73" s="2"/>
      <c r="U73" s="2"/>
      <c r="V73" s="2"/>
      <c r="W73" s="2"/>
      <c r="X73" s="2"/>
    </row>
    <row r="74" customFormat="false" ht="15" hidden="false" customHeight="false" outlineLevel="0" collapsed="false">
      <c r="A74" s="2"/>
      <c r="B74" s="63" t="s">
        <v>346</v>
      </c>
      <c r="C74" s="75" t="n">
        <f aca="false">((1-$D$73)*IF(1-$C$73&gt;=1,INDEX('Cash Flow'!$C$11:$O$11,1-$C$73),0)+$D$73*IF(1-$C$73-1&gt;=1,INDEX('Cash Flow'!$C$11:$O$11,1-$C$73-1),0))*(1-N($U$13))-'Cash Flow'!C$11</f>
        <v>0</v>
      </c>
      <c r="D74" s="75" t="n">
        <f aca="false">((1-$D$73)*IF(2-$C$73&gt;=1,INDEX('Cash Flow'!$C$11:$O$11,2-$C$73),0)+$D$73*IF(2-$C$73-1&gt;=1,INDEX('Cash Flow'!$C$11:$O$11,2-$C$73-1),0))*(1-N($U$13))-'Cash Flow'!D$11</f>
        <v>0</v>
      </c>
      <c r="E74" s="75" t="n">
        <f aca="false">((1-$D$73)*IF(3-$C$73&gt;=1,INDEX('Cash Flow'!$C$11:$O$11,3-$C$73),0)+$D$73*IF(3-$C$73-1&gt;=1,INDEX('Cash Flow'!$C$11:$O$11,3-$C$73-1),0))*(1-N($U$13))-'Cash Flow'!E$11</f>
        <v>0</v>
      </c>
      <c r="F74" s="75" t="n">
        <f aca="false">((1-$D$73)*IF(4-$C$73&gt;=1,INDEX('Cash Flow'!$C$11:$O$11,4-$C$73),0)+$D$73*IF(4-$C$73-1&gt;=1,INDEX('Cash Flow'!$C$11:$O$11,4-$C$73-1),0))*(1-N($U$13))-'Cash Flow'!F$11</f>
        <v>0</v>
      </c>
      <c r="G74" s="75" t="n">
        <f aca="false">((1-$D$73)*IF(5-$C$73&gt;=1,INDEX('Cash Flow'!$C$11:$O$11,5-$C$73),0)+$D$73*IF(5-$C$73-1&gt;=1,INDEX('Cash Flow'!$C$11:$O$11,5-$C$73-1),0))*(1-N($U$13))-'Cash Flow'!G$11</f>
        <v>0</v>
      </c>
      <c r="H74" s="75" t="n">
        <f aca="false">((1-$D$73)*IF(6-$C$73&gt;=1,INDEX('Cash Flow'!$C$11:$O$11,6-$C$73),0)+$D$73*IF(6-$C$73-1&gt;=1,INDEX('Cash Flow'!$C$11:$O$11,6-$C$73-1),0))*(1-N($U$13))-'Cash Flow'!H$11</f>
        <v>0</v>
      </c>
      <c r="I74" s="75" t="n">
        <f aca="false">((1-$D$73)*IF(7-$C$73&gt;=1,INDEX('Cash Flow'!$C$11:$O$11,7-$C$73),0)+$D$73*IF(7-$C$73-1&gt;=1,INDEX('Cash Flow'!$C$11:$O$11,7-$C$73-1),0))*(1-N($U$13))-'Cash Flow'!I$11</f>
        <v>0</v>
      </c>
      <c r="J74" s="75" t="n">
        <f aca="false">((1-$D$73)*IF(8-$C$73&gt;=1,INDEX('Cash Flow'!$C$11:$O$11,8-$C$73),0)+$D$73*IF(8-$C$73-1&gt;=1,INDEX('Cash Flow'!$C$11:$O$11,8-$C$73-1),0))*(1-N($U$13))-'Cash Flow'!J$11</f>
        <v>0</v>
      </c>
      <c r="K74" s="75" t="n">
        <f aca="false">((1-$D$73)*IF(9-$C$73&gt;=1,INDEX('Cash Flow'!$C$11:$O$11,9-$C$73),0)+$D$73*IF(9-$C$73-1&gt;=1,INDEX('Cash Flow'!$C$11:$O$11,9-$C$73-1),0))*(1-N($U$13))-'Cash Flow'!K$11</f>
        <v>0</v>
      </c>
      <c r="L74" s="75" t="n">
        <f aca="false">((1-$D$73)*IF(10-$C$73&gt;=1,INDEX('Cash Flow'!$C$11:$O$11,10-$C$73),0)+$D$73*IF(10-$C$73-1&gt;=1,INDEX('Cash Flow'!$C$11:$O$11,10-$C$73-1),0))*(1-N($U$13))-'Cash Flow'!L$11</f>
        <v>0</v>
      </c>
      <c r="M74" s="75" t="n">
        <f aca="false">((1-$D$73)*IF(11-$C$73&gt;=1,INDEX('Cash Flow'!$C$11:$O$11,11-$C$73),0)+$D$73*IF(11-$C$73-1&gt;=1,INDEX('Cash Flow'!$C$11:$O$11,11-$C$73-1),0))*(1-N($U$13))-'Cash Flow'!M$11</f>
        <v>0</v>
      </c>
      <c r="N74" s="75" t="n">
        <f aca="false">((1-$D$73)*IF(12-$C$73&gt;=1,INDEX('Cash Flow'!$C$11:$O$11,12-$C$73),0)+$D$73*IF(12-$C$73-1&gt;=1,INDEX('Cash Flow'!$C$11:$O$11,12-$C$73-1),0))*(1-N($U$13))-'Cash Flow'!N$11</f>
        <v>0</v>
      </c>
      <c r="O74" s="75" t="n">
        <f aca="false">((1-$D$73)*IF(13-$C$73&gt;=1,INDEX('Cash Flow'!$C$11:$O$11,13-$C$73),0)+$D$73*IF(13-$C$73-1&gt;=1,INDEX('Cash Flow'!$C$11:$O$11,13-$C$73-1),0))*(1-N($U$13))-'Cash Flow'!O$11</f>
        <v>0</v>
      </c>
      <c r="P74" s="75" t="n">
        <f aca="false">SUM(C74:O74)</f>
        <v>0</v>
      </c>
      <c r="Q74" s="2"/>
      <c r="R74" s="2"/>
      <c r="S74" s="2"/>
      <c r="T74" s="2"/>
      <c r="U74" s="2"/>
      <c r="V74" s="2"/>
      <c r="W74" s="2"/>
      <c r="X74" s="2"/>
    </row>
    <row r="75" customFormat="false" ht="15" hidden="false" customHeight="false" outlineLevel="0" collapsed="false">
      <c r="A75" s="2"/>
      <c r="B75" s="63" t="s">
        <v>347</v>
      </c>
      <c r="C75" s="75" t="n">
        <f aca="false">(1+N($U$11))*(((1-$D$73)*IF(1-$C$73&gt;=1,INDEX('Cash Flow'!$C$12:$O$12,1-$C$73),0)+$D$73*IF(1-$C$73-1&gt;=1,INDEX('Cash Flow'!$C$12:$O$12,1-$C$73-1),0))-((1-$D$73)*IF(1-$C$73&gt;=1,INDEX(Sales!$J$48:$V$48,1-$C$73),0)+$D$73*IF(1-$C$73-1&gt;=1,INDEX(Sales!$J$48:$V$48,1-$C$73-1),0)))-('Cash Flow'!C$12-INDEX(Sales!$J$48:$V$48,1))</f>
        <v>0</v>
      </c>
      <c r="D75" s="75" t="n">
        <f aca="false">(1+N($U$11))*(((1-$D$73)*IF(2-$C$73&gt;=1,INDEX('Cash Flow'!$C$12:$O$12,2-$C$73),0)+$D$73*IF(2-$C$73-1&gt;=1,INDEX('Cash Flow'!$C$12:$O$12,2-$C$73-1),0))-((1-$D$73)*IF(2-$C$73&gt;=1,INDEX(Sales!$J$48:$V$48,2-$C$73),0)+$D$73*IF(2-$C$73-1&gt;=1,INDEX(Sales!$J$48:$V$48,2-$C$73-1),0)))-('Cash Flow'!D$12-INDEX(Sales!$J$48:$V$48,2))</f>
        <v>0</v>
      </c>
      <c r="E75" s="75" t="n">
        <f aca="false">(1+N($U$11))*(((1-$D$73)*IF(3-$C$73&gt;=1,INDEX('Cash Flow'!$C$12:$O$12,3-$C$73),0)+$D$73*IF(3-$C$73-1&gt;=1,INDEX('Cash Flow'!$C$12:$O$12,3-$C$73-1),0))-((1-$D$73)*IF(3-$C$73&gt;=1,INDEX(Sales!$J$48:$V$48,3-$C$73),0)+$D$73*IF(3-$C$73-1&gt;=1,INDEX(Sales!$J$48:$V$48,3-$C$73-1),0)))-('Cash Flow'!E$12-INDEX(Sales!$J$48:$V$48,3))</f>
        <v>0</v>
      </c>
      <c r="F75" s="75" t="n">
        <f aca="false">(1+N($U$11))*(((1-$D$73)*IF(4-$C$73&gt;=1,INDEX('Cash Flow'!$C$12:$O$12,4-$C$73),0)+$D$73*IF(4-$C$73-1&gt;=1,INDEX('Cash Flow'!$C$12:$O$12,4-$C$73-1),0))-((1-$D$73)*IF(4-$C$73&gt;=1,INDEX(Sales!$J$48:$V$48,4-$C$73),0)+$D$73*IF(4-$C$73-1&gt;=1,INDEX(Sales!$J$48:$V$48,4-$C$73-1),0)))-('Cash Flow'!F$12-INDEX(Sales!$J$48:$V$48,4))</f>
        <v>0</v>
      </c>
      <c r="G75" s="75" t="n">
        <f aca="false">(1+N($U$11))*(((1-$D$73)*IF(5-$C$73&gt;=1,INDEX('Cash Flow'!$C$12:$O$12,5-$C$73),0)+$D$73*IF(5-$C$73-1&gt;=1,INDEX('Cash Flow'!$C$12:$O$12,5-$C$73-1),0))-((1-$D$73)*IF(5-$C$73&gt;=1,INDEX(Sales!$J$48:$V$48,5-$C$73),0)+$D$73*IF(5-$C$73-1&gt;=1,INDEX(Sales!$J$48:$V$48,5-$C$73-1),0)))-('Cash Flow'!G$12-INDEX(Sales!$J$48:$V$48,5))</f>
        <v>0</v>
      </c>
      <c r="H75" s="75" t="n">
        <f aca="false">(1+N($U$11))*(((1-$D$73)*IF(6-$C$73&gt;=1,INDEX('Cash Flow'!$C$12:$O$12,6-$C$73),0)+$D$73*IF(6-$C$73-1&gt;=1,INDEX('Cash Flow'!$C$12:$O$12,6-$C$73-1),0))-((1-$D$73)*IF(6-$C$73&gt;=1,INDEX(Sales!$J$48:$V$48,6-$C$73),0)+$D$73*IF(6-$C$73-1&gt;=1,INDEX(Sales!$J$48:$V$48,6-$C$73-1),0)))-('Cash Flow'!H$12-INDEX(Sales!$J$48:$V$48,6))</f>
        <v>0</v>
      </c>
      <c r="I75" s="75" t="n">
        <f aca="false">(1+N($U$11))*(((1-$D$73)*IF(7-$C$73&gt;=1,INDEX('Cash Flow'!$C$12:$O$12,7-$C$73),0)+$D$73*IF(7-$C$73-1&gt;=1,INDEX('Cash Flow'!$C$12:$O$12,7-$C$73-1),0))-((1-$D$73)*IF(7-$C$73&gt;=1,INDEX(Sales!$J$48:$V$48,7-$C$73),0)+$D$73*IF(7-$C$73-1&gt;=1,INDEX(Sales!$J$48:$V$48,7-$C$73-1),0)))-('Cash Flow'!I$12-INDEX(Sales!$J$48:$V$48,7))</f>
        <v>0</v>
      </c>
      <c r="J75" s="75" t="n">
        <f aca="false">(1+N($U$11))*(((1-$D$73)*IF(8-$C$73&gt;=1,INDEX('Cash Flow'!$C$12:$O$12,8-$C$73),0)+$D$73*IF(8-$C$73-1&gt;=1,INDEX('Cash Flow'!$C$12:$O$12,8-$C$73-1),0))-((1-$D$73)*IF(8-$C$73&gt;=1,INDEX(Sales!$J$48:$V$48,8-$C$73),0)+$D$73*IF(8-$C$73-1&gt;=1,INDEX(Sales!$J$48:$V$48,8-$C$73-1),0)))-('Cash Flow'!J$12-INDEX(Sales!$J$48:$V$48,8))</f>
        <v>0</v>
      </c>
      <c r="K75" s="75" t="n">
        <f aca="false">(1+N($U$11))*(((1-$D$73)*IF(9-$C$73&gt;=1,INDEX('Cash Flow'!$C$12:$O$12,9-$C$73),0)+$D$73*IF(9-$C$73-1&gt;=1,INDEX('Cash Flow'!$C$12:$O$12,9-$C$73-1),0))-((1-$D$73)*IF(9-$C$73&gt;=1,INDEX(Sales!$J$48:$V$48,9-$C$73),0)+$D$73*IF(9-$C$73-1&gt;=1,INDEX(Sales!$J$48:$V$48,9-$C$73-1),0)))-('Cash Flow'!K$12-INDEX(Sales!$J$48:$V$48,9))</f>
        <v>0</v>
      </c>
      <c r="L75" s="75" t="n">
        <f aca="false">(1+N($U$11))*(((1-$D$73)*IF(10-$C$73&gt;=1,INDEX('Cash Flow'!$C$12:$O$12,10-$C$73),0)+$D$73*IF(10-$C$73-1&gt;=1,INDEX('Cash Flow'!$C$12:$O$12,10-$C$73-1),0))-((1-$D$73)*IF(10-$C$73&gt;=1,INDEX(Sales!$J$48:$V$48,10-$C$73),0)+$D$73*IF(10-$C$73-1&gt;=1,INDEX(Sales!$J$48:$V$48,10-$C$73-1),0)))-('Cash Flow'!L$12-INDEX(Sales!$J$48:$V$48,10))</f>
        <v>0</v>
      </c>
      <c r="M75" s="75" t="n">
        <f aca="false">(1+N($U$11))*(((1-$D$73)*IF(11-$C$73&gt;=1,INDEX('Cash Flow'!$C$12:$O$12,11-$C$73),0)+$D$73*IF(11-$C$73-1&gt;=1,INDEX('Cash Flow'!$C$12:$O$12,11-$C$73-1),0))-((1-$D$73)*IF(11-$C$73&gt;=1,INDEX(Sales!$J$48:$V$48,11-$C$73),0)+$D$73*IF(11-$C$73-1&gt;=1,INDEX(Sales!$J$48:$V$48,11-$C$73-1),0)))-('Cash Flow'!M$12-INDEX(Sales!$J$48:$V$48,11))</f>
        <v>0</v>
      </c>
      <c r="N75" s="75" t="n">
        <f aca="false">(1+N($U$11))*(((1-$D$73)*IF(12-$C$73&gt;=1,INDEX('Cash Flow'!$C$12:$O$12,12-$C$73),0)+$D$73*IF(12-$C$73-1&gt;=1,INDEX('Cash Flow'!$C$12:$O$12,12-$C$73-1),0))-((1-$D$73)*IF(12-$C$73&gt;=1,INDEX(Sales!$J$48:$V$48,12-$C$73),0)+$D$73*IF(12-$C$73-1&gt;=1,INDEX(Sales!$J$48:$V$48,12-$C$73-1),0)))-('Cash Flow'!N$12-INDEX(Sales!$J$48:$V$48,12))</f>
        <v>0</v>
      </c>
      <c r="O75" s="75" t="n">
        <f aca="false">(1+N($U$11))*(((1-$D$73)*IF(13-$C$73&gt;=1,INDEX('Cash Flow'!$C$12:$O$12,13-$C$73),0)+$D$73*IF(13-$C$73-1&gt;=1,INDEX('Cash Flow'!$C$12:$O$12,13-$C$73-1),0))-((1-$D$73)*IF(13-$C$73&gt;=1,INDEX(Sales!$J$48:$V$48,13-$C$73),0)+$D$73*IF(13-$C$73-1&gt;=1,INDEX(Sales!$J$48:$V$48,13-$C$73-1),0)))-('Cash Flow'!O$12-INDEX(Sales!$J$48:$V$48,13))</f>
        <v>0</v>
      </c>
      <c r="P75" s="75" t="n">
        <f aca="false">SUM(C75:O75)</f>
        <v>0</v>
      </c>
      <c r="Q75" s="2"/>
      <c r="R75" s="2"/>
      <c r="S75" s="2"/>
      <c r="T75" s="2"/>
      <c r="U75" s="2"/>
      <c r="V75" s="2"/>
      <c r="W75" s="2"/>
      <c r="X75" s="2"/>
    </row>
    <row r="76" customFormat="false" ht="15" hidden="false" customHeight="false" outlineLevel="0" collapsed="false">
      <c r="A76" s="2"/>
      <c r="B76" s="63" t="s">
        <v>348</v>
      </c>
      <c r="C76" s="75" t="n">
        <f aca="false">N($U$11)*INDEX(Sales!$J$48:$V$48,1)</f>
        <v>0</v>
      </c>
      <c r="D76" s="75" t="n">
        <f aca="false">N($U$11)*INDEX(Sales!$J$48:$V$48,2)</f>
        <v>0</v>
      </c>
      <c r="E76" s="75" t="n">
        <f aca="false">N($U$11)*INDEX(Sales!$J$48:$V$48,3)</f>
        <v>0</v>
      </c>
      <c r="F76" s="75" t="n">
        <f aca="false">N($U$11)*INDEX(Sales!$J$48:$V$48,4)</f>
        <v>0</v>
      </c>
      <c r="G76" s="75" t="n">
        <f aca="false">N($U$11)*INDEX(Sales!$J$48:$V$48,5)</f>
        <v>0</v>
      </c>
      <c r="H76" s="75" t="n">
        <f aca="false">N($U$11)*INDEX(Sales!$J$48:$V$48,6)</f>
        <v>0</v>
      </c>
      <c r="I76" s="75" t="n">
        <f aca="false">N($U$11)*INDEX(Sales!$J$48:$V$48,7)</f>
        <v>0</v>
      </c>
      <c r="J76" s="75" t="n">
        <f aca="false">N($U$11)*INDEX(Sales!$J$48:$V$48,8)</f>
        <v>0</v>
      </c>
      <c r="K76" s="75" t="n">
        <f aca="false">N($U$11)*INDEX(Sales!$J$48:$V$48,9)</f>
        <v>0</v>
      </c>
      <c r="L76" s="75" t="n">
        <f aca="false">N($U$11)*INDEX(Sales!$J$48:$V$48,10)</f>
        <v>0</v>
      </c>
      <c r="M76" s="75" t="n">
        <f aca="false">N($U$11)*INDEX(Sales!$J$48:$V$48,11)</f>
        <v>0</v>
      </c>
      <c r="N76" s="75" t="n">
        <f aca="false">N($U$11)*INDEX(Sales!$J$48:$V$48,12)</f>
        <v>0</v>
      </c>
      <c r="O76" s="75" t="n">
        <f aca="false">N($U$11)*INDEX(Sales!$J$48:$V$48,13)</f>
        <v>0</v>
      </c>
      <c r="P76" s="75" t="n">
        <f aca="false">SUM(C76:O76)</f>
        <v>0</v>
      </c>
      <c r="Q76" s="2"/>
      <c r="R76" s="2"/>
      <c r="S76" s="2"/>
      <c r="T76" s="2"/>
      <c r="U76" s="2"/>
      <c r="V76" s="2"/>
      <c r="W76" s="2"/>
      <c r="X76" s="2"/>
    </row>
    <row r="77" customFormat="false" ht="15" hidden="false" customHeight="false" outlineLevel="0" collapsed="false">
      <c r="A77" s="2"/>
      <c r="B77" s="63" t="s">
        <v>349</v>
      </c>
      <c r="C77" s="75" t="n">
        <f aca="false">((1-$F$73)*IF(1+$E$73&lt;=13,INDEX('Cash Flow'!$C$17:$O$17,1+$E$73),0)+$F$73*IF(1+$E$73+1&lt;=13,INDEX('Cash Flow'!$C$17:$O$17,1+$E$73+1),0))-'Cash Flow'!C$17</f>
        <v>0</v>
      </c>
      <c r="D77" s="75" t="n">
        <f aca="false">((1-$F$73)*IF(2+$E$73&lt;=13,INDEX('Cash Flow'!$C$17:$O$17,2+$E$73),0)+$F$73*IF(2+$E$73+1&lt;=13,INDEX('Cash Flow'!$C$17:$O$17,2+$E$73+1),0))-'Cash Flow'!D$17</f>
        <v>0</v>
      </c>
      <c r="E77" s="75" t="n">
        <f aca="false">((1-$F$73)*IF(3+$E$73&lt;=13,INDEX('Cash Flow'!$C$17:$O$17,3+$E$73),0)+$F$73*IF(3+$E$73+1&lt;=13,INDEX('Cash Flow'!$C$17:$O$17,3+$E$73+1),0))-'Cash Flow'!E$17</f>
        <v>0</v>
      </c>
      <c r="F77" s="75" t="n">
        <f aca="false">((1-$F$73)*IF(4+$E$73&lt;=13,INDEX('Cash Flow'!$C$17:$O$17,4+$E$73),0)+$F$73*IF(4+$E$73+1&lt;=13,INDEX('Cash Flow'!$C$17:$O$17,4+$E$73+1),0))-'Cash Flow'!F$17</f>
        <v>0</v>
      </c>
      <c r="G77" s="75" t="n">
        <f aca="false">((1-$F$73)*IF(5+$E$73&lt;=13,INDEX('Cash Flow'!$C$17:$O$17,5+$E$73),0)+$F$73*IF(5+$E$73+1&lt;=13,INDEX('Cash Flow'!$C$17:$O$17,5+$E$73+1),0))-'Cash Flow'!G$17</f>
        <v>0</v>
      </c>
      <c r="H77" s="75" t="n">
        <f aca="false">((1-$F$73)*IF(6+$E$73&lt;=13,INDEX('Cash Flow'!$C$17:$O$17,6+$E$73),0)+$F$73*IF(6+$E$73+1&lt;=13,INDEX('Cash Flow'!$C$17:$O$17,6+$E$73+1),0))-'Cash Flow'!H$17</f>
        <v>0</v>
      </c>
      <c r="I77" s="75" t="n">
        <f aca="false">((1-$F$73)*IF(7+$E$73&lt;=13,INDEX('Cash Flow'!$C$17:$O$17,7+$E$73),0)+$F$73*IF(7+$E$73+1&lt;=13,INDEX('Cash Flow'!$C$17:$O$17,7+$E$73+1),0))-'Cash Flow'!I$17</f>
        <v>0</v>
      </c>
      <c r="J77" s="75" t="n">
        <f aca="false">((1-$F$73)*IF(8+$E$73&lt;=13,INDEX('Cash Flow'!$C$17:$O$17,8+$E$73),0)+$F$73*IF(8+$E$73+1&lt;=13,INDEX('Cash Flow'!$C$17:$O$17,8+$E$73+1),0))-'Cash Flow'!J$17</f>
        <v>0</v>
      </c>
      <c r="K77" s="75" t="n">
        <f aca="false">((1-$F$73)*IF(9+$E$73&lt;=13,INDEX('Cash Flow'!$C$17:$O$17,9+$E$73),0)+$F$73*IF(9+$E$73+1&lt;=13,INDEX('Cash Flow'!$C$17:$O$17,9+$E$73+1),0))-'Cash Flow'!K$17</f>
        <v>0</v>
      </c>
      <c r="L77" s="75" t="n">
        <f aca="false">((1-$F$73)*IF(10+$E$73&lt;=13,INDEX('Cash Flow'!$C$17:$O$17,10+$E$73),0)+$F$73*IF(10+$E$73+1&lt;=13,INDEX('Cash Flow'!$C$17:$O$17,10+$E$73+1),0))-'Cash Flow'!L$17</f>
        <v>0</v>
      </c>
      <c r="M77" s="75" t="n">
        <f aca="false">((1-$F$73)*IF(11+$E$73&lt;=13,INDEX('Cash Flow'!$C$17:$O$17,11+$E$73),0)+$F$73*IF(11+$E$73+1&lt;=13,INDEX('Cash Flow'!$C$17:$O$17,11+$E$73+1),0))-'Cash Flow'!M$17</f>
        <v>0</v>
      </c>
      <c r="N77" s="75" t="n">
        <f aca="false">((1-$F$73)*IF(12+$E$73&lt;=13,INDEX('Cash Flow'!$C$17:$O$17,12+$E$73),0)+$F$73*IF(12+$E$73+1&lt;=13,INDEX('Cash Flow'!$C$17:$O$17,12+$E$73+1),0))-'Cash Flow'!N$17</f>
        <v>0</v>
      </c>
      <c r="O77" s="75" t="n">
        <f aca="false">((1-$F$73)*IF(13+$E$73&lt;=13,INDEX('Cash Flow'!$C$17:$O$17,13+$E$73),0)+$F$73*IF(13+$E$73+1&lt;=13,INDEX('Cash Flow'!$C$17:$O$17,13+$E$73+1),0))-'Cash Flow'!O$17</f>
        <v>0</v>
      </c>
      <c r="P77" s="75" t="n">
        <f aca="false">SUM(C77:O77)</f>
        <v>0</v>
      </c>
      <c r="Q77" s="2"/>
      <c r="R77" s="2"/>
      <c r="S77" s="2"/>
      <c r="T77" s="2"/>
      <c r="U77" s="2"/>
      <c r="V77" s="2"/>
      <c r="W77" s="2"/>
      <c r="X77" s="2"/>
    </row>
    <row r="78" customFormat="false" ht="15" hidden="false" customHeight="false" outlineLevel="0" collapsed="false">
      <c r="A78" s="2"/>
      <c r="B78" s="63" t="s">
        <v>350</v>
      </c>
      <c r="C78" s="75" t="n">
        <f aca="false">(1+N($U$14))*(((1-$F$73)*IF(1+$E$73&lt;=13,INDEX('Cash Flow'!$C$18:$O$18,1+$E$73),0)+$F$73*IF(1+$E$73+1&lt;=13,INDEX('Cash Flow'!$C$18:$O$18,1+$E$73+1),0))+N($U$11)*((1-$F$73)*IF(1+$E$73&lt;=13,INDEX('Direct Costs'!$J$62:$V$62,1+$E$73),0)+$F$73*IF(1+$E$73+1&lt;=13,INDEX('Direct Costs'!$J$62:$V$62,1+$E$73+1),0)))-'Cash Flow'!C$18</f>
        <v>0</v>
      </c>
      <c r="D78" s="75" t="n">
        <f aca="false">(1+N($U$14))*(((1-$F$73)*IF(2+$E$73&lt;=13,INDEX('Cash Flow'!$C$18:$O$18,2+$E$73),0)+$F$73*IF(2+$E$73+1&lt;=13,INDEX('Cash Flow'!$C$18:$O$18,2+$E$73+1),0))+N($U$11)*((1-$F$73)*IF(2+$E$73&lt;=13,INDEX('Direct Costs'!$J$62:$V$62,2+$E$73),0)+$F$73*IF(2+$E$73+1&lt;=13,INDEX('Direct Costs'!$J$62:$V$62,2+$E$73+1),0)))-'Cash Flow'!D$18</f>
        <v>0</v>
      </c>
      <c r="E78" s="75" t="n">
        <f aca="false">(1+N($U$14))*(((1-$F$73)*IF(3+$E$73&lt;=13,INDEX('Cash Flow'!$C$18:$O$18,3+$E$73),0)+$F$73*IF(3+$E$73+1&lt;=13,INDEX('Cash Flow'!$C$18:$O$18,3+$E$73+1),0))+N($U$11)*((1-$F$73)*IF(3+$E$73&lt;=13,INDEX('Direct Costs'!$J$62:$V$62,3+$E$73),0)+$F$73*IF(3+$E$73+1&lt;=13,INDEX('Direct Costs'!$J$62:$V$62,3+$E$73+1),0)))-'Cash Flow'!E$18</f>
        <v>0</v>
      </c>
      <c r="F78" s="75" t="n">
        <f aca="false">(1+N($U$14))*(((1-$F$73)*IF(4+$E$73&lt;=13,INDEX('Cash Flow'!$C$18:$O$18,4+$E$73),0)+$F$73*IF(4+$E$73+1&lt;=13,INDEX('Cash Flow'!$C$18:$O$18,4+$E$73+1),0))+N($U$11)*((1-$F$73)*IF(4+$E$73&lt;=13,INDEX('Direct Costs'!$J$62:$V$62,4+$E$73),0)+$F$73*IF(4+$E$73+1&lt;=13,INDEX('Direct Costs'!$J$62:$V$62,4+$E$73+1),0)))-'Cash Flow'!F$18</f>
        <v>0</v>
      </c>
      <c r="G78" s="75" t="n">
        <f aca="false">(1+N($U$14))*(((1-$F$73)*IF(5+$E$73&lt;=13,INDEX('Cash Flow'!$C$18:$O$18,5+$E$73),0)+$F$73*IF(5+$E$73+1&lt;=13,INDEX('Cash Flow'!$C$18:$O$18,5+$E$73+1),0))+N($U$11)*((1-$F$73)*IF(5+$E$73&lt;=13,INDEX('Direct Costs'!$J$62:$V$62,5+$E$73),0)+$F$73*IF(5+$E$73+1&lt;=13,INDEX('Direct Costs'!$J$62:$V$62,5+$E$73+1),0)))-'Cash Flow'!G$18</f>
        <v>0</v>
      </c>
      <c r="H78" s="75" t="n">
        <f aca="false">(1+N($U$14))*(((1-$F$73)*IF(6+$E$73&lt;=13,INDEX('Cash Flow'!$C$18:$O$18,6+$E$73),0)+$F$73*IF(6+$E$73+1&lt;=13,INDEX('Cash Flow'!$C$18:$O$18,6+$E$73+1),0))+N($U$11)*((1-$F$73)*IF(6+$E$73&lt;=13,INDEX('Direct Costs'!$J$62:$V$62,6+$E$73),0)+$F$73*IF(6+$E$73+1&lt;=13,INDEX('Direct Costs'!$J$62:$V$62,6+$E$73+1),0)))-'Cash Flow'!H$18</f>
        <v>0</v>
      </c>
      <c r="I78" s="75" t="n">
        <f aca="false">(1+N($U$14))*(((1-$F$73)*IF(7+$E$73&lt;=13,INDEX('Cash Flow'!$C$18:$O$18,7+$E$73),0)+$F$73*IF(7+$E$73+1&lt;=13,INDEX('Cash Flow'!$C$18:$O$18,7+$E$73+1),0))+N($U$11)*((1-$F$73)*IF(7+$E$73&lt;=13,INDEX('Direct Costs'!$J$62:$V$62,7+$E$73),0)+$F$73*IF(7+$E$73+1&lt;=13,INDEX('Direct Costs'!$J$62:$V$62,7+$E$73+1),0)))-'Cash Flow'!I$18</f>
        <v>0</v>
      </c>
      <c r="J78" s="75" t="n">
        <f aca="false">(1+N($U$14))*(((1-$F$73)*IF(8+$E$73&lt;=13,INDEX('Cash Flow'!$C$18:$O$18,8+$E$73),0)+$F$73*IF(8+$E$73+1&lt;=13,INDEX('Cash Flow'!$C$18:$O$18,8+$E$73+1),0))+N($U$11)*((1-$F$73)*IF(8+$E$73&lt;=13,INDEX('Direct Costs'!$J$62:$V$62,8+$E$73),0)+$F$73*IF(8+$E$73+1&lt;=13,INDEX('Direct Costs'!$J$62:$V$62,8+$E$73+1),0)))-'Cash Flow'!J$18</f>
        <v>0</v>
      </c>
      <c r="K78" s="75" t="n">
        <f aca="false">(1+N($U$14))*(((1-$F$73)*IF(9+$E$73&lt;=13,INDEX('Cash Flow'!$C$18:$O$18,9+$E$73),0)+$F$73*IF(9+$E$73+1&lt;=13,INDEX('Cash Flow'!$C$18:$O$18,9+$E$73+1),0))+N($U$11)*((1-$F$73)*IF(9+$E$73&lt;=13,INDEX('Direct Costs'!$J$62:$V$62,9+$E$73),0)+$F$73*IF(9+$E$73+1&lt;=13,INDEX('Direct Costs'!$J$62:$V$62,9+$E$73+1),0)))-'Cash Flow'!K$18</f>
        <v>0</v>
      </c>
      <c r="L78" s="75" t="n">
        <f aca="false">(1+N($U$14))*(((1-$F$73)*IF(10+$E$73&lt;=13,INDEX('Cash Flow'!$C$18:$O$18,10+$E$73),0)+$F$73*IF(10+$E$73+1&lt;=13,INDEX('Cash Flow'!$C$18:$O$18,10+$E$73+1),0))+N($U$11)*((1-$F$73)*IF(10+$E$73&lt;=13,INDEX('Direct Costs'!$J$62:$V$62,10+$E$73),0)+$F$73*IF(10+$E$73+1&lt;=13,INDEX('Direct Costs'!$J$62:$V$62,10+$E$73+1),0)))-'Cash Flow'!L$18</f>
        <v>0</v>
      </c>
      <c r="M78" s="75" t="n">
        <f aca="false">(1+N($U$14))*(((1-$F$73)*IF(11+$E$73&lt;=13,INDEX('Cash Flow'!$C$18:$O$18,11+$E$73),0)+$F$73*IF(11+$E$73+1&lt;=13,INDEX('Cash Flow'!$C$18:$O$18,11+$E$73+1),0))+N($U$11)*((1-$F$73)*IF(11+$E$73&lt;=13,INDEX('Direct Costs'!$J$62:$V$62,11+$E$73),0)+$F$73*IF(11+$E$73+1&lt;=13,INDEX('Direct Costs'!$J$62:$V$62,11+$E$73+1),0)))-'Cash Flow'!M$18</f>
        <v>0</v>
      </c>
      <c r="N78" s="75" t="n">
        <f aca="false">(1+N($U$14))*(((1-$F$73)*IF(12+$E$73&lt;=13,INDEX('Cash Flow'!$C$18:$O$18,12+$E$73),0)+$F$73*IF(12+$E$73+1&lt;=13,INDEX('Cash Flow'!$C$18:$O$18,12+$E$73+1),0))+N($U$11)*((1-$F$73)*IF(12+$E$73&lt;=13,INDEX('Direct Costs'!$J$62:$V$62,12+$E$73),0)+$F$73*IF(12+$E$73+1&lt;=13,INDEX('Direct Costs'!$J$62:$V$62,12+$E$73+1),0)))-'Cash Flow'!N$18</f>
        <v>0</v>
      </c>
      <c r="O78" s="75" t="n">
        <f aca="false">(1+N($U$14))*(((1-$F$73)*IF(13+$E$73&lt;=13,INDEX('Cash Flow'!$C$18:$O$18,13+$E$73),0)+$F$73*IF(13+$E$73+1&lt;=13,INDEX('Cash Flow'!$C$18:$O$18,13+$E$73+1),0))+N($U$11)*((1-$F$73)*IF(13+$E$73&lt;=13,INDEX('Direct Costs'!$J$62:$V$62,13+$E$73),0)+$F$73*IF(13+$E$73+1&lt;=13,INDEX('Direct Costs'!$J$62:$V$62,13+$E$73+1),0)))-'Cash Flow'!O$18</f>
        <v>0</v>
      </c>
      <c r="P78" s="75" t="n">
        <f aca="false">SUM(C78:O78)</f>
        <v>0</v>
      </c>
      <c r="Q78" s="2"/>
      <c r="R78" s="2"/>
      <c r="S78" s="2"/>
      <c r="T78" s="2"/>
      <c r="U78" s="2"/>
      <c r="V78" s="2"/>
      <c r="W78" s="2"/>
      <c r="X78" s="2"/>
    </row>
    <row r="79" customFormat="false" ht="15" hidden="false" customHeight="false" outlineLevel="0" collapsed="false">
      <c r="A79" s="2"/>
      <c r="B79" s="63" t="s">
        <v>351</v>
      </c>
      <c r="C79" s="75" t="n">
        <f aca="false">N($U$14)*SUM('Cash Flow'!C$19:C$28)</f>
        <v>0</v>
      </c>
      <c r="D79" s="75" t="n">
        <f aca="false">N($U$14)*SUM('Cash Flow'!D$19:D$28)</f>
        <v>0</v>
      </c>
      <c r="E79" s="75" t="n">
        <f aca="false">N($U$14)*SUM('Cash Flow'!E$19:E$28)</f>
        <v>0</v>
      </c>
      <c r="F79" s="75" t="n">
        <f aca="false">N($U$14)*SUM('Cash Flow'!F$19:F$28)</f>
        <v>0</v>
      </c>
      <c r="G79" s="75" t="n">
        <f aca="false">N($U$14)*SUM('Cash Flow'!G$19:G$28)</f>
        <v>0</v>
      </c>
      <c r="H79" s="75" t="n">
        <f aca="false">N($U$14)*SUM('Cash Flow'!H$19:H$28)</f>
        <v>0</v>
      </c>
      <c r="I79" s="75" t="n">
        <f aca="false">N($U$14)*SUM('Cash Flow'!I$19:I$28)</f>
        <v>0</v>
      </c>
      <c r="J79" s="75" t="n">
        <f aca="false">N($U$14)*SUM('Cash Flow'!J$19:J$28)</f>
        <v>0</v>
      </c>
      <c r="K79" s="75" t="n">
        <f aca="false">N($U$14)*SUM('Cash Flow'!K$19:K$28)</f>
        <v>0</v>
      </c>
      <c r="L79" s="75" t="n">
        <f aca="false">N($U$14)*SUM('Cash Flow'!L$19:L$28)</f>
        <v>0</v>
      </c>
      <c r="M79" s="75" t="n">
        <f aca="false">N($U$14)*SUM('Cash Flow'!M$19:M$28)</f>
        <v>0</v>
      </c>
      <c r="N79" s="75" t="n">
        <f aca="false">N($U$14)*SUM('Cash Flow'!N$19:N$28)</f>
        <v>0</v>
      </c>
      <c r="O79" s="75" t="n">
        <f aca="false">N($U$14)*SUM('Cash Flow'!O$19:O$28)</f>
        <v>0</v>
      </c>
      <c r="P79" s="75" t="n">
        <f aca="false">SUM(C79:O79)</f>
        <v>0</v>
      </c>
      <c r="Q79" s="2"/>
      <c r="R79" s="2"/>
      <c r="S79" s="2"/>
      <c r="T79" s="2"/>
      <c r="U79" s="2"/>
      <c r="V79" s="2"/>
      <c r="W79" s="2"/>
      <c r="X79" s="2"/>
    </row>
    <row r="80" customFormat="false" ht="15" hidden="false" customHeight="false" outlineLevel="0" collapsed="false">
      <c r="A80" s="2"/>
      <c r="B80" s="63" t="s">
        <v>352</v>
      </c>
      <c r="C80" s="75" t="n">
        <f aca="false">N($U$15)*SUM('Cash Flow'!C$29:C$31)</f>
        <v>0</v>
      </c>
      <c r="D80" s="75" t="n">
        <f aca="false">N($U$15)*SUM('Cash Flow'!D$29:D$31)</f>
        <v>0</v>
      </c>
      <c r="E80" s="75" t="n">
        <f aca="false">N($U$15)*SUM('Cash Flow'!E$29:E$31)</f>
        <v>0</v>
      </c>
      <c r="F80" s="75" t="n">
        <f aca="false">N($U$15)*SUM('Cash Flow'!F$29:F$31)</f>
        <v>0</v>
      </c>
      <c r="G80" s="75" t="n">
        <f aca="false">N($U$15)*SUM('Cash Flow'!G$29:G$31)</f>
        <v>0</v>
      </c>
      <c r="H80" s="75" t="n">
        <f aca="false">N($U$15)*SUM('Cash Flow'!H$29:H$31)</f>
        <v>0</v>
      </c>
      <c r="I80" s="75" t="n">
        <f aca="false">N($U$15)*SUM('Cash Flow'!I$29:I$31)</f>
        <v>0</v>
      </c>
      <c r="J80" s="75" t="n">
        <f aca="false">N($U$15)*SUM('Cash Flow'!J$29:J$31)</f>
        <v>0</v>
      </c>
      <c r="K80" s="75" t="n">
        <f aca="false">N($U$15)*SUM('Cash Flow'!K$29:K$31)</f>
        <v>0</v>
      </c>
      <c r="L80" s="75" t="n">
        <f aca="false">N($U$15)*SUM('Cash Flow'!L$29:L$31)</f>
        <v>0</v>
      </c>
      <c r="M80" s="75" t="n">
        <f aca="false">N($U$15)*SUM('Cash Flow'!M$29:M$31)</f>
        <v>0</v>
      </c>
      <c r="N80" s="75" t="n">
        <f aca="false">N($U$15)*SUM('Cash Flow'!N$29:N$31)</f>
        <v>0</v>
      </c>
      <c r="O80" s="75" t="n">
        <f aca="false">N($U$15)*SUM('Cash Flow'!O$29:O$31)</f>
        <v>0</v>
      </c>
      <c r="P80" s="75" t="n">
        <f aca="false">SUM(C80:O80)</f>
        <v>0</v>
      </c>
      <c r="Q80" s="2"/>
      <c r="R80" s="2"/>
      <c r="S80" s="2"/>
      <c r="T80" s="2"/>
      <c r="U80" s="2"/>
      <c r="V80" s="2"/>
      <c r="W80" s="2"/>
      <c r="X80" s="2"/>
    </row>
    <row r="81" customFormat="false" ht="15" hidden="false" customHeight="false" outlineLevel="0" collapsed="false">
      <c r="A81" s="2"/>
      <c r="B81" s="63" t="s">
        <v>353</v>
      </c>
      <c r="C81" s="75" t="n">
        <f aca="false">IF(N($U$18)=1,N($U$17),0)+IF(N($U$20)=1,N($U$19),0)</f>
        <v>0</v>
      </c>
      <c r="D81" s="75" t="n">
        <f aca="false">IF(N($U$18)=2,N($U$17),0)+IF(N($U$20)=2,N($U$19),0)</f>
        <v>0</v>
      </c>
      <c r="E81" s="75" t="n">
        <f aca="false">IF(N($U$18)=3,N($U$17),0)+IF(N($U$20)=3,N($U$19),0)</f>
        <v>0</v>
      </c>
      <c r="F81" s="75" t="n">
        <f aca="false">IF(N($U$18)=4,N($U$17),0)+IF(N($U$20)=4,N($U$19),0)</f>
        <v>0</v>
      </c>
      <c r="G81" s="75" t="n">
        <f aca="false">IF(N($U$18)=5,N($U$17),0)+IF(N($U$20)=5,N($U$19),0)</f>
        <v>0</v>
      </c>
      <c r="H81" s="75" t="n">
        <f aca="false">IF(N($U$18)=6,N($U$17),0)+IF(N($U$20)=6,N($U$19),0)</f>
        <v>0</v>
      </c>
      <c r="I81" s="75" t="n">
        <f aca="false">IF(N($U$18)=7,N($U$17),0)+IF(N($U$20)=7,N($U$19),0)</f>
        <v>0</v>
      </c>
      <c r="J81" s="75" t="n">
        <f aca="false">IF(N($U$18)=8,N($U$17),0)+IF(N($U$20)=8,N($U$19),0)</f>
        <v>0</v>
      </c>
      <c r="K81" s="75" t="n">
        <f aca="false">IF(N($U$18)=9,N($U$17),0)+IF(N($U$20)=9,N($U$19),0)</f>
        <v>0</v>
      </c>
      <c r="L81" s="75" t="n">
        <f aca="false">IF(N($U$18)=10,N($U$17),0)+IF(N($U$20)=10,N($U$19),0)</f>
        <v>0</v>
      </c>
      <c r="M81" s="75" t="n">
        <f aca="false">IF(N($U$18)=11,N($U$17),0)+IF(N($U$20)=11,N($U$19),0)</f>
        <v>0</v>
      </c>
      <c r="N81" s="75" t="n">
        <f aca="false">IF(N($U$18)=12,N($U$17),0)+IF(N($U$20)=12,N($U$19),0)</f>
        <v>0</v>
      </c>
      <c r="O81" s="75" t="n">
        <f aca="false">IF(N($U$18)=13,N($U$17),0)+IF(N($U$20)=13,N($U$19),0)</f>
        <v>0</v>
      </c>
      <c r="P81" s="75" t="n">
        <f aca="false">SUM(C81:O81)</f>
        <v>0</v>
      </c>
      <c r="Q81" s="2"/>
      <c r="R81" s="2"/>
      <c r="S81" s="2"/>
      <c r="T81" s="2"/>
      <c r="U81" s="2"/>
      <c r="V81" s="2"/>
      <c r="W81" s="2"/>
      <c r="X81" s="2"/>
    </row>
    <row r="82" customFormat="false" ht="15" hidden="false" customHeight="false" outlineLevel="0" collapsed="false">
      <c r="A82" s="2"/>
      <c r="B82" s="15" t="s">
        <v>354</v>
      </c>
      <c r="C82" s="84" t="n">
        <f aca="false">C74+C75+C76+C81-(C77+C78+C79+C80)</f>
        <v>0</v>
      </c>
      <c r="D82" s="84" t="n">
        <f aca="false">D74+D75+D76+D81-(D77+D78+D79+D80)</f>
        <v>0</v>
      </c>
      <c r="E82" s="84" t="n">
        <f aca="false">E74+E75+E76+E81-(E77+E78+E79+E80)</f>
        <v>0</v>
      </c>
      <c r="F82" s="84" t="n">
        <f aca="false">F74+F75+F76+F81-(F77+F78+F79+F80)</f>
        <v>0</v>
      </c>
      <c r="G82" s="84" t="n">
        <f aca="false">G74+G75+G76+G81-(G77+G78+G79+G80)</f>
        <v>0</v>
      </c>
      <c r="H82" s="84" t="n">
        <f aca="false">H74+H75+H76+H81-(H77+H78+H79+H80)</f>
        <v>0</v>
      </c>
      <c r="I82" s="84" t="n">
        <f aca="false">I74+I75+I76+I81-(I77+I78+I79+I80)</f>
        <v>0</v>
      </c>
      <c r="J82" s="84" t="n">
        <f aca="false">J74+J75+J76+J81-(J77+J78+J79+J80)</f>
        <v>0</v>
      </c>
      <c r="K82" s="84" t="n">
        <f aca="false">K74+K75+K76+K81-(K77+K78+K79+K80)</f>
        <v>0</v>
      </c>
      <c r="L82" s="84" t="n">
        <f aca="false">L74+L75+L76+L81-(L77+L78+L79+L80)</f>
        <v>0</v>
      </c>
      <c r="M82" s="84" t="n">
        <f aca="false">M74+M75+M76+M81-(M77+M78+M79+M80)</f>
        <v>0</v>
      </c>
      <c r="N82" s="84" t="n">
        <f aca="false">N74+N75+N76+N81-(N77+N78+N79+N80)</f>
        <v>0</v>
      </c>
      <c r="O82" s="84" t="n">
        <f aca="false">O74+O75+O76+O81-(O77+O78+O79+O80)</f>
        <v>0</v>
      </c>
      <c r="P82" s="84" t="n">
        <f aca="false">P74+P75+P76+P81-(P77+P78+P79+P80)</f>
        <v>0</v>
      </c>
      <c r="Q82" s="2"/>
      <c r="R82" s="2"/>
      <c r="S82" s="2"/>
      <c r="T82" s="2"/>
      <c r="U82" s="2"/>
      <c r="V82" s="2"/>
      <c r="W82" s="2"/>
      <c r="X82" s="2"/>
    </row>
    <row r="83" customFormat="false" ht="15" hidden="false" customHeight="false" outlineLevel="0" collapsed="false">
      <c r="A83" s="2"/>
      <c r="B83" s="15" t="s">
        <v>355</v>
      </c>
      <c r="C83" s="46" t="n">
        <f aca="false">Setup!$D$11+SUM('Cash Flow'!$C$43:C$43)+SUM($C82:C82)</f>
        <v>271409.458128079</v>
      </c>
      <c r="D83" s="46" t="n">
        <f aca="false">Setup!$D$11+SUM('Cash Flow'!$C$43:D$43)+SUM($C82:D82)</f>
        <v>293852.676518883</v>
      </c>
      <c r="E83" s="46" t="n">
        <f aca="false">Setup!$D$11+SUM('Cash Flow'!$C$43:E$43)+SUM($C82:E82)</f>
        <v>221315.894909688</v>
      </c>
      <c r="F83" s="46" t="n">
        <f aca="false">Setup!$D$11+SUM('Cash Flow'!$C$43:F$43)+SUM($C82:F82)</f>
        <v>211279.113300493</v>
      </c>
      <c r="G83" s="46" t="n">
        <f aca="false">Setup!$D$11+SUM('Cash Flow'!$C$43:G$43)+SUM($C82:G82)</f>
        <v>216471.724137931</v>
      </c>
      <c r="H83" s="46" t="n">
        <f aca="false">Setup!$D$11+SUM('Cash Flow'!$C$43:H$43)+SUM($C82:H82)</f>
        <v>187796.091954023</v>
      </c>
      <c r="I83" s="46" t="n">
        <f aca="false">Setup!$D$11+SUM('Cash Flow'!$C$43:I$43)+SUM($C82:I82)</f>
        <v>144320.459770115</v>
      </c>
      <c r="J83" s="46" t="n">
        <f aca="false">Setup!$D$11+SUM('Cash Flow'!$C$43:J$43)+SUM($C82:J82)</f>
        <v>192678.16091954</v>
      </c>
      <c r="K83" s="46" t="n">
        <f aca="false">Setup!$D$11+SUM('Cash Flow'!$C$43:K$43)+SUM($C82:K82)</f>
        <v>19060</v>
      </c>
      <c r="L83" s="46" t="n">
        <f aca="false">Setup!$D$11+SUM('Cash Flow'!$C$43:L$43)+SUM($C82:L82)</f>
        <v>73526.6666666666</v>
      </c>
      <c r="M83" s="46" t="n">
        <f aca="false">Setup!$D$11+SUM('Cash Flow'!$C$43:M$43)+SUM($C82:M82)</f>
        <v>109733.333333333</v>
      </c>
      <c r="N83" s="46" t="n">
        <f aca="false">Setup!$D$11+SUM('Cash Flow'!$C$43:N$43)+SUM($C82:N82)</f>
        <v>131320</v>
      </c>
      <c r="O83" s="46" t="n">
        <f aca="false">Setup!$D$11+SUM('Cash Flow'!$C$43:O$43)+SUM($C82:O82)</f>
        <v>226106.666666667</v>
      </c>
      <c r="P83" s="2"/>
      <c r="Q83" s="2"/>
      <c r="R83" s="2"/>
      <c r="S83" s="2"/>
      <c r="T83" s="2"/>
      <c r="U83" s="2"/>
      <c r="V83" s="2"/>
      <c r="W83" s="2"/>
      <c r="X83" s="2"/>
    </row>
    <row r="84" customFormat="false" ht="15" hidden="false" customHeight="false" outlineLevel="0" collapsed="false">
      <c r="A84" s="2"/>
      <c r="B84" s="2"/>
      <c r="C84" s="2"/>
      <c r="D84" s="2"/>
      <c r="E84" s="2"/>
      <c r="F84" s="2"/>
      <c r="G84" s="2"/>
      <c r="H84" s="2"/>
      <c r="I84" s="2"/>
      <c r="J84" s="2"/>
      <c r="K84" s="2"/>
      <c r="L84" s="2"/>
      <c r="M84" s="2"/>
      <c r="N84" s="2"/>
      <c r="O84" s="2"/>
      <c r="P84" s="2"/>
      <c r="Q84" s="2"/>
      <c r="R84" s="2"/>
      <c r="S84" s="2"/>
      <c r="T84" s="2"/>
      <c r="U84" s="2"/>
      <c r="V84" s="2"/>
      <c r="W84" s="2"/>
      <c r="X84" s="2"/>
    </row>
    <row r="85" customFormat="false" ht="15" hidden="false" customHeight="false" outlineLevel="0" collapsed="false">
      <c r="A85" s="2"/>
      <c r="B85" s="2"/>
      <c r="C85" s="2"/>
      <c r="D85" s="2"/>
      <c r="E85" s="2"/>
      <c r="F85" s="2"/>
      <c r="G85" s="2"/>
      <c r="H85" s="2"/>
      <c r="I85" s="2"/>
      <c r="J85" s="2"/>
      <c r="K85" s="2"/>
      <c r="L85" s="2"/>
      <c r="M85" s="2"/>
      <c r="N85" s="2"/>
      <c r="O85" s="2"/>
      <c r="P85" s="2"/>
      <c r="Q85" s="2"/>
      <c r="R85" s="2"/>
      <c r="S85" s="2"/>
      <c r="T85" s="2"/>
      <c r="U85" s="2"/>
      <c r="V85" s="2"/>
      <c r="W85" s="2"/>
      <c r="X85" s="2"/>
    </row>
    <row r="86" customFormat="false" ht="15" hidden="false" customHeight="false" outlineLevel="0" collapsed="false">
      <c r="A86" s="2"/>
      <c r="B86" s="2"/>
      <c r="C86" s="2"/>
      <c r="D86" s="2"/>
      <c r="E86" s="2"/>
      <c r="F86" s="2"/>
      <c r="G86" s="2"/>
      <c r="H86" s="2"/>
      <c r="I86" s="2"/>
      <c r="J86" s="2"/>
      <c r="K86" s="2"/>
      <c r="L86" s="2"/>
      <c r="M86" s="2"/>
      <c r="N86" s="2"/>
      <c r="O86" s="2"/>
      <c r="P86" s="2"/>
      <c r="Q86" s="2"/>
      <c r="R86" s="2"/>
      <c r="S86" s="2"/>
      <c r="T86" s="2"/>
      <c r="U86" s="2"/>
      <c r="V86" s="2"/>
      <c r="W86" s="2"/>
      <c r="X86" s="2"/>
    </row>
    <row r="87" customFormat="false" ht="15" hidden="false" customHeight="false" outlineLevel="0" collapsed="false">
      <c r="A87" s="2"/>
      <c r="B87" s="2"/>
      <c r="C87" s="2"/>
      <c r="D87" s="2"/>
      <c r="E87" s="2"/>
      <c r="F87" s="2"/>
      <c r="G87" s="2"/>
      <c r="H87" s="2"/>
      <c r="I87" s="2"/>
      <c r="J87" s="2"/>
      <c r="K87" s="2"/>
      <c r="L87" s="2"/>
      <c r="M87" s="2"/>
      <c r="N87" s="2"/>
      <c r="O87" s="2"/>
      <c r="P87" s="2"/>
      <c r="Q87" s="2"/>
      <c r="R87" s="2"/>
      <c r="S87" s="2"/>
      <c r="T87" s="2"/>
      <c r="U87" s="2"/>
      <c r="V87" s="2"/>
      <c r="W87" s="2"/>
      <c r="X87" s="2"/>
    </row>
    <row r="88" customFormat="false" ht="15" hidden="false" customHeight="false" outlineLevel="0" collapsed="false">
      <c r="A88" s="2"/>
      <c r="B88" s="2"/>
      <c r="C88" s="2"/>
      <c r="D88" s="2"/>
      <c r="E88" s="2"/>
      <c r="F88" s="2"/>
      <c r="G88" s="2"/>
      <c r="H88" s="2"/>
      <c r="I88" s="2"/>
      <c r="J88" s="2"/>
      <c r="K88" s="2"/>
      <c r="L88" s="2"/>
      <c r="M88" s="2"/>
      <c r="N88" s="2"/>
      <c r="O88" s="2"/>
      <c r="P88" s="2"/>
      <c r="Q88" s="2"/>
      <c r="R88" s="2"/>
      <c r="S88" s="2"/>
      <c r="T88" s="2"/>
      <c r="U88" s="2"/>
      <c r="V88" s="2"/>
      <c r="W88" s="2"/>
      <c r="X88" s="2"/>
    </row>
    <row r="89" customFormat="false" ht="15" hidden="false" customHeight="false" outlineLevel="0" collapsed="false">
      <c r="A89" s="2"/>
      <c r="B89" s="81" t="str">
        <f aca="false">"Scenario: "&amp;$V$10</f>
        <v>Scenario: Customers pay 2 weeks late</v>
      </c>
      <c r="C89" s="2"/>
      <c r="D89" s="2"/>
      <c r="E89" s="2"/>
      <c r="F89" s="2"/>
      <c r="G89" s="2"/>
      <c r="H89" s="2"/>
      <c r="I89" s="2"/>
      <c r="J89" s="2"/>
      <c r="K89" s="2"/>
      <c r="L89" s="2"/>
      <c r="M89" s="2"/>
      <c r="N89" s="2"/>
      <c r="O89" s="2"/>
      <c r="P89" s="2"/>
      <c r="Q89" s="2"/>
      <c r="R89" s="2"/>
      <c r="S89" s="2"/>
      <c r="T89" s="2"/>
      <c r="U89" s="2"/>
      <c r="V89" s="2"/>
      <c r="W89" s="2"/>
      <c r="X89" s="2"/>
    </row>
    <row r="90" customFormat="false" ht="15" hidden="false" customHeight="false" outlineLevel="0" collapsed="false">
      <c r="A90" s="2"/>
      <c r="B90" s="63" t="s">
        <v>345</v>
      </c>
      <c r="C90" s="82" t="n">
        <f aca="false">INT(MAX(0,N($V$12))/7)</f>
        <v>2</v>
      </c>
      <c r="D90" s="83" t="n">
        <f aca="false">MAX(0,N($V$12))/7-C90</f>
        <v>0</v>
      </c>
      <c r="E90" s="82" t="n">
        <f aca="false">INT(MAX(0,N($V$16))/7)</f>
        <v>0</v>
      </c>
      <c r="F90" s="83" t="n">
        <f aca="false">MAX(0,N($V$16))/7-E90</f>
        <v>0</v>
      </c>
      <c r="G90" s="2"/>
      <c r="H90" s="2"/>
      <c r="I90" s="2"/>
      <c r="J90" s="2"/>
      <c r="K90" s="2"/>
      <c r="L90" s="2"/>
      <c r="M90" s="2"/>
      <c r="N90" s="2"/>
      <c r="O90" s="2"/>
      <c r="P90" s="2"/>
      <c r="Q90" s="2"/>
      <c r="R90" s="2"/>
      <c r="S90" s="2"/>
      <c r="T90" s="2"/>
      <c r="U90" s="2"/>
      <c r="V90" s="2"/>
      <c r="W90" s="2"/>
      <c r="X90" s="2"/>
    </row>
    <row r="91" customFormat="false" ht="15" hidden="false" customHeight="false" outlineLevel="0" collapsed="false">
      <c r="A91" s="2"/>
      <c r="B91" s="63" t="s">
        <v>346</v>
      </c>
      <c r="C91" s="75" t="n">
        <f aca="false">((1-$D$90)*IF(1-$C$90&gt;=1,INDEX('Cash Flow'!$C$11:$O$11,1-$C$90),0)+$D$90*IF(1-$C$90-1&gt;=1,INDEX('Cash Flow'!$C$11:$O$11,1-$C$90-1),0))*(1-N($V$13))-'Cash Flow'!C$11</f>
        <v>-40369.4581280788</v>
      </c>
      <c r="D91" s="75" t="n">
        <f aca="false">((1-$D$90)*IF(2-$C$90&gt;=1,INDEX('Cash Flow'!$C$11:$O$11,2-$C$90),0)+$D$90*IF(2-$C$90-1&gt;=1,INDEX('Cash Flow'!$C$11:$O$11,2-$C$90-1),0))*(1-N($V$13))-'Cash Flow'!D$11</f>
        <v>-70646.5517241379</v>
      </c>
      <c r="E91" s="75" t="n">
        <f aca="false">((1-$D$90)*IF(3-$C$90&gt;=1,INDEX('Cash Flow'!$C$11:$O$11,3-$C$90),0)+$D$90*IF(3-$C$90-1&gt;=1,INDEX('Cash Flow'!$C$11:$O$11,3-$C$90-1),0))*(1-N($V$13))-'Cash Flow'!E$11</f>
        <v>-30277.0935960591</v>
      </c>
      <c r="F91" s="75" t="n">
        <f aca="false">((1-$D$90)*IF(4-$C$90&gt;=1,INDEX('Cash Flow'!$C$11:$O$11,4-$C$90),0)+$D$90*IF(4-$C$90-1&gt;=1,INDEX('Cash Flow'!$C$11:$O$11,4-$C$90-1),0))*(1-N($V$13))-'Cash Flow'!F$11</f>
        <v>0</v>
      </c>
      <c r="G91" s="75" t="n">
        <f aca="false">((1-$D$90)*IF(5-$C$90&gt;=1,INDEX('Cash Flow'!$C$11:$O$11,5-$C$90),0)+$D$90*IF(5-$C$90-1&gt;=1,INDEX('Cash Flow'!$C$11:$O$11,5-$C$90-1),0))*(1-N($V$13))-'Cash Flow'!G$11</f>
        <v>8070.60755336619</v>
      </c>
      <c r="H91" s="75" t="n">
        <f aca="false">((1-$D$90)*IF(6-$C$90&gt;=1,INDEX('Cash Flow'!$C$11:$O$11,6-$C$90),0)+$D$90*IF(6-$C$90-1&gt;=1,INDEX('Cash Flow'!$C$11:$O$11,6-$C$90-1),0))*(1-N($V$13))-'Cash Flow'!H$11</f>
        <v>-16451.1494252873</v>
      </c>
      <c r="I91" s="75" t="n">
        <f aca="false">((1-$D$90)*IF(7-$C$90&gt;=1,INDEX('Cash Flow'!$C$11:$O$11,7-$C$90),0)+$D$90*IF(7-$C$90-1&gt;=1,INDEX('Cash Flow'!$C$11:$O$11,7-$C$90-1),0))*(1-N($V$13))-'Cash Flow'!I$11</f>
        <v>-24521.7569786535</v>
      </c>
      <c r="J91" s="75" t="n">
        <f aca="false">((1-$D$90)*IF(8-$C$90&gt;=1,INDEX('Cash Flow'!$C$11:$O$11,8-$C$90),0)+$D$90*IF(8-$C$90-1&gt;=1,INDEX('Cash Flow'!$C$11:$O$11,8-$C$90-1),0))*(1-N($V$13))-'Cash Flow'!J$11</f>
        <v>0</v>
      </c>
      <c r="K91" s="75" t="n">
        <f aca="false">((1-$D$90)*IF(9-$C$90&gt;=1,INDEX('Cash Flow'!$C$11:$O$11,9-$C$90),0)+$D$90*IF(9-$C$90-1&gt;=1,INDEX('Cash Flow'!$C$11:$O$11,9-$C$90-1),0))*(1-N($V$13))-'Cash Flow'!K$11</f>
        <v>3275.86206896552</v>
      </c>
      <c r="L91" s="75" t="n">
        <f aca="false">((1-$D$90)*IF(10-$C$90&gt;=1,INDEX('Cash Flow'!$C$11:$O$11,10-$C$90),0)+$D$90*IF(10-$C$90-1&gt;=1,INDEX('Cash Flow'!$C$11:$O$11,10-$C$90-1),0))*(1-N($V$13))-'Cash Flow'!L$11</f>
        <v>57931.0344827586</v>
      </c>
      <c r="M91" s="75" t="n">
        <f aca="false">((1-$D$90)*IF(11-$C$90&gt;=1,INDEX('Cash Flow'!$C$11:$O$11,11-$C$90),0)+$D$90*IF(11-$C$90-1&gt;=1,INDEX('Cash Flow'!$C$11:$O$11,11-$C$90-1),0))*(1-N($V$13))-'Cash Flow'!M$11</f>
        <v>54655.1724137931</v>
      </c>
      <c r="N91" s="75" t="n">
        <f aca="false">((1-$D$90)*IF(12-$C$90&gt;=1,INDEX('Cash Flow'!$C$11:$O$11,12-$C$90),0)+$D$90*IF(12-$C$90-1&gt;=1,INDEX('Cash Flow'!$C$11:$O$11,12-$C$90-1),0))*(1-N($V$13))-'Cash Flow'!N$11</f>
        <v>0</v>
      </c>
      <c r="O91" s="75" t="n">
        <f aca="false">((1-$D$90)*IF(13-$C$90&gt;=1,INDEX('Cash Flow'!$C$11:$O$11,13-$C$90),0)+$D$90*IF(13-$C$90-1&gt;=1,INDEX('Cash Flow'!$C$11:$O$11,13-$C$90-1),0))*(1-N($V$13))-'Cash Flow'!O$11</f>
        <v>0</v>
      </c>
      <c r="P91" s="75" t="n">
        <f aca="false">SUM(C91:O91)</f>
        <v>-58333.3333333333</v>
      </c>
      <c r="Q91" s="2"/>
      <c r="R91" s="2"/>
      <c r="S91" s="2"/>
      <c r="T91" s="2"/>
      <c r="U91" s="2"/>
      <c r="V91" s="2"/>
      <c r="W91" s="2"/>
      <c r="X91" s="2"/>
    </row>
    <row r="92" customFormat="false" ht="15" hidden="false" customHeight="false" outlineLevel="0" collapsed="false">
      <c r="A92" s="2"/>
      <c r="B92" s="63" t="s">
        <v>347</v>
      </c>
      <c r="C92" s="75" t="n">
        <f aca="false">(1+N($V$11))*(((1-$D$90)*IF(1-$C$90&gt;=1,INDEX('Cash Flow'!$C$12:$O$12,1-$C$90),0)+$D$90*IF(1-$C$90-1&gt;=1,INDEX('Cash Flow'!$C$12:$O$12,1-$C$90-1),0))-((1-$D$90)*IF(1-$C$90&gt;=1,INDEX(Sales!$J$48:$V$48,1-$C$90),0)+$D$90*IF(1-$C$90-1&gt;=1,INDEX(Sales!$J$48:$V$48,1-$C$90-1),0)))-('Cash Flow'!C$12-INDEX(Sales!$J$48:$V$48,1))</f>
        <v>0</v>
      </c>
      <c r="D92" s="75" t="n">
        <f aca="false">(1+N($V$11))*(((1-$D$90)*IF(2-$C$90&gt;=1,INDEX('Cash Flow'!$C$12:$O$12,2-$C$90),0)+$D$90*IF(2-$C$90-1&gt;=1,INDEX('Cash Flow'!$C$12:$O$12,2-$C$90-1),0))-((1-$D$90)*IF(2-$C$90&gt;=1,INDEX(Sales!$J$48:$V$48,2-$C$90),0)+$D$90*IF(2-$C$90-1&gt;=1,INDEX(Sales!$J$48:$V$48,2-$C$90-1),0)))-('Cash Flow'!D$12-INDEX(Sales!$J$48:$V$48,2))</f>
        <v>0</v>
      </c>
      <c r="E92" s="75" t="n">
        <f aca="false">(1+N($V$11))*(((1-$D$90)*IF(3-$C$90&gt;=1,INDEX('Cash Flow'!$C$12:$O$12,3-$C$90),0)+$D$90*IF(3-$C$90-1&gt;=1,INDEX('Cash Flow'!$C$12:$O$12,3-$C$90-1),0))-((1-$D$90)*IF(3-$C$90&gt;=1,INDEX(Sales!$J$48:$V$48,3-$C$90),0)+$D$90*IF(3-$C$90-1&gt;=1,INDEX(Sales!$J$48:$V$48,3-$C$90-1),0)))-('Cash Flow'!E$12-INDEX(Sales!$J$48:$V$48,3))</f>
        <v>0</v>
      </c>
      <c r="F92" s="75" t="n">
        <f aca="false">(1+N($V$11))*(((1-$D$90)*IF(4-$C$90&gt;=1,INDEX('Cash Flow'!$C$12:$O$12,4-$C$90),0)+$D$90*IF(4-$C$90-1&gt;=1,INDEX('Cash Flow'!$C$12:$O$12,4-$C$90-1),0))-((1-$D$90)*IF(4-$C$90&gt;=1,INDEX(Sales!$J$48:$V$48,4-$C$90),0)+$D$90*IF(4-$C$90-1&gt;=1,INDEX(Sales!$J$48:$V$48,4-$C$90-1),0)))-('Cash Flow'!F$12-INDEX(Sales!$J$48:$V$48,4))</f>
        <v>0</v>
      </c>
      <c r="G92" s="75" t="n">
        <f aca="false">(1+N($V$11))*(((1-$D$90)*IF(5-$C$90&gt;=1,INDEX('Cash Flow'!$C$12:$O$12,5-$C$90),0)+$D$90*IF(5-$C$90-1&gt;=1,INDEX('Cash Flow'!$C$12:$O$12,5-$C$90-1),0))-((1-$D$90)*IF(5-$C$90&gt;=1,INDEX(Sales!$J$48:$V$48,5-$C$90),0)+$D$90*IF(5-$C$90-1&gt;=1,INDEX(Sales!$J$48:$V$48,5-$C$90-1),0)))-('Cash Flow'!G$12-INDEX(Sales!$J$48:$V$48,5))</f>
        <v>0</v>
      </c>
      <c r="H92" s="75" t="n">
        <f aca="false">(1+N($V$11))*(((1-$D$90)*IF(6-$C$90&gt;=1,INDEX('Cash Flow'!$C$12:$O$12,6-$C$90),0)+$D$90*IF(6-$C$90-1&gt;=1,INDEX('Cash Flow'!$C$12:$O$12,6-$C$90-1),0))-((1-$D$90)*IF(6-$C$90&gt;=1,INDEX(Sales!$J$48:$V$48,6-$C$90),0)+$D$90*IF(6-$C$90-1&gt;=1,INDEX(Sales!$J$48:$V$48,6-$C$90-1),0)))-('Cash Flow'!H$12-INDEX(Sales!$J$48:$V$48,6))</f>
        <v>0</v>
      </c>
      <c r="I92" s="75" t="n">
        <f aca="false">(1+N($V$11))*(((1-$D$90)*IF(7-$C$90&gt;=1,INDEX('Cash Flow'!$C$12:$O$12,7-$C$90),0)+$D$90*IF(7-$C$90-1&gt;=1,INDEX('Cash Flow'!$C$12:$O$12,7-$C$90-1),0))-((1-$D$90)*IF(7-$C$90&gt;=1,INDEX(Sales!$J$48:$V$48,7-$C$90),0)+$D$90*IF(7-$C$90-1&gt;=1,INDEX(Sales!$J$48:$V$48,7-$C$90-1),0)))-('Cash Flow'!I$12-INDEX(Sales!$J$48:$V$48,7))</f>
        <v>0</v>
      </c>
      <c r="J92" s="75" t="n">
        <f aca="false">(1+N($V$11))*(((1-$D$90)*IF(8-$C$90&gt;=1,INDEX('Cash Flow'!$C$12:$O$12,8-$C$90),0)+$D$90*IF(8-$C$90-1&gt;=1,INDEX('Cash Flow'!$C$12:$O$12,8-$C$90-1),0))-((1-$D$90)*IF(8-$C$90&gt;=1,INDEX(Sales!$J$48:$V$48,8-$C$90),0)+$D$90*IF(8-$C$90-1&gt;=1,INDEX(Sales!$J$48:$V$48,8-$C$90-1),0)))-('Cash Flow'!J$12-INDEX(Sales!$J$48:$V$48,8))</f>
        <v>-26400</v>
      </c>
      <c r="K92" s="75" t="n">
        <f aca="false">(1+N($V$11))*(((1-$D$90)*IF(9-$C$90&gt;=1,INDEX('Cash Flow'!$C$12:$O$12,9-$C$90),0)+$D$90*IF(9-$C$90-1&gt;=1,INDEX('Cash Flow'!$C$12:$O$12,9-$C$90-1),0))-((1-$D$90)*IF(9-$C$90&gt;=1,INDEX(Sales!$J$48:$V$48,9-$C$90),0)+$D$90*IF(9-$C$90-1&gt;=1,INDEX(Sales!$J$48:$V$48,9-$C$90-1),0)))-('Cash Flow'!K$12-INDEX(Sales!$J$48:$V$48,9))</f>
        <v>-26400</v>
      </c>
      <c r="L92" s="75" t="n">
        <f aca="false">(1+N($V$11))*(((1-$D$90)*IF(10-$C$90&gt;=1,INDEX('Cash Flow'!$C$12:$O$12,10-$C$90),0)+$D$90*IF(10-$C$90-1&gt;=1,INDEX('Cash Flow'!$C$12:$O$12,10-$C$90-1),0))-((1-$D$90)*IF(10-$C$90&gt;=1,INDEX(Sales!$J$48:$V$48,10-$C$90),0)+$D$90*IF(10-$C$90-1&gt;=1,INDEX(Sales!$J$48:$V$48,10-$C$90-1),0)))-('Cash Flow'!L$12-INDEX(Sales!$J$48:$V$48,10))</f>
        <v>-66000</v>
      </c>
      <c r="M92" s="75" t="n">
        <f aca="false">(1+N($V$11))*(((1-$D$90)*IF(11-$C$90&gt;=1,INDEX('Cash Flow'!$C$12:$O$12,11-$C$90),0)+$D$90*IF(11-$C$90-1&gt;=1,INDEX('Cash Flow'!$C$12:$O$12,11-$C$90-1),0))-((1-$D$90)*IF(11-$C$90&gt;=1,INDEX(Sales!$J$48:$V$48,11-$C$90),0)+$D$90*IF(11-$C$90-1&gt;=1,INDEX(Sales!$J$48:$V$48,11-$C$90-1),0)))-('Cash Flow'!M$12-INDEX(Sales!$J$48:$V$48,11))</f>
        <v>-66000</v>
      </c>
      <c r="N92" s="75" t="n">
        <f aca="false">(1+N($V$11))*(((1-$D$90)*IF(12-$C$90&gt;=1,INDEX('Cash Flow'!$C$12:$O$12,12-$C$90),0)+$D$90*IF(12-$C$90-1&gt;=1,INDEX('Cash Flow'!$C$12:$O$12,12-$C$90-1),0))-((1-$D$90)*IF(12-$C$90&gt;=1,INDEX(Sales!$J$48:$V$48,12-$C$90),0)+$D$90*IF(12-$C$90-1&gt;=1,INDEX(Sales!$J$48:$V$48,12-$C$90-1),0)))-('Cash Flow'!N$12-INDEX(Sales!$J$48:$V$48,12))</f>
        <v>0</v>
      </c>
      <c r="O92" s="75" t="n">
        <f aca="false">(1+N($V$11))*(((1-$D$90)*IF(13-$C$90&gt;=1,INDEX('Cash Flow'!$C$12:$O$12,13-$C$90),0)+$D$90*IF(13-$C$90-1&gt;=1,INDEX('Cash Flow'!$C$12:$O$12,13-$C$90-1),0))-((1-$D$90)*IF(13-$C$90&gt;=1,INDEX(Sales!$J$48:$V$48,13-$C$90),0)+$D$90*IF(13-$C$90-1&gt;=1,INDEX(Sales!$J$48:$V$48,13-$C$90-1),0)))-('Cash Flow'!O$12-INDEX(Sales!$J$48:$V$48,13))</f>
        <v>0</v>
      </c>
      <c r="P92" s="75" t="n">
        <f aca="false">SUM(C92:O92)</f>
        <v>-184800</v>
      </c>
      <c r="Q92" s="2"/>
      <c r="R92" s="2"/>
      <c r="S92" s="2"/>
      <c r="T92" s="2"/>
      <c r="U92" s="2"/>
      <c r="V92" s="2"/>
      <c r="W92" s="2"/>
      <c r="X92" s="2"/>
    </row>
    <row r="93" customFormat="false" ht="15" hidden="false" customHeight="false" outlineLevel="0" collapsed="false">
      <c r="A93" s="2"/>
      <c r="B93" s="63" t="s">
        <v>348</v>
      </c>
      <c r="C93" s="75" t="n">
        <f aca="false">N($V$11)*INDEX(Sales!$J$48:$V$48,1)</f>
        <v>0</v>
      </c>
      <c r="D93" s="75" t="n">
        <f aca="false">N($V$11)*INDEX(Sales!$J$48:$V$48,2)</f>
        <v>0</v>
      </c>
      <c r="E93" s="75" t="n">
        <f aca="false">N($V$11)*INDEX(Sales!$J$48:$V$48,3)</f>
        <v>0</v>
      </c>
      <c r="F93" s="75" t="n">
        <f aca="false">N($V$11)*INDEX(Sales!$J$48:$V$48,4)</f>
        <v>0</v>
      </c>
      <c r="G93" s="75" t="n">
        <f aca="false">N($V$11)*INDEX(Sales!$J$48:$V$48,5)</f>
        <v>0</v>
      </c>
      <c r="H93" s="75" t="n">
        <f aca="false">N($V$11)*INDEX(Sales!$J$48:$V$48,6)</f>
        <v>0</v>
      </c>
      <c r="I93" s="75" t="n">
        <f aca="false">N($V$11)*INDEX(Sales!$J$48:$V$48,7)</f>
        <v>0</v>
      </c>
      <c r="J93" s="75" t="n">
        <f aca="false">N($V$11)*INDEX(Sales!$J$48:$V$48,8)</f>
        <v>0</v>
      </c>
      <c r="K93" s="75" t="n">
        <f aca="false">N($V$11)*INDEX(Sales!$J$48:$V$48,9)</f>
        <v>0</v>
      </c>
      <c r="L93" s="75" t="n">
        <f aca="false">N($V$11)*INDEX(Sales!$J$48:$V$48,10)</f>
        <v>0</v>
      </c>
      <c r="M93" s="75" t="n">
        <f aca="false">N($V$11)*INDEX(Sales!$J$48:$V$48,11)</f>
        <v>0</v>
      </c>
      <c r="N93" s="75" t="n">
        <f aca="false">N($V$11)*INDEX(Sales!$J$48:$V$48,12)</f>
        <v>0</v>
      </c>
      <c r="O93" s="75" t="n">
        <f aca="false">N($V$11)*INDEX(Sales!$J$48:$V$48,13)</f>
        <v>0</v>
      </c>
      <c r="P93" s="75" t="n">
        <f aca="false">SUM(C93:O93)</f>
        <v>0</v>
      </c>
      <c r="Q93" s="2"/>
      <c r="R93" s="2"/>
      <c r="S93" s="2"/>
      <c r="T93" s="2"/>
      <c r="U93" s="2"/>
      <c r="V93" s="2"/>
      <c r="W93" s="2"/>
      <c r="X93" s="2"/>
    </row>
    <row r="94" customFormat="false" ht="15" hidden="false" customHeight="false" outlineLevel="0" collapsed="false">
      <c r="A94" s="2"/>
      <c r="B94" s="63" t="s">
        <v>349</v>
      </c>
      <c r="C94" s="75" t="n">
        <f aca="false">((1-$F$90)*IF(1+$E$90&lt;=13,INDEX('Cash Flow'!$C$17:$O$17,1+$E$90),0)+$F$90*IF(1+$E$90+1&lt;=13,INDEX('Cash Flow'!$C$17:$O$17,1+$E$90+1),0))-'Cash Flow'!C$17</f>
        <v>0</v>
      </c>
      <c r="D94" s="75" t="n">
        <f aca="false">((1-$F$90)*IF(2+$E$90&lt;=13,INDEX('Cash Flow'!$C$17:$O$17,2+$E$90),0)+$F$90*IF(2+$E$90+1&lt;=13,INDEX('Cash Flow'!$C$17:$O$17,2+$E$90+1),0))-'Cash Flow'!D$17</f>
        <v>0</v>
      </c>
      <c r="E94" s="75" t="n">
        <f aca="false">((1-$F$90)*IF(3+$E$90&lt;=13,INDEX('Cash Flow'!$C$17:$O$17,3+$E$90),0)+$F$90*IF(3+$E$90+1&lt;=13,INDEX('Cash Flow'!$C$17:$O$17,3+$E$90+1),0))-'Cash Flow'!E$17</f>
        <v>0</v>
      </c>
      <c r="F94" s="75" t="n">
        <f aca="false">((1-$F$90)*IF(4+$E$90&lt;=13,INDEX('Cash Flow'!$C$17:$O$17,4+$E$90),0)+$F$90*IF(4+$E$90+1&lt;=13,INDEX('Cash Flow'!$C$17:$O$17,4+$E$90+1),0))-'Cash Flow'!F$17</f>
        <v>0</v>
      </c>
      <c r="G94" s="75" t="n">
        <f aca="false">((1-$F$90)*IF(5+$E$90&lt;=13,INDEX('Cash Flow'!$C$17:$O$17,5+$E$90),0)+$F$90*IF(5+$E$90+1&lt;=13,INDEX('Cash Flow'!$C$17:$O$17,5+$E$90+1),0))-'Cash Flow'!G$17</f>
        <v>0</v>
      </c>
      <c r="H94" s="75" t="n">
        <f aca="false">((1-$F$90)*IF(6+$E$90&lt;=13,INDEX('Cash Flow'!$C$17:$O$17,6+$E$90),0)+$F$90*IF(6+$E$90+1&lt;=13,INDEX('Cash Flow'!$C$17:$O$17,6+$E$90+1),0))-'Cash Flow'!H$17</f>
        <v>0</v>
      </c>
      <c r="I94" s="75" t="n">
        <f aca="false">((1-$F$90)*IF(7+$E$90&lt;=13,INDEX('Cash Flow'!$C$17:$O$17,7+$E$90),0)+$F$90*IF(7+$E$90+1&lt;=13,INDEX('Cash Flow'!$C$17:$O$17,7+$E$90+1),0))-'Cash Flow'!I$17</f>
        <v>0</v>
      </c>
      <c r="J94" s="75" t="n">
        <f aca="false">((1-$F$90)*IF(8+$E$90&lt;=13,INDEX('Cash Flow'!$C$17:$O$17,8+$E$90),0)+$F$90*IF(8+$E$90+1&lt;=13,INDEX('Cash Flow'!$C$17:$O$17,8+$E$90+1),0))-'Cash Flow'!J$17</f>
        <v>0</v>
      </c>
      <c r="K94" s="75" t="n">
        <f aca="false">((1-$F$90)*IF(9+$E$90&lt;=13,INDEX('Cash Flow'!$C$17:$O$17,9+$E$90),0)+$F$90*IF(9+$E$90+1&lt;=13,INDEX('Cash Flow'!$C$17:$O$17,9+$E$90+1),0))-'Cash Flow'!K$17</f>
        <v>0</v>
      </c>
      <c r="L94" s="75" t="n">
        <f aca="false">((1-$F$90)*IF(10+$E$90&lt;=13,INDEX('Cash Flow'!$C$17:$O$17,10+$E$90),0)+$F$90*IF(10+$E$90+1&lt;=13,INDEX('Cash Flow'!$C$17:$O$17,10+$E$90+1),0))-'Cash Flow'!L$17</f>
        <v>0</v>
      </c>
      <c r="M94" s="75" t="n">
        <f aca="false">((1-$F$90)*IF(11+$E$90&lt;=13,INDEX('Cash Flow'!$C$17:$O$17,11+$E$90),0)+$F$90*IF(11+$E$90+1&lt;=13,INDEX('Cash Flow'!$C$17:$O$17,11+$E$90+1),0))-'Cash Flow'!M$17</f>
        <v>0</v>
      </c>
      <c r="N94" s="75" t="n">
        <f aca="false">((1-$F$90)*IF(12+$E$90&lt;=13,INDEX('Cash Flow'!$C$17:$O$17,12+$E$90),0)+$F$90*IF(12+$E$90+1&lt;=13,INDEX('Cash Flow'!$C$17:$O$17,12+$E$90+1),0))-'Cash Flow'!N$17</f>
        <v>0</v>
      </c>
      <c r="O94" s="75" t="n">
        <f aca="false">((1-$F$90)*IF(13+$E$90&lt;=13,INDEX('Cash Flow'!$C$17:$O$17,13+$E$90),0)+$F$90*IF(13+$E$90+1&lt;=13,INDEX('Cash Flow'!$C$17:$O$17,13+$E$90+1),0))-'Cash Flow'!O$17</f>
        <v>0</v>
      </c>
      <c r="P94" s="75" t="n">
        <f aca="false">SUM(C94:O94)</f>
        <v>0</v>
      </c>
      <c r="Q94" s="2"/>
      <c r="R94" s="2"/>
      <c r="S94" s="2"/>
      <c r="T94" s="2"/>
      <c r="U94" s="2"/>
      <c r="V94" s="2"/>
      <c r="W94" s="2"/>
      <c r="X94" s="2"/>
    </row>
    <row r="95" customFormat="false" ht="15" hidden="false" customHeight="false" outlineLevel="0" collapsed="false">
      <c r="A95" s="2"/>
      <c r="B95" s="63" t="s">
        <v>350</v>
      </c>
      <c r="C95" s="75" t="n">
        <f aca="false">(1+N($V$14))*(((1-$F$90)*IF(1+$E$90&lt;=13,INDEX('Cash Flow'!$C$18:$O$18,1+$E$90),0)+$F$90*IF(1+$E$90+1&lt;=13,INDEX('Cash Flow'!$C$18:$O$18,1+$E$90+1),0))+N($V$11)*((1-$F$90)*IF(1+$E$90&lt;=13,INDEX('Direct Costs'!$J$62:$V$62,1+$E$90),0)+$F$90*IF(1+$E$90+1&lt;=13,INDEX('Direct Costs'!$J$62:$V$62,1+$E$90+1),0)))-'Cash Flow'!C$18</f>
        <v>0</v>
      </c>
      <c r="D95" s="75" t="n">
        <f aca="false">(1+N($V$14))*(((1-$F$90)*IF(2+$E$90&lt;=13,INDEX('Cash Flow'!$C$18:$O$18,2+$E$90),0)+$F$90*IF(2+$E$90+1&lt;=13,INDEX('Cash Flow'!$C$18:$O$18,2+$E$90+1),0))+N($V$11)*((1-$F$90)*IF(2+$E$90&lt;=13,INDEX('Direct Costs'!$J$62:$V$62,2+$E$90),0)+$F$90*IF(2+$E$90+1&lt;=13,INDEX('Direct Costs'!$J$62:$V$62,2+$E$90+1),0)))-'Cash Flow'!D$18</f>
        <v>0</v>
      </c>
      <c r="E95" s="75" t="n">
        <f aca="false">(1+N($V$14))*(((1-$F$90)*IF(3+$E$90&lt;=13,INDEX('Cash Flow'!$C$18:$O$18,3+$E$90),0)+$F$90*IF(3+$E$90+1&lt;=13,INDEX('Cash Flow'!$C$18:$O$18,3+$E$90+1),0))+N($V$11)*((1-$F$90)*IF(3+$E$90&lt;=13,INDEX('Direct Costs'!$J$62:$V$62,3+$E$90),0)+$F$90*IF(3+$E$90+1&lt;=13,INDEX('Direct Costs'!$J$62:$V$62,3+$E$90+1),0)))-'Cash Flow'!E$18</f>
        <v>0</v>
      </c>
      <c r="F95" s="75" t="n">
        <f aca="false">(1+N($V$14))*(((1-$F$90)*IF(4+$E$90&lt;=13,INDEX('Cash Flow'!$C$18:$O$18,4+$E$90),0)+$F$90*IF(4+$E$90+1&lt;=13,INDEX('Cash Flow'!$C$18:$O$18,4+$E$90+1),0))+N($V$11)*((1-$F$90)*IF(4+$E$90&lt;=13,INDEX('Direct Costs'!$J$62:$V$62,4+$E$90),0)+$F$90*IF(4+$E$90+1&lt;=13,INDEX('Direct Costs'!$J$62:$V$62,4+$E$90+1),0)))-'Cash Flow'!F$18</f>
        <v>0</v>
      </c>
      <c r="G95" s="75" t="n">
        <f aca="false">(1+N($V$14))*(((1-$F$90)*IF(5+$E$90&lt;=13,INDEX('Cash Flow'!$C$18:$O$18,5+$E$90),0)+$F$90*IF(5+$E$90+1&lt;=13,INDEX('Cash Flow'!$C$18:$O$18,5+$E$90+1),0))+N($V$11)*((1-$F$90)*IF(5+$E$90&lt;=13,INDEX('Direct Costs'!$J$62:$V$62,5+$E$90),0)+$F$90*IF(5+$E$90+1&lt;=13,INDEX('Direct Costs'!$J$62:$V$62,5+$E$90+1),0)))-'Cash Flow'!G$18</f>
        <v>0</v>
      </c>
      <c r="H95" s="75" t="n">
        <f aca="false">(1+N($V$14))*(((1-$F$90)*IF(6+$E$90&lt;=13,INDEX('Cash Flow'!$C$18:$O$18,6+$E$90),0)+$F$90*IF(6+$E$90+1&lt;=13,INDEX('Cash Flow'!$C$18:$O$18,6+$E$90+1),0))+N($V$11)*((1-$F$90)*IF(6+$E$90&lt;=13,INDEX('Direct Costs'!$J$62:$V$62,6+$E$90),0)+$F$90*IF(6+$E$90+1&lt;=13,INDEX('Direct Costs'!$J$62:$V$62,6+$E$90+1),0)))-'Cash Flow'!H$18</f>
        <v>0</v>
      </c>
      <c r="I95" s="75" t="n">
        <f aca="false">(1+N($V$14))*(((1-$F$90)*IF(7+$E$90&lt;=13,INDEX('Cash Flow'!$C$18:$O$18,7+$E$90),0)+$F$90*IF(7+$E$90+1&lt;=13,INDEX('Cash Flow'!$C$18:$O$18,7+$E$90+1),0))+N($V$11)*((1-$F$90)*IF(7+$E$90&lt;=13,INDEX('Direct Costs'!$J$62:$V$62,7+$E$90),0)+$F$90*IF(7+$E$90+1&lt;=13,INDEX('Direct Costs'!$J$62:$V$62,7+$E$90+1),0)))-'Cash Flow'!I$18</f>
        <v>0</v>
      </c>
      <c r="J95" s="75" t="n">
        <f aca="false">(1+N($V$14))*(((1-$F$90)*IF(8+$E$90&lt;=13,INDEX('Cash Flow'!$C$18:$O$18,8+$E$90),0)+$F$90*IF(8+$E$90+1&lt;=13,INDEX('Cash Flow'!$C$18:$O$18,8+$E$90+1),0))+N($V$11)*((1-$F$90)*IF(8+$E$90&lt;=13,INDEX('Direct Costs'!$J$62:$V$62,8+$E$90),0)+$F$90*IF(8+$E$90+1&lt;=13,INDEX('Direct Costs'!$J$62:$V$62,8+$E$90+1),0)))-'Cash Flow'!J$18</f>
        <v>0</v>
      </c>
      <c r="K95" s="75" t="n">
        <f aca="false">(1+N($V$14))*(((1-$F$90)*IF(9+$E$90&lt;=13,INDEX('Cash Flow'!$C$18:$O$18,9+$E$90),0)+$F$90*IF(9+$E$90+1&lt;=13,INDEX('Cash Flow'!$C$18:$O$18,9+$E$90+1),0))+N($V$11)*((1-$F$90)*IF(9+$E$90&lt;=13,INDEX('Direct Costs'!$J$62:$V$62,9+$E$90),0)+$F$90*IF(9+$E$90+1&lt;=13,INDEX('Direct Costs'!$J$62:$V$62,9+$E$90+1),0)))-'Cash Flow'!K$18</f>
        <v>0</v>
      </c>
      <c r="L95" s="75" t="n">
        <f aca="false">(1+N($V$14))*(((1-$F$90)*IF(10+$E$90&lt;=13,INDEX('Cash Flow'!$C$18:$O$18,10+$E$90),0)+$F$90*IF(10+$E$90+1&lt;=13,INDEX('Cash Flow'!$C$18:$O$18,10+$E$90+1),0))+N($V$11)*((1-$F$90)*IF(10+$E$90&lt;=13,INDEX('Direct Costs'!$J$62:$V$62,10+$E$90),0)+$F$90*IF(10+$E$90+1&lt;=13,INDEX('Direct Costs'!$J$62:$V$62,10+$E$90+1),0)))-'Cash Flow'!L$18</f>
        <v>0</v>
      </c>
      <c r="M95" s="75" t="n">
        <f aca="false">(1+N($V$14))*(((1-$F$90)*IF(11+$E$90&lt;=13,INDEX('Cash Flow'!$C$18:$O$18,11+$E$90),0)+$F$90*IF(11+$E$90+1&lt;=13,INDEX('Cash Flow'!$C$18:$O$18,11+$E$90+1),0))+N($V$11)*((1-$F$90)*IF(11+$E$90&lt;=13,INDEX('Direct Costs'!$J$62:$V$62,11+$E$90),0)+$F$90*IF(11+$E$90+1&lt;=13,INDEX('Direct Costs'!$J$62:$V$62,11+$E$90+1),0)))-'Cash Flow'!M$18</f>
        <v>0</v>
      </c>
      <c r="N95" s="75" t="n">
        <f aca="false">(1+N($V$14))*(((1-$F$90)*IF(12+$E$90&lt;=13,INDEX('Cash Flow'!$C$18:$O$18,12+$E$90),0)+$F$90*IF(12+$E$90+1&lt;=13,INDEX('Cash Flow'!$C$18:$O$18,12+$E$90+1),0))+N($V$11)*((1-$F$90)*IF(12+$E$90&lt;=13,INDEX('Direct Costs'!$J$62:$V$62,12+$E$90),0)+$F$90*IF(12+$E$90+1&lt;=13,INDEX('Direct Costs'!$J$62:$V$62,12+$E$90+1),0)))-'Cash Flow'!N$18</f>
        <v>0</v>
      </c>
      <c r="O95" s="75" t="n">
        <f aca="false">(1+N($V$14))*(((1-$F$90)*IF(13+$E$90&lt;=13,INDEX('Cash Flow'!$C$18:$O$18,13+$E$90),0)+$F$90*IF(13+$E$90+1&lt;=13,INDEX('Cash Flow'!$C$18:$O$18,13+$E$90+1),0))+N($V$11)*((1-$F$90)*IF(13+$E$90&lt;=13,INDEX('Direct Costs'!$J$62:$V$62,13+$E$90),0)+$F$90*IF(13+$E$90+1&lt;=13,INDEX('Direct Costs'!$J$62:$V$62,13+$E$90+1),0)))-'Cash Flow'!O$18</f>
        <v>0</v>
      </c>
      <c r="P95" s="75" t="n">
        <f aca="false">SUM(C95:O95)</f>
        <v>0</v>
      </c>
      <c r="Q95" s="2"/>
      <c r="R95" s="2"/>
      <c r="S95" s="2"/>
      <c r="T95" s="2"/>
      <c r="U95" s="2"/>
      <c r="V95" s="2"/>
      <c r="W95" s="2"/>
      <c r="X95" s="2"/>
    </row>
    <row r="96" customFormat="false" ht="15" hidden="false" customHeight="false" outlineLevel="0" collapsed="false">
      <c r="A96" s="2"/>
      <c r="B96" s="63" t="s">
        <v>351</v>
      </c>
      <c r="C96" s="75" t="n">
        <f aca="false">N($V$14)*SUM('Cash Flow'!C$19:C$28)</f>
        <v>0</v>
      </c>
      <c r="D96" s="75" t="n">
        <f aca="false">N($V$14)*SUM('Cash Flow'!D$19:D$28)</f>
        <v>0</v>
      </c>
      <c r="E96" s="75" t="n">
        <f aca="false">N($V$14)*SUM('Cash Flow'!E$19:E$28)</f>
        <v>0</v>
      </c>
      <c r="F96" s="75" t="n">
        <f aca="false">N($V$14)*SUM('Cash Flow'!F$19:F$28)</f>
        <v>0</v>
      </c>
      <c r="G96" s="75" t="n">
        <f aca="false">N($V$14)*SUM('Cash Flow'!G$19:G$28)</f>
        <v>0</v>
      </c>
      <c r="H96" s="75" t="n">
        <f aca="false">N($V$14)*SUM('Cash Flow'!H$19:H$28)</f>
        <v>0</v>
      </c>
      <c r="I96" s="75" t="n">
        <f aca="false">N($V$14)*SUM('Cash Flow'!I$19:I$28)</f>
        <v>0</v>
      </c>
      <c r="J96" s="75" t="n">
        <f aca="false">N($V$14)*SUM('Cash Flow'!J$19:J$28)</f>
        <v>0</v>
      </c>
      <c r="K96" s="75" t="n">
        <f aca="false">N($V$14)*SUM('Cash Flow'!K$19:K$28)</f>
        <v>0</v>
      </c>
      <c r="L96" s="75" t="n">
        <f aca="false">N($V$14)*SUM('Cash Flow'!L$19:L$28)</f>
        <v>0</v>
      </c>
      <c r="M96" s="75" t="n">
        <f aca="false">N($V$14)*SUM('Cash Flow'!M$19:M$28)</f>
        <v>0</v>
      </c>
      <c r="N96" s="75" t="n">
        <f aca="false">N($V$14)*SUM('Cash Flow'!N$19:N$28)</f>
        <v>0</v>
      </c>
      <c r="O96" s="75" t="n">
        <f aca="false">N($V$14)*SUM('Cash Flow'!O$19:O$28)</f>
        <v>0</v>
      </c>
      <c r="P96" s="75" t="n">
        <f aca="false">SUM(C96:O96)</f>
        <v>0</v>
      </c>
      <c r="Q96" s="2"/>
      <c r="R96" s="2"/>
      <c r="S96" s="2"/>
      <c r="T96" s="2"/>
      <c r="U96" s="2"/>
      <c r="V96" s="2"/>
      <c r="W96" s="2"/>
      <c r="X96" s="2"/>
    </row>
    <row r="97" customFormat="false" ht="15" hidden="false" customHeight="false" outlineLevel="0" collapsed="false">
      <c r="A97" s="2"/>
      <c r="B97" s="63" t="s">
        <v>352</v>
      </c>
      <c r="C97" s="75" t="n">
        <f aca="false">N($V$15)*SUM('Cash Flow'!C$29:C$31)</f>
        <v>0</v>
      </c>
      <c r="D97" s="75" t="n">
        <f aca="false">N($V$15)*SUM('Cash Flow'!D$29:D$31)</f>
        <v>0</v>
      </c>
      <c r="E97" s="75" t="n">
        <f aca="false">N($V$15)*SUM('Cash Flow'!E$29:E$31)</f>
        <v>0</v>
      </c>
      <c r="F97" s="75" t="n">
        <f aca="false">N($V$15)*SUM('Cash Flow'!F$29:F$31)</f>
        <v>0</v>
      </c>
      <c r="G97" s="75" t="n">
        <f aca="false">N($V$15)*SUM('Cash Flow'!G$29:G$31)</f>
        <v>0</v>
      </c>
      <c r="H97" s="75" t="n">
        <f aca="false">N($V$15)*SUM('Cash Flow'!H$29:H$31)</f>
        <v>0</v>
      </c>
      <c r="I97" s="75" t="n">
        <f aca="false">N($V$15)*SUM('Cash Flow'!I$29:I$31)</f>
        <v>0</v>
      </c>
      <c r="J97" s="75" t="n">
        <f aca="false">N($V$15)*SUM('Cash Flow'!J$29:J$31)</f>
        <v>0</v>
      </c>
      <c r="K97" s="75" t="n">
        <f aca="false">N($V$15)*SUM('Cash Flow'!K$29:K$31)</f>
        <v>0</v>
      </c>
      <c r="L97" s="75" t="n">
        <f aca="false">N($V$15)*SUM('Cash Flow'!L$29:L$31)</f>
        <v>0</v>
      </c>
      <c r="M97" s="75" t="n">
        <f aca="false">N($V$15)*SUM('Cash Flow'!M$29:M$31)</f>
        <v>0</v>
      </c>
      <c r="N97" s="75" t="n">
        <f aca="false">N($V$15)*SUM('Cash Flow'!N$29:N$31)</f>
        <v>0</v>
      </c>
      <c r="O97" s="75" t="n">
        <f aca="false">N($V$15)*SUM('Cash Flow'!O$29:O$31)</f>
        <v>0</v>
      </c>
      <c r="P97" s="75" t="n">
        <f aca="false">SUM(C97:O97)</f>
        <v>0</v>
      </c>
      <c r="Q97" s="2"/>
      <c r="R97" s="2"/>
      <c r="S97" s="2"/>
      <c r="T97" s="2"/>
      <c r="U97" s="2"/>
      <c r="V97" s="2"/>
      <c r="W97" s="2"/>
      <c r="X97" s="2"/>
    </row>
    <row r="98" customFormat="false" ht="15" hidden="false" customHeight="false" outlineLevel="0" collapsed="false">
      <c r="A98" s="2"/>
      <c r="B98" s="63" t="s">
        <v>353</v>
      </c>
      <c r="C98" s="75" t="n">
        <f aca="false">IF(N($V$18)=1,N($V$17),0)+IF(N($V$20)=1,N($V$19),0)</f>
        <v>0</v>
      </c>
      <c r="D98" s="75" t="n">
        <f aca="false">IF(N($V$18)=2,N($V$17),0)+IF(N($V$20)=2,N($V$19),0)</f>
        <v>0</v>
      </c>
      <c r="E98" s="75" t="n">
        <f aca="false">IF(N($V$18)=3,N($V$17),0)+IF(N($V$20)=3,N($V$19),0)</f>
        <v>0</v>
      </c>
      <c r="F98" s="75" t="n">
        <f aca="false">IF(N($V$18)=4,N($V$17),0)+IF(N($V$20)=4,N($V$19),0)</f>
        <v>0</v>
      </c>
      <c r="G98" s="75" t="n">
        <f aca="false">IF(N($V$18)=5,N($V$17),0)+IF(N($V$20)=5,N($V$19),0)</f>
        <v>0</v>
      </c>
      <c r="H98" s="75" t="n">
        <f aca="false">IF(N($V$18)=6,N($V$17),0)+IF(N($V$20)=6,N($V$19),0)</f>
        <v>0</v>
      </c>
      <c r="I98" s="75" t="n">
        <f aca="false">IF(N($V$18)=7,N($V$17),0)+IF(N($V$20)=7,N($V$19),0)</f>
        <v>0</v>
      </c>
      <c r="J98" s="75" t="n">
        <f aca="false">IF(N($V$18)=8,N($V$17),0)+IF(N($V$20)=8,N($V$19),0)</f>
        <v>0</v>
      </c>
      <c r="K98" s="75" t="n">
        <f aca="false">IF(N($V$18)=9,N($V$17),0)+IF(N($V$20)=9,N($V$19),0)</f>
        <v>0</v>
      </c>
      <c r="L98" s="75" t="n">
        <f aca="false">IF(N($V$18)=10,N($V$17),0)+IF(N($V$20)=10,N($V$19),0)</f>
        <v>0</v>
      </c>
      <c r="M98" s="75" t="n">
        <f aca="false">IF(N($V$18)=11,N($V$17),0)+IF(N($V$20)=11,N($V$19),0)</f>
        <v>0</v>
      </c>
      <c r="N98" s="75" t="n">
        <f aca="false">IF(N($V$18)=12,N($V$17),0)+IF(N($V$20)=12,N($V$19),0)</f>
        <v>0</v>
      </c>
      <c r="O98" s="75" t="n">
        <f aca="false">IF(N($V$18)=13,N($V$17),0)+IF(N($V$20)=13,N($V$19),0)</f>
        <v>0</v>
      </c>
      <c r="P98" s="75" t="n">
        <f aca="false">SUM(C98:O98)</f>
        <v>0</v>
      </c>
      <c r="Q98" s="2"/>
      <c r="R98" s="2"/>
      <c r="S98" s="2"/>
      <c r="T98" s="2"/>
      <c r="U98" s="2"/>
      <c r="V98" s="2"/>
      <c r="W98" s="2"/>
      <c r="X98" s="2"/>
    </row>
    <row r="99" customFormat="false" ht="15" hidden="false" customHeight="false" outlineLevel="0" collapsed="false">
      <c r="A99" s="2"/>
      <c r="B99" s="15" t="s">
        <v>354</v>
      </c>
      <c r="C99" s="84" t="n">
        <f aca="false">C91+C92+C93+C98-(C94+C95+C96+C97)</f>
        <v>-40369.4581280788</v>
      </c>
      <c r="D99" s="84" t="n">
        <f aca="false">D91+D92+D93+D98-(D94+D95+D96+D97)</f>
        <v>-70646.5517241379</v>
      </c>
      <c r="E99" s="84" t="n">
        <f aca="false">E91+E92+E93+E98-(E94+E95+E96+E97)</f>
        <v>-30277.0935960591</v>
      </c>
      <c r="F99" s="84" t="n">
        <f aca="false">F91+F92+F93+F98-(F94+F95+F96+F97)</f>
        <v>0</v>
      </c>
      <c r="G99" s="84" t="n">
        <f aca="false">G91+G92+G93+G98-(G94+G95+G96+G97)</f>
        <v>8070.60755336619</v>
      </c>
      <c r="H99" s="84" t="n">
        <f aca="false">H91+H92+H93+H98-(H94+H95+H96+H97)</f>
        <v>-16451.1494252873</v>
      </c>
      <c r="I99" s="84" t="n">
        <f aca="false">I91+I92+I93+I98-(I94+I95+I96+I97)</f>
        <v>-24521.7569786535</v>
      </c>
      <c r="J99" s="84" t="n">
        <f aca="false">J91+J92+J93+J98-(J94+J95+J96+J97)</f>
        <v>-26400</v>
      </c>
      <c r="K99" s="84" t="n">
        <f aca="false">K91+K92+K93+K98-(K94+K95+K96+K97)</f>
        <v>-23124.1379310345</v>
      </c>
      <c r="L99" s="84" t="n">
        <f aca="false">L91+L92+L93+L98-(L94+L95+L96+L97)</f>
        <v>-8068.96551724139</v>
      </c>
      <c r="M99" s="84" t="n">
        <f aca="false">M91+M92+M93+M98-(M94+M95+M96+M97)</f>
        <v>-11344.8275862069</v>
      </c>
      <c r="N99" s="84" t="n">
        <f aca="false">N91+N92+N93+N98-(N94+N95+N96+N97)</f>
        <v>0</v>
      </c>
      <c r="O99" s="84" t="n">
        <f aca="false">O91+O92+O93+O98-(O94+O95+O96+O97)</f>
        <v>0</v>
      </c>
      <c r="P99" s="84" t="n">
        <f aca="false">P91+P92+P93+P98-(P94+P95+P96+P97)</f>
        <v>-243133.333333333</v>
      </c>
      <c r="Q99" s="2"/>
      <c r="R99" s="2"/>
      <c r="S99" s="2"/>
      <c r="T99" s="2"/>
      <c r="U99" s="2"/>
      <c r="V99" s="2"/>
      <c r="W99" s="2"/>
      <c r="X99" s="2"/>
    </row>
    <row r="100" customFormat="false" ht="15" hidden="false" customHeight="false" outlineLevel="0" collapsed="false">
      <c r="A100" s="2"/>
      <c r="B100" s="15" t="s">
        <v>355</v>
      </c>
      <c r="C100" s="46" t="n">
        <f aca="false">Setup!$D$11+SUM('Cash Flow'!$C$43:C$43)+SUM($C99:C99)</f>
        <v>231040</v>
      </c>
      <c r="D100" s="46" t="n">
        <f aca="false">Setup!$D$11+SUM('Cash Flow'!$C$43:D$43)+SUM($C99:D99)</f>
        <v>182836.666666667</v>
      </c>
      <c r="E100" s="46" t="n">
        <f aca="false">Setup!$D$11+SUM('Cash Flow'!$C$43:E$43)+SUM($C99:E99)</f>
        <v>80022.7914614122</v>
      </c>
      <c r="F100" s="46" t="n">
        <f aca="false">Setup!$D$11+SUM('Cash Flow'!$C$43:F$43)+SUM($C99:F99)</f>
        <v>69986.0098522168</v>
      </c>
      <c r="G100" s="46" t="n">
        <f aca="false">Setup!$D$11+SUM('Cash Flow'!$C$43:G$43)+SUM($C99:G99)</f>
        <v>83249.2282430214</v>
      </c>
      <c r="H100" s="46" t="n">
        <f aca="false">Setup!$D$11+SUM('Cash Flow'!$C$43:H$43)+SUM($C99:H99)</f>
        <v>38122.446633826</v>
      </c>
      <c r="I100" s="46" t="n">
        <f aca="false">Setup!$D$11+SUM('Cash Flow'!$C$43:I$43)+SUM($C99:I99)</f>
        <v>-29874.9425287356</v>
      </c>
      <c r="J100" s="46" t="n">
        <f aca="false">Setup!$D$11+SUM('Cash Flow'!$C$43:J$43)+SUM($C99:J99)</f>
        <v>-7917.24137931035</v>
      </c>
      <c r="K100" s="46" t="n">
        <f aca="false">Setup!$D$11+SUM('Cash Flow'!$C$43:K$43)+SUM($C99:K99)</f>
        <v>-204659.540229885</v>
      </c>
      <c r="L100" s="46" t="n">
        <f aca="false">Setup!$D$11+SUM('Cash Flow'!$C$43:L$43)+SUM($C99:L99)</f>
        <v>-158261.83908046</v>
      </c>
      <c r="M100" s="46" t="n">
        <f aca="false">Setup!$D$11+SUM('Cash Flow'!$C$43:M$43)+SUM($C99:M99)</f>
        <v>-133400</v>
      </c>
      <c r="N100" s="46" t="n">
        <f aca="false">Setup!$D$11+SUM('Cash Flow'!$C$43:N$43)+SUM($C99:N99)</f>
        <v>-111813.333333333</v>
      </c>
      <c r="O100" s="46" t="n">
        <f aca="false">Setup!$D$11+SUM('Cash Flow'!$C$43:O$43)+SUM($C99:O99)</f>
        <v>-17026.6666666667</v>
      </c>
      <c r="P100" s="2"/>
      <c r="Q100" s="2"/>
      <c r="R100" s="2"/>
      <c r="S100" s="2"/>
      <c r="T100" s="2"/>
      <c r="U100" s="2"/>
      <c r="V100" s="2"/>
      <c r="W100" s="2"/>
      <c r="X100" s="2"/>
    </row>
    <row r="101" customFormat="false" ht="15" hidden="false" customHeight="fals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row>
    <row r="102" customFormat="false" ht="15" hidden="false" customHeight="fals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row>
    <row r="103" customFormat="false" ht="15" hidden="false" customHeight="fals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row>
    <row r="104" customFormat="false" ht="15" hidden="false" customHeight="fals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row>
    <row r="105" customFormat="false" ht="15" hidden="false" customHeight="fals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row>
    <row r="106" customFormat="false" ht="15" hidden="false" customHeight="false" outlineLevel="0" collapsed="false">
      <c r="A106" s="2"/>
      <c r="B106" s="81" t="str">
        <f aca="false">"Scenario: "&amp;$W$10</f>
        <v>Scenario: Sales down 20%</v>
      </c>
      <c r="C106" s="2"/>
      <c r="D106" s="2"/>
      <c r="E106" s="2"/>
      <c r="F106" s="2"/>
      <c r="G106" s="2"/>
      <c r="H106" s="2"/>
      <c r="I106" s="2"/>
      <c r="J106" s="2"/>
      <c r="K106" s="2"/>
      <c r="L106" s="2"/>
      <c r="M106" s="2"/>
      <c r="N106" s="2"/>
      <c r="O106" s="2"/>
      <c r="P106" s="2"/>
      <c r="Q106" s="2"/>
      <c r="R106" s="2"/>
      <c r="S106" s="2"/>
      <c r="T106" s="2"/>
      <c r="U106" s="2"/>
      <c r="V106" s="2"/>
      <c r="W106" s="2"/>
      <c r="X106" s="2"/>
    </row>
    <row r="107" customFormat="false" ht="15" hidden="false" customHeight="false" outlineLevel="0" collapsed="false">
      <c r="A107" s="2"/>
      <c r="B107" s="63" t="s">
        <v>345</v>
      </c>
      <c r="C107" s="82" t="n">
        <f aca="false">INT(MAX(0,N($W$12))/7)</f>
        <v>0</v>
      </c>
      <c r="D107" s="83" t="n">
        <f aca="false">MAX(0,N($W$12))/7-C107</f>
        <v>0</v>
      </c>
      <c r="E107" s="82" t="n">
        <f aca="false">INT(MAX(0,N($W$16))/7)</f>
        <v>0</v>
      </c>
      <c r="F107" s="83" t="n">
        <f aca="false">MAX(0,N($W$16))/7-E107</f>
        <v>0</v>
      </c>
      <c r="G107" s="2"/>
      <c r="H107" s="2"/>
      <c r="I107" s="2"/>
      <c r="J107" s="2"/>
      <c r="K107" s="2"/>
      <c r="L107" s="2"/>
      <c r="M107" s="2"/>
      <c r="N107" s="2"/>
      <c r="O107" s="2"/>
      <c r="P107" s="2"/>
      <c r="Q107" s="2"/>
      <c r="R107" s="2"/>
      <c r="S107" s="2"/>
      <c r="T107" s="2"/>
      <c r="U107" s="2"/>
      <c r="V107" s="2"/>
      <c r="W107" s="2"/>
      <c r="X107" s="2"/>
    </row>
    <row r="108" customFormat="false" ht="15" hidden="false" customHeight="false" outlineLevel="0" collapsed="false">
      <c r="A108" s="2"/>
      <c r="B108" s="63" t="s">
        <v>346</v>
      </c>
      <c r="C108" s="75" t="n">
        <f aca="false">((1-$D$107)*IF(1-$C$107&gt;=1,INDEX('Cash Flow'!$C$11:$O$11,1-$C$107),0)+$D$107*IF(1-$C$107-1&gt;=1,INDEX('Cash Flow'!$C$11:$O$11,1-$C$107-1),0))*(1-N($W$13))-'Cash Flow'!C$11</f>
        <v>0</v>
      </c>
      <c r="D108" s="75" t="n">
        <f aca="false">((1-$D$107)*IF(2-$C$107&gt;=1,INDEX('Cash Flow'!$C$11:$O$11,2-$C$107),0)+$D$107*IF(2-$C$107-1&gt;=1,INDEX('Cash Flow'!$C$11:$O$11,2-$C$107-1),0))*(1-N($W$13))-'Cash Flow'!D$11</f>
        <v>0</v>
      </c>
      <c r="E108" s="75" t="n">
        <f aca="false">((1-$D$107)*IF(3-$C$107&gt;=1,INDEX('Cash Flow'!$C$11:$O$11,3-$C$107),0)+$D$107*IF(3-$C$107-1&gt;=1,INDEX('Cash Flow'!$C$11:$O$11,3-$C$107-1),0))*(1-N($W$13))-'Cash Flow'!E$11</f>
        <v>0</v>
      </c>
      <c r="F108" s="75" t="n">
        <f aca="false">((1-$D$107)*IF(4-$C$107&gt;=1,INDEX('Cash Flow'!$C$11:$O$11,4-$C$107),0)+$D$107*IF(4-$C$107-1&gt;=1,INDEX('Cash Flow'!$C$11:$O$11,4-$C$107-1),0))*(1-N($W$13))-'Cash Flow'!F$11</f>
        <v>0</v>
      </c>
      <c r="G108" s="75" t="n">
        <f aca="false">((1-$D$107)*IF(5-$C$107&gt;=1,INDEX('Cash Flow'!$C$11:$O$11,5-$C$107),0)+$D$107*IF(5-$C$107-1&gt;=1,INDEX('Cash Flow'!$C$11:$O$11,5-$C$107-1),0))*(1-N($W$13))-'Cash Flow'!G$11</f>
        <v>0</v>
      </c>
      <c r="H108" s="75" t="n">
        <f aca="false">((1-$D$107)*IF(6-$C$107&gt;=1,INDEX('Cash Flow'!$C$11:$O$11,6-$C$107),0)+$D$107*IF(6-$C$107-1&gt;=1,INDEX('Cash Flow'!$C$11:$O$11,6-$C$107-1),0))*(1-N($W$13))-'Cash Flow'!H$11</f>
        <v>0</v>
      </c>
      <c r="I108" s="75" t="n">
        <f aca="false">((1-$D$107)*IF(7-$C$107&gt;=1,INDEX('Cash Flow'!$C$11:$O$11,7-$C$107),0)+$D$107*IF(7-$C$107-1&gt;=1,INDEX('Cash Flow'!$C$11:$O$11,7-$C$107-1),0))*(1-N($W$13))-'Cash Flow'!I$11</f>
        <v>0</v>
      </c>
      <c r="J108" s="75" t="n">
        <f aca="false">((1-$D$107)*IF(8-$C$107&gt;=1,INDEX('Cash Flow'!$C$11:$O$11,8-$C$107),0)+$D$107*IF(8-$C$107-1&gt;=1,INDEX('Cash Flow'!$C$11:$O$11,8-$C$107-1),0))*(1-N($W$13))-'Cash Flow'!J$11</f>
        <v>0</v>
      </c>
      <c r="K108" s="75" t="n">
        <f aca="false">((1-$D$107)*IF(9-$C$107&gt;=1,INDEX('Cash Flow'!$C$11:$O$11,9-$C$107),0)+$D$107*IF(9-$C$107-1&gt;=1,INDEX('Cash Flow'!$C$11:$O$11,9-$C$107-1),0))*(1-N($W$13))-'Cash Flow'!K$11</f>
        <v>0</v>
      </c>
      <c r="L108" s="75" t="n">
        <f aca="false">((1-$D$107)*IF(10-$C$107&gt;=1,INDEX('Cash Flow'!$C$11:$O$11,10-$C$107),0)+$D$107*IF(10-$C$107-1&gt;=1,INDEX('Cash Flow'!$C$11:$O$11,10-$C$107-1),0))*(1-N($W$13))-'Cash Flow'!L$11</f>
        <v>0</v>
      </c>
      <c r="M108" s="75" t="n">
        <f aca="false">((1-$D$107)*IF(11-$C$107&gt;=1,INDEX('Cash Flow'!$C$11:$O$11,11-$C$107),0)+$D$107*IF(11-$C$107-1&gt;=1,INDEX('Cash Flow'!$C$11:$O$11,11-$C$107-1),0))*(1-N($W$13))-'Cash Flow'!M$11</f>
        <v>0</v>
      </c>
      <c r="N108" s="75" t="n">
        <f aca="false">((1-$D$107)*IF(12-$C$107&gt;=1,INDEX('Cash Flow'!$C$11:$O$11,12-$C$107),0)+$D$107*IF(12-$C$107-1&gt;=1,INDEX('Cash Flow'!$C$11:$O$11,12-$C$107-1),0))*(1-N($W$13))-'Cash Flow'!N$11</f>
        <v>0</v>
      </c>
      <c r="O108" s="75" t="n">
        <f aca="false">((1-$D$107)*IF(13-$C$107&gt;=1,INDEX('Cash Flow'!$C$11:$O$11,13-$C$107),0)+$D$107*IF(13-$C$107-1&gt;=1,INDEX('Cash Flow'!$C$11:$O$11,13-$C$107-1),0))*(1-N($W$13))-'Cash Flow'!O$11</f>
        <v>0</v>
      </c>
      <c r="P108" s="75" t="n">
        <f aca="false">SUM(C108:O108)</f>
        <v>0</v>
      </c>
      <c r="Q108" s="2"/>
      <c r="R108" s="2"/>
      <c r="S108" s="2"/>
      <c r="T108" s="2"/>
      <c r="U108" s="2"/>
      <c r="V108" s="2"/>
      <c r="W108" s="2"/>
      <c r="X108" s="2"/>
    </row>
    <row r="109" customFormat="false" ht="15" hidden="false" customHeight="false" outlineLevel="0" collapsed="false">
      <c r="A109" s="2"/>
      <c r="B109" s="63" t="s">
        <v>347</v>
      </c>
      <c r="C109" s="75" t="n">
        <f aca="false">(1+N($W$11))*(((1-$D$107)*IF(1-$C$107&gt;=1,INDEX('Cash Flow'!$C$12:$O$12,1-$C$107),0)+$D$107*IF(1-$C$107-1&gt;=1,INDEX('Cash Flow'!$C$12:$O$12,1-$C$107-1),0))-((1-$D$107)*IF(1-$C$107&gt;=1,INDEX(Sales!$J$48:$V$48,1-$C$107),0)+$D$107*IF(1-$C$107-1&gt;=1,INDEX(Sales!$J$48:$V$48,1-$C$107-1),0)))-('Cash Flow'!C$12-INDEX(Sales!$J$48:$V$48,1))</f>
        <v>0</v>
      </c>
      <c r="D109" s="75" t="n">
        <f aca="false">(1+N($W$11))*(((1-$D$107)*IF(2-$C$107&gt;=1,INDEX('Cash Flow'!$C$12:$O$12,2-$C$107),0)+$D$107*IF(2-$C$107-1&gt;=1,INDEX('Cash Flow'!$C$12:$O$12,2-$C$107-1),0))-((1-$D$107)*IF(2-$C$107&gt;=1,INDEX(Sales!$J$48:$V$48,2-$C$107),0)+$D$107*IF(2-$C$107-1&gt;=1,INDEX(Sales!$J$48:$V$48,2-$C$107-1),0)))-('Cash Flow'!D$12-INDEX(Sales!$J$48:$V$48,2))</f>
        <v>0</v>
      </c>
      <c r="E109" s="75" t="n">
        <f aca="false">(1+N($W$11))*(((1-$D$107)*IF(3-$C$107&gt;=1,INDEX('Cash Flow'!$C$12:$O$12,3-$C$107),0)+$D$107*IF(3-$C$107-1&gt;=1,INDEX('Cash Flow'!$C$12:$O$12,3-$C$107-1),0))-((1-$D$107)*IF(3-$C$107&gt;=1,INDEX(Sales!$J$48:$V$48,3-$C$107),0)+$D$107*IF(3-$C$107-1&gt;=1,INDEX(Sales!$J$48:$V$48,3-$C$107-1),0)))-('Cash Flow'!E$12-INDEX(Sales!$J$48:$V$48,3))</f>
        <v>0</v>
      </c>
      <c r="F109" s="75" t="n">
        <f aca="false">(1+N($W$11))*(((1-$D$107)*IF(4-$C$107&gt;=1,INDEX('Cash Flow'!$C$12:$O$12,4-$C$107),0)+$D$107*IF(4-$C$107-1&gt;=1,INDEX('Cash Flow'!$C$12:$O$12,4-$C$107-1),0))-((1-$D$107)*IF(4-$C$107&gt;=1,INDEX(Sales!$J$48:$V$48,4-$C$107),0)+$D$107*IF(4-$C$107-1&gt;=1,INDEX(Sales!$J$48:$V$48,4-$C$107-1),0)))-('Cash Flow'!F$12-INDEX(Sales!$J$48:$V$48,4))</f>
        <v>0</v>
      </c>
      <c r="G109" s="75" t="n">
        <f aca="false">(1+N($W$11))*(((1-$D$107)*IF(5-$C$107&gt;=1,INDEX('Cash Flow'!$C$12:$O$12,5-$C$107),0)+$D$107*IF(5-$C$107-1&gt;=1,INDEX('Cash Flow'!$C$12:$O$12,5-$C$107-1),0))-((1-$D$107)*IF(5-$C$107&gt;=1,INDEX(Sales!$J$48:$V$48,5-$C$107),0)+$D$107*IF(5-$C$107-1&gt;=1,INDEX(Sales!$J$48:$V$48,5-$C$107-1),0)))-('Cash Flow'!G$12-INDEX(Sales!$J$48:$V$48,5))</f>
        <v>0</v>
      </c>
      <c r="H109" s="75" t="n">
        <f aca="false">(1+N($W$11))*(((1-$D$107)*IF(6-$C$107&gt;=1,INDEX('Cash Flow'!$C$12:$O$12,6-$C$107),0)+$D$107*IF(6-$C$107-1&gt;=1,INDEX('Cash Flow'!$C$12:$O$12,6-$C$107-1),0))-((1-$D$107)*IF(6-$C$107&gt;=1,INDEX(Sales!$J$48:$V$48,6-$C$107),0)+$D$107*IF(6-$C$107-1&gt;=1,INDEX(Sales!$J$48:$V$48,6-$C$107-1),0)))-('Cash Flow'!H$12-INDEX(Sales!$J$48:$V$48,6))</f>
        <v>0</v>
      </c>
      <c r="I109" s="75" t="n">
        <f aca="false">(1+N($W$11))*(((1-$D$107)*IF(7-$C$107&gt;=1,INDEX('Cash Flow'!$C$12:$O$12,7-$C$107),0)+$D$107*IF(7-$C$107-1&gt;=1,INDEX('Cash Flow'!$C$12:$O$12,7-$C$107-1),0))-((1-$D$107)*IF(7-$C$107&gt;=1,INDEX(Sales!$J$48:$V$48,7-$C$107),0)+$D$107*IF(7-$C$107-1&gt;=1,INDEX(Sales!$J$48:$V$48,7-$C$107-1),0)))-('Cash Flow'!I$12-INDEX(Sales!$J$48:$V$48,7))</f>
        <v>0</v>
      </c>
      <c r="J109" s="75" t="n">
        <f aca="false">(1+N($W$11))*(((1-$D$107)*IF(8-$C$107&gt;=1,INDEX('Cash Flow'!$C$12:$O$12,8-$C$107),0)+$D$107*IF(8-$C$107-1&gt;=1,INDEX('Cash Flow'!$C$12:$O$12,8-$C$107-1),0))-((1-$D$107)*IF(8-$C$107&gt;=1,INDEX(Sales!$J$48:$V$48,8-$C$107),0)+$D$107*IF(8-$C$107-1&gt;=1,INDEX(Sales!$J$48:$V$48,8-$C$107-1),0)))-('Cash Flow'!J$12-INDEX(Sales!$J$48:$V$48,8))</f>
        <v>-5280</v>
      </c>
      <c r="K109" s="75" t="n">
        <f aca="false">(1+N($W$11))*(((1-$D$107)*IF(9-$C$107&gt;=1,INDEX('Cash Flow'!$C$12:$O$12,9-$C$107),0)+$D$107*IF(9-$C$107-1&gt;=1,INDEX('Cash Flow'!$C$12:$O$12,9-$C$107-1),0))-((1-$D$107)*IF(9-$C$107&gt;=1,INDEX(Sales!$J$48:$V$48,9-$C$107),0)+$D$107*IF(9-$C$107-1&gt;=1,INDEX(Sales!$J$48:$V$48,9-$C$107-1),0)))-('Cash Flow'!K$12-INDEX(Sales!$J$48:$V$48,9))</f>
        <v>-5280</v>
      </c>
      <c r="L109" s="75" t="n">
        <f aca="false">(1+N($W$11))*(((1-$D$107)*IF(10-$C$107&gt;=1,INDEX('Cash Flow'!$C$12:$O$12,10-$C$107),0)+$D$107*IF(10-$C$107-1&gt;=1,INDEX('Cash Flow'!$C$12:$O$12,10-$C$107-1),0))-((1-$D$107)*IF(10-$C$107&gt;=1,INDEX(Sales!$J$48:$V$48,10-$C$107),0)+$D$107*IF(10-$C$107-1&gt;=1,INDEX(Sales!$J$48:$V$48,10-$C$107-1),0)))-('Cash Flow'!L$12-INDEX(Sales!$J$48:$V$48,10))</f>
        <v>-18480</v>
      </c>
      <c r="M109" s="75" t="n">
        <f aca="false">(1+N($W$11))*(((1-$D$107)*IF(11-$C$107&gt;=1,INDEX('Cash Flow'!$C$12:$O$12,11-$C$107),0)+$D$107*IF(11-$C$107-1&gt;=1,INDEX('Cash Flow'!$C$12:$O$12,11-$C$107-1),0))-((1-$D$107)*IF(11-$C$107&gt;=1,INDEX(Sales!$J$48:$V$48,11-$C$107),0)+$D$107*IF(11-$C$107-1&gt;=1,INDEX(Sales!$J$48:$V$48,11-$C$107-1),0)))-('Cash Flow'!M$12-INDEX(Sales!$J$48:$V$48,11))</f>
        <v>-18480</v>
      </c>
      <c r="N109" s="75" t="n">
        <f aca="false">(1+N($W$11))*(((1-$D$107)*IF(12-$C$107&gt;=1,INDEX('Cash Flow'!$C$12:$O$12,12-$C$107),0)+$D$107*IF(12-$C$107-1&gt;=1,INDEX('Cash Flow'!$C$12:$O$12,12-$C$107-1),0))-((1-$D$107)*IF(12-$C$107&gt;=1,INDEX(Sales!$J$48:$V$48,12-$C$107),0)+$D$107*IF(12-$C$107-1&gt;=1,INDEX(Sales!$J$48:$V$48,12-$C$107-1),0)))-('Cash Flow'!N$12-INDEX(Sales!$J$48:$V$48,12))</f>
        <v>-18480</v>
      </c>
      <c r="O109" s="75" t="n">
        <f aca="false">(1+N($W$11))*(((1-$D$107)*IF(13-$C$107&gt;=1,INDEX('Cash Flow'!$C$12:$O$12,13-$C$107),0)+$D$107*IF(13-$C$107-1&gt;=1,INDEX('Cash Flow'!$C$12:$O$12,13-$C$107-1),0))-((1-$D$107)*IF(13-$C$107&gt;=1,INDEX(Sales!$J$48:$V$48,13-$C$107),0)+$D$107*IF(13-$C$107-1&gt;=1,INDEX(Sales!$J$48:$V$48,13-$C$107-1),0)))-('Cash Flow'!O$12-INDEX(Sales!$J$48:$V$48,13))</f>
        <v>-18480</v>
      </c>
      <c r="P109" s="75" t="n">
        <f aca="false">SUM(C109:O109)</f>
        <v>-84480</v>
      </c>
      <c r="Q109" s="2"/>
      <c r="R109" s="2"/>
      <c r="S109" s="2"/>
      <c r="T109" s="2"/>
      <c r="U109" s="2"/>
      <c r="V109" s="2"/>
      <c r="W109" s="2"/>
      <c r="X109" s="2"/>
    </row>
    <row r="110" customFormat="false" ht="15" hidden="false" customHeight="false" outlineLevel="0" collapsed="false">
      <c r="A110" s="2"/>
      <c r="B110" s="63" t="s">
        <v>348</v>
      </c>
      <c r="C110" s="75" t="n">
        <f aca="false">N($W$11)*INDEX(Sales!$J$48:$V$48,1)</f>
        <v>-0</v>
      </c>
      <c r="D110" s="75" t="n">
        <f aca="false">N($W$11)*INDEX(Sales!$J$48:$V$48,2)</f>
        <v>-0</v>
      </c>
      <c r="E110" s="75" t="n">
        <f aca="false">N($W$11)*INDEX(Sales!$J$48:$V$48,3)</f>
        <v>-0</v>
      </c>
      <c r="F110" s="75" t="n">
        <f aca="false">N($W$11)*INDEX(Sales!$J$48:$V$48,4)</f>
        <v>-0</v>
      </c>
      <c r="G110" s="75" t="n">
        <f aca="false">N($W$11)*INDEX(Sales!$J$48:$V$48,5)</f>
        <v>-0</v>
      </c>
      <c r="H110" s="75" t="n">
        <f aca="false">N($W$11)*INDEX(Sales!$J$48:$V$48,6)</f>
        <v>-0</v>
      </c>
      <c r="I110" s="75" t="n">
        <f aca="false">N($W$11)*INDEX(Sales!$J$48:$V$48,7)</f>
        <v>-0</v>
      </c>
      <c r="J110" s="75" t="n">
        <f aca="false">N($W$11)*INDEX(Sales!$J$48:$V$48,8)</f>
        <v>-0</v>
      </c>
      <c r="K110" s="75" t="n">
        <f aca="false">N($W$11)*INDEX(Sales!$J$48:$V$48,9)</f>
        <v>-0</v>
      </c>
      <c r="L110" s="75" t="n">
        <f aca="false">N($W$11)*INDEX(Sales!$J$48:$V$48,10)</f>
        <v>-0</v>
      </c>
      <c r="M110" s="75" t="n">
        <f aca="false">N($W$11)*INDEX(Sales!$J$48:$V$48,11)</f>
        <v>-0</v>
      </c>
      <c r="N110" s="75" t="n">
        <f aca="false">N($W$11)*INDEX(Sales!$J$48:$V$48,12)</f>
        <v>-0</v>
      </c>
      <c r="O110" s="75" t="n">
        <f aca="false">N($W$11)*INDEX(Sales!$J$48:$V$48,13)</f>
        <v>-0</v>
      </c>
      <c r="P110" s="75" t="n">
        <f aca="false">SUM(C110:O110)</f>
        <v>0</v>
      </c>
      <c r="Q110" s="2"/>
      <c r="R110" s="2"/>
      <c r="S110" s="2"/>
      <c r="T110" s="2"/>
      <c r="U110" s="2"/>
      <c r="V110" s="2"/>
      <c r="W110" s="2"/>
      <c r="X110" s="2"/>
    </row>
    <row r="111" customFormat="false" ht="15" hidden="false" customHeight="false" outlineLevel="0" collapsed="false">
      <c r="A111" s="2"/>
      <c r="B111" s="63" t="s">
        <v>349</v>
      </c>
      <c r="C111" s="75" t="n">
        <f aca="false">((1-$F$107)*IF(1+$E$107&lt;=13,INDEX('Cash Flow'!$C$17:$O$17,1+$E$107),0)+$F$107*IF(1+$E$107+1&lt;=13,INDEX('Cash Flow'!$C$17:$O$17,1+$E$107+1),0))-'Cash Flow'!C$17</f>
        <v>0</v>
      </c>
      <c r="D111" s="75" t="n">
        <f aca="false">((1-$F$107)*IF(2+$E$107&lt;=13,INDEX('Cash Flow'!$C$17:$O$17,2+$E$107),0)+$F$107*IF(2+$E$107+1&lt;=13,INDEX('Cash Flow'!$C$17:$O$17,2+$E$107+1),0))-'Cash Flow'!D$17</f>
        <v>0</v>
      </c>
      <c r="E111" s="75" t="n">
        <f aca="false">((1-$F$107)*IF(3+$E$107&lt;=13,INDEX('Cash Flow'!$C$17:$O$17,3+$E$107),0)+$F$107*IF(3+$E$107+1&lt;=13,INDEX('Cash Flow'!$C$17:$O$17,3+$E$107+1),0))-'Cash Flow'!E$17</f>
        <v>0</v>
      </c>
      <c r="F111" s="75" t="n">
        <f aca="false">((1-$F$107)*IF(4+$E$107&lt;=13,INDEX('Cash Flow'!$C$17:$O$17,4+$E$107),0)+$F$107*IF(4+$E$107+1&lt;=13,INDEX('Cash Flow'!$C$17:$O$17,4+$E$107+1),0))-'Cash Flow'!F$17</f>
        <v>0</v>
      </c>
      <c r="G111" s="75" t="n">
        <f aca="false">((1-$F$107)*IF(5+$E$107&lt;=13,INDEX('Cash Flow'!$C$17:$O$17,5+$E$107),0)+$F$107*IF(5+$E$107+1&lt;=13,INDEX('Cash Flow'!$C$17:$O$17,5+$E$107+1),0))-'Cash Flow'!G$17</f>
        <v>0</v>
      </c>
      <c r="H111" s="75" t="n">
        <f aca="false">((1-$F$107)*IF(6+$E$107&lt;=13,INDEX('Cash Flow'!$C$17:$O$17,6+$E$107),0)+$F$107*IF(6+$E$107+1&lt;=13,INDEX('Cash Flow'!$C$17:$O$17,6+$E$107+1),0))-'Cash Flow'!H$17</f>
        <v>0</v>
      </c>
      <c r="I111" s="75" t="n">
        <f aca="false">((1-$F$107)*IF(7+$E$107&lt;=13,INDEX('Cash Flow'!$C$17:$O$17,7+$E$107),0)+$F$107*IF(7+$E$107+1&lt;=13,INDEX('Cash Flow'!$C$17:$O$17,7+$E$107+1),0))-'Cash Flow'!I$17</f>
        <v>0</v>
      </c>
      <c r="J111" s="75" t="n">
        <f aca="false">((1-$F$107)*IF(8+$E$107&lt;=13,INDEX('Cash Flow'!$C$17:$O$17,8+$E$107),0)+$F$107*IF(8+$E$107+1&lt;=13,INDEX('Cash Flow'!$C$17:$O$17,8+$E$107+1),0))-'Cash Flow'!J$17</f>
        <v>0</v>
      </c>
      <c r="K111" s="75" t="n">
        <f aca="false">((1-$F$107)*IF(9+$E$107&lt;=13,INDEX('Cash Flow'!$C$17:$O$17,9+$E$107),0)+$F$107*IF(9+$E$107+1&lt;=13,INDEX('Cash Flow'!$C$17:$O$17,9+$E$107+1),0))-'Cash Flow'!K$17</f>
        <v>0</v>
      </c>
      <c r="L111" s="75" t="n">
        <f aca="false">((1-$F$107)*IF(10+$E$107&lt;=13,INDEX('Cash Flow'!$C$17:$O$17,10+$E$107),0)+$F$107*IF(10+$E$107+1&lt;=13,INDEX('Cash Flow'!$C$17:$O$17,10+$E$107+1),0))-'Cash Flow'!L$17</f>
        <v>0</v>
      </c>
      <c r="M111" s="75" t="n">
        <f aca="false">((1-$F$107)*IF(11+$E$107&lt;=13,INDEX('Cash Flow'!$C$17:$O$17,11+$E$107),0)+$F$107*IF(11+$E$107+1&lt;=13,INDEX('Cash Flow'!$C$17:$O$17,11+$E$107+1),0))-'Cash Flow'!M$17</f>
        <v>0</v>
      </c>
      <c r="N111" s="75" t="n">
        <f aca="false">((1-$F$107)*IF(12+$E$107&lt;=13,INDEX('Cash Flow'!$C$17:$O$17,12+$E$107),0)+$F$107*IF(12+$E$107+1&lt;=13,INDEX('Cash Flow'!$C$17:$O$17,12+$E$107+1),0))-'Cash Flow'!N$17</f>
        <v>0</v>
      </c>
      <c r="O111" s="75" t="n">
        <f aca="false">((1-$F$107)*IF(13+$E$107&lt;=13,INDEX('Cash Flow'!$C$17:$O$17,13+$E$107),0)+$F$107*IF(13+$E$107+1&lt;=13,INDEX('Cash Flow'!$C$17:$O$17,13+$E$107+1),0))-'Cash Flow'!O$17</f>
        <v>0</v>
      </c>
      <c r="P111" s="75" t="n">
        <f aca="false">SUM(C111:O111)</f>
        <v>0</v>
      </c>
      <c r="Q111" s="2"/>
      <c r="R111" s="2"/>
      <c r="S111" s="2"/>
      <c r="T111" s="2"/>
      <c r="U111" s="2"/>
      <c r="V111" s="2"/>
      <c r="W111" s="2"/>
      <c r="X111" s="2"/>
    </row>
    <row r="112" customFormat="false" ht="15" hidden="false" customHeight="false" outlineLevel="0" collapsed="false">
      <c r="A112" s="2"/>
      <c r="B112" s="63" t="s">
        <v>350</v>
      </c>
      <c r="C112" s="75" t="n">
        <f aca="false">(1+N($W$14))*(((1-$F$107)*IF(1+$E$107&lt;=13,INDEX('Cash Flow'!$C$18:$O$18,1+$E$107),0)+$F$107*IF(1+$E$107+1&lt;=13,INDEX('Cash Flow'!$C$18:$O$18,1+$E$107+1),0))+N($W$11)*((1-$F$107)*IF(1+$E$107&lt;=13,INDEX('Direct Costs'!$J$62:$V$62,1+$E$107),0)+$F$107*IF(1+$E$107+1&lt;=13,INDEX('Direct Costs'!$J$62:$V$62,1+$E$107+1),0)))-'Cash Flow'!C$18</f>
        <v>0</v>
      </c>
      <c r="D112" s="75" t="n">
        <f aca="false">(1+N($W$14))*(((1-$F$107)*IF(2+$E$107&lt;=13,INDEX('Cash Flow'!$C$18:$O$18,2+$E$107),0)+$F$107*IF(2+$E$107+1&lt;=13,INDEX('Cash Flow'!$C$18:$O$18,2+$E$107+1),0))+N($W$11)*((1-$F$107)*IF(2+$E$107&lt;=13,INDEX('Direct Costs'!$J$62:$V$62,2+$E$107),0)+$F$107*IF(2+$E$107+1&lt;=13,INDEX('Direct Costs'!$J$62:$V$62,2+$E$107+1),0)))-'Cash Flow'!D$18</f>
        <v>0</v>
      </c>
      <c r="E112" s="75" t="n">
        <f aca="false">(1+N($W$14))*(((1-$F$107)*IF(3+$E$107&lt;=13,INDEX('Cash Flow'!$C$18:$O$18,3+$E$107),0)+$F$107*IF(3+$E$107+1&lt;=13,INDEX('Cash Flow'!$C$18:$O$18,3+$E$107+1),0))+N($W$11)*((1-$F$107)*IF(3+$E$107&lt;=13,INDEX('Direct Costs'!$J$62:$V$62,3+$E$107),0)+$F$107*IF(3+$E$107+1&lt;=13,INDEX('Direct Costs'!$J$62:$V$62,3+$E$107+1),0)))-'Cash Flow'!E$18</f>
        <v>0</v>
      </c>
      <c r="F112" s="75" t="n">
        <f aca="false">(1+N($W$14))*(((1-$F$107)*IF(4+$E$107&lt;=13,INDEX('Cash Flow'!$C$18:$O$18,4+$E$107),0)+$F$107*IF(4+$E$107+1&lt;=13,INDEX('Cash Flow'!$C$18:$O$18,4+$E$107+1),0))+N($W$11)*((1-$F$107)*IF(4+$E$107&lt;=13,INDEX('Direct Costs'!$J$62:$V$62,4+$E$107),0)+$F$107*IF(4+$E$107+1&lt;=13,INDEX('Direct Costs'!$J$62:$V$62,4+$E$107+1),0)))-'Cash Flow'!F$18</f>
        <v>0</v>
      </c>
      <c r="G112" s="75" t="n">
        <f aca="false">(1+N($W$14))*(((1-$F$107)*IF(5+$E$107&lt;=13,INDEX('Cash Flow'!$C$18:$O$18,5+$E$107),0)+$F$107*IF(5+$E$107+1&lt;=13,INDEX('Cash Flow'!$C$18:$O$18,5+$E$107+1),0))+N($W$11)*((1-$F$107)*IF(5+$E$107&lt;=13,INDEX('Direct Costs'!$J$62:$V$62,5+$E$107),0)+$F$107*IF(5+$E$107+1&lt;=13,INDEX('Direct Costs'!$J$62:$V$62,5+$E$107+1),0)))-'Cash Flow'!G$18</f>
        <v>0</v>
      </c>
      <c r="H112" s="75" t="n">
        <f aca="false">(1+N($W$14))*(((1-$F$107)*IF(6+$E$107&lt;=13,INDEX('Cash Flow'!$C$18:$O$18,6+$E$107),0)+$F$107*IF(6+$E$107+1&lt;=13,INDEX('Cash Flow'!$C$18:$O$18,6+$E$107+1),0))+N($W$11)*((1-$F$107)*IF(6+$E$107&lt;=13,INDEX('Direct Costs'!$J$62:$V$62,6+$E$107),0)+$F$107*IF(6+$E$107+1&lt;=13,INDEX('Direct Costs'!$J$62:$V$62,6+$E$107+1),0)))-'Cash Flow'!H$18</f>
        <v>-2772</v>
      </c>
      <c r="I112" s="75" t="n">
        <f aca="false">(1+N($W$14))*(((1-$F$107)*IF(7+$E$107&lt;=13,INDEX('Cash Flow'!$C$18:$O$18,7+$E$107),0)+$F$107*IF(7+$E$107+1&lt;=13,INDEX('Cash Flow'!$C$18:$O$18,7+$E$107+1),0))+N($W$11)*((1-$F$107)*IF(7+$E$107&lt;=13,INDEX('Direct Costs'!$J$62:$V$62,7+$E$107),0)+$F$107*IF(7+$E$107+1&lt;=13,INDEX('Direct Costs'!$J$62:$V$62,7+$E$107+1),0)))-'Cash Flow'!I$18</f>
        <v>-11088</v>
      </c>
      <c r="J112" s="75" t="n">
        <f aca="false">(1+N($W$14))*(((1-$F$107)*IF(8+$E$107&lt;=13,INDEX('Cash Flow'!$C$18:$O$18,8+$E$107),0)+$F$107*IF(8+$E$107+1&lt;=13,INDEX('Cash Flow'!$C$18:$O$18,8+$E$107+1),0))+N($W$11)*((1-$F$107)*IF(8+$E$107&lt;=13,INDEX('Direct Costs'!$J$62:$V$62,8+$E$107),0)+$F$107*IF(8+$E$107+1&lt;=13,INDEX('Direct Costs'!$J$62:$V$62,8+$E$107+1),0)))-'Cash Flow'!J$18</f>
        <v>-11088</v>
      </c>
      <c r="K112" s="75" t="n">
        <f aca="false">(1+N($W$14))*(((1-$F$107)*IF(9+$E$107&lt;=13,INDEX('Cash Flow'!$C$18:$O$18,9+$E$107),0)+$F$107*IF(9+$E$107+1&lt;=13,INDEX('Cash Flow'!$C$18:$O$18,9+$E$107+1),0))+N($W$11)*((1-$F$107)*IF(9+$E$107&lt;=13,INDEX('Direct Costs'!$J$62:$V$62,9+$E$107),0)+$F$107*IF(9+$E$107+1&lt;=13,INDEX('Direct Costs'!$J$62:$V$62,9+$E$107+1),0)))-'Cash Flow'!K$18</f>
        <v>-11088</v>
      </c>
      <c r="L112" s="75" t="n">
        <f aca="false">(1+N($W$14))*(((1-$F$107)*IF(10+$E$107&lt;=13,INDEX('Cash Flow'!$C$18:$O$18,10+$E$107),0)+$F$107*IF(10+$E$107+1&lt;=13,INDEX('Cash Flow'!$C$18:$O$18,10+$E$107+1),0))+N($W$11)*((1-$F$107)*IF(10+$E$107&lt;=13,INDEX('Direct Costs'!$J$62:$V$62,10+$E$107),0)+$F$107*IF(10+$E$107+1&lt;=13,INDEX('Direct Costs'!$J$62:$V$62,10+$E$107+1),0)))-'Cash Flow'!L$18</f>
        <v>-11088</v>
      </c>
      <c r="M112" s="75" t="n">
        <f aca="false">(1+N($W$14))*(((1-$F$107)*IF(11+$E$107&lt;=13,INDEX('Cash Flow'!$C$18:$O$18,11+$E$107),0)+$F$107*IF(11+$E$107+1&lt;=13,INDEX('Cash Flow'!$C$18:$O$18,11+$E$107+1),0))+N($W$11)*((1-$F$107)*IF(11+$E$107&lt;=13,INDEX('Direct Costs'!$J$62:$V$62,11+$E$107),0)+$F$107*IF(11+$E$107+1&lt;=13,INDEX('Direct Costs'!$J$62:$V$62,11+$E$107+1),0)))-'Cash Flow'!M$18</f>
        <v>-11088</v>
      </c>
      <c r="N112" s="75" t="n">
        <f aca="false">(1+N($W$14))*(((1-$F$107)*IF(12+$E$107&lt;=13,INDEX('Cash Flow'!$C$18:$O$18,12+$E$107),0)+$F$107*IF(12+$E$107+1&lt;=13,INDEX('Cash Flow'!$C$18:$O$18,12+$E$107+1),0))+N($W$11)*((1-$F$107)*IF(12+$E$107&lt;=13,INDEX('Direct Costs'!$J$62:$V$62,12+$E$107),0)+$F$107*IF(12+$E$107+1&lt;=13,INDEX('Direct Costs'!$J$62:$V$62,12+$E$107+1),0)))-'Cash Flow'!N$18</f>
        <v>-9396</v>
      </c>
      <c r="O112" s="75" t="n">
        <f aca="false">(1+N($W$14))*(((1-$F$107)*IF(13+$E$107&lt;=13,INDEX('Cash Flow'!$C$18:$O$18,13+$E$107),0)+$F$107*IF(13+$E$107+1&lt;=13,INDEX('Cash Flow'!$C$18:$O$18,13+$E$107+1),0))+N($W$11)*((1-$F$107)*IF(13+$E$107&lt;=13,INDEX('Direct Costs'!$J$62:$V$62,13+$E$107),0)+$F$107*IF(13+$E$107+1&lt;=13,INDEX('Direct Costs'!$J$62:$V$62,13+$E$107+1),0)))-'Cash Flow'!O$18</f>
        <v>-3816</v>
      </c>
      <c r="P112" s="75" t="n">
        <f aca="false">SUM(C112:O112)</f>
        <v>-71424</v>
      </c>
      <c r="Q112" s="2"/>
      <c r="R112" s="2"/>
      <c r="S112" s="2"/>
      <c r="T112" s="2"/>
      <c r="U112" s="2"/>
      <c r="V112" s="2"/>
      <c r="W112" s="2"/>
      <c r="X112" s="2"/>
    </row>
    <row r="113" customFormat="false" ht="15" hidden="false" customHeight="false" outlineLevel="0" collapsed="false">
      <c r="A113" s="2"/>
      <c r="B113" s="63" t="s">
        <v>351</v>
      </c>
      <c r="C113" s="75" t="n">
        <f aca="false">N($W$14)*SUM('Cash Flow'!C$19:C$28)</f>
        <v>0</v>
      </c>
      <c r="D113" s="75" t="n">
        <f aca="false">N($W$14)*SUM('Cash Flow'!D$19:D$28)</f>
        <v>0</v>
      </c>
      <c r="E113" s="75" t="n">
        <f aca="false">N($W$14)*SUM('Cash Flow'!E$19:E$28)</f>
        <v>0</v>
      </c>
      <c r="F113" s="75" t="n">
        <f aca="false">N($W$14)*SUM('Cash Flow'!F$19:F$28)</f>
        <v>0</v>
      </c>
      <c r="G113" s="75" t="n">
        <f aca="false">N($W$14)*SUM('Cash Flow'!G$19:G$28)</f>
        <v>0</v>
      </c>
      <c r="H113" s="75" t="n">
        <f aca="false">N($W$14)*SUM('Cash Flow'!H$19:H$28)</f>
        <v>0</v>
      </c>
      <c r="I113" s="75" t="n">
        <f aca="false">N($W$14)*SUM('Cash Flow'!I$19:I$28)</f>
        <v>0</v>
      </c>
      <c r="J113" s="75" t="n">
        <f aca="false">N($W$14)*SUM('Cash Flow'!J$19:J$28)</f>
        <v>0</v>
      </c>
      <c r="K113" s="75" t="n">
        <f aca="false">N($W$14)*SUM('Cash Flow'!K$19:K$28)</f>
        <v>0</v>
      </c>
      <c r="L113" s="75" t="n">
        <f aca="false">N($W$14)*SUM('Cash Flow'!L$19:L$28)</f>
        <v>0</v>
      </c>
      <c r="M113" s="75" t="n">
        <f aca="false">N($W$14)*SUM('Cash Flow'!M$19:M$28)</f>
        <v>0</v>
      </c>
      <c r="N113" s="75" t="n">
        <f aca="false">N($W$14)*SUM('Cash Flow'!N$19:N$28)</f>
        <v>0</v>
      </c>
      <c r="O113" s="75" t="n">
        <f aca="false">N($W$14)*SUM('Cash Flow'!O$19:O$28)</f>
        <v>0</v>
      </c>
      <c r="P113" s="75" t="n">
        <f aca="false">SUM(C113:O113)</f>
        <v>0</v>
      </c>
      <c r="Q113" s="2"/>
      <c r="R113" s="2"/>
      <c r="S113" s="2"/>
      <c r="T113" s="2"/>
      <c r="U113" s="2"/>
      <c r="V113" s="2"/>
      <c r="W113" s="2"/>
      <c r="X113" s="2"/>
    </row>
    <row r="114" customFormat="false" ht="15" hidden="false" customHeight="false" outlineLevel="0" collapsed="false">
      <c r="A114" s="2"/>
      <c r="B114" s="63" t="s">
        <v>352</v>
      </c>
      <c r="C114" s="75" t="n">
        <f aca="false">N($W$15)*SUM('Cash Flow'!C$29:C$31)</f>
        <v>0</v>
      </c>
      <c r="D114" s="75" t="n">
        <f aca="false">N($W$15)*SUM('Cash Flow'!D$29:D$31)</f>
        <v>0</v>
      </c>
      <c r="E114" s="75" t="n">
        <f aca="false">N($W$15)*SUM('Cash Flow'!E$29:E$31)</f>
        <v>0</v>
      </c>
      <c r="F114" s="75" t="n">
        <f aca="false">N($W$15)*SUM('Cash Flow'!F$29:F$31)</f>
        <v>0</v>
      </c>
      <c r="G114" s="75" t="n">
        <f aca="false">N($W$15)*SUM('Cash Flow'!G$29:G$31)</f>
        <v>0</v>
      </c>
      <c r="H114" s="75" t="n">
        <f aca="false">N($W$15)*SUM('Cash Flow'!H$29:H$31)</f>
        <v>0</v>
      </c>
      <c r="I114" s="75" t="n">
        <f aca="false">N($W$15)*SUM('Cash Flow'!I$29:I$31)</f>
        <v>0</v>
      </c>
      <c r="J114" s="75" t="n">
        <f aca="false">N($W$15)*SUM('Cash Flow'!J$29:J$31)</f>
        <v>0</v>
      </c>
      <c r="K114" s="75" t="n">
        <f aca="false">N($W$15)*SUM('Cash Flow'!K$29:K$31)</f>
        <v>0</v>
      </c>
      <c r="L114" s="75" t="n">
        <f aca="false">N($W$15)*SUM('Cash Flow'!L$29:L$31)</f>
        <v>0</v>
      </c>
      <c r="M114" s="75" t="n">
        <f aca="false">N($W$15)*SUM('Cash Flow'!M$29:M$31)</f>
        <v>0</v>
      </c>
      <c r="N114" s="75" t="n">
        <f aca="false">N($W$15)*SUM('Cash Flow'!N$29:N$31)</f>
        <v>0</v>
      </c>
      <c r="O114" s="75" t="n">
        <f aca="false">N($W$15)*SUM('Cash Flow'!O$29:O$31)</f>
        <v>0</v>
      </c>
      <c r="P114" s="75" t="n">
        <f aca="false">SUM(C114:O114)</f>
        <v>0</v>
      </c>
      <c r="Q114" s="2"/>
      <c r="R114" s="2"/>
      <c r="S114" s="2"/>
      <c r="T114" s="2"/>
      <c r="U114" s="2"/>
      <c r="V114" s="2"/>
      <c r="W114" s="2"/>
      <c r="X114" s="2"/>
    </row>
    <row r="115" customFormat="false" ht="15" hidden="false" customHeight="false" outlineLevel="0" collapsed="false">
      <c r="A115" s="2"/>
      <c r="B115" s="63" t="s">
        <v>353</v>
      </c>
      <c r="C115" s="75" t="n">
        <f aca="false">IF(N($W$18)=1,N($W$17),0)+IF(N($W$20)=1,N($W$19),0)</f>
        <v>0</v>
      </c>
      <c r="D115" s="75" t="n">
        <f aca="false">IF(N($W$18)=2,N($W$17),0)+IF(N($W$20)=2,N($W$19),0)</f>
        <v>0</v>
      </c>
      <c r="E115" s="75" t="n">
        <f aca="false">IF(N($W$18)=3,N($W$17),0)+IF(N($W$20)=3,N($W$19),0)</f>
        <v>0</v>
      </c>
      <c r="F115" s="75" t="n">
        <f aca="false">IF(N($W$18)=4,N($W$17),0)+IF(N($W$20)=4,N($W$19),0)</f>
        <v>0</v>
      </c>
      <c r="G115" s="75" t="n">
        <f aca="false">IF(N($W$18)=5,N($W$17),0)+IF(N($W$20)=5,N($W$19),0)</f>
        <v>0</v>
      </c>
      <c r="H115" s="75" t="n">
        <f aca="false">IF(N($W$18)=6,N($W$17),0)+IF(N($W$20)=6,N($W$19),0)</f>
        <v>0</v>
      </c>
      <c r="I115" s="75" t="n">
        <f aca="false">IF(N($W$18)=7,N($W$17),0)+IF(N($W$20)=7,N($W$19),0)</f>
        <v>0</v>
      </c>
      <c r="J115" s="75" t="n">
        <f aca="false">IF(N($W$18)=8,N($W$17),0)+IF(N($W$20)=8,N($W$19),0)</f>
        <v>0</v>
      </c>
      <c r="K115" s="75" t="n">
        <f aca="false">IF(N($W$18)=9,N($W$17),0)+IF(N($W$20)=9,N($W$19),0)</f>
        <v>0</v>
      </c>
      <c r="L115" s="75" t="n">
        <f aca="false">IF(N($W$18)=10,N($W$17),0)+IF(N($W$20)=10,N($W$19),0)</f>
        <v>0</v>
      </c>
      <c r="M115" s="75" t="n">
        <f aca="false">IF(N($W$18)=11,N($W$17),0)+IF(N($W$20)=11,N($W$19),0)</f>
        <v>0</v>
      </c>
      <c r="N115" s="75" t="n">
        <f aca="false">IF(N($W$18)=12,N($W$17),0)+IF(N($W$20)=12,N($W$19),0)</f>
        <v>0</v>
      </c>
      <c r="O115" s="75" t="n">
        <f aca="false">IF(N($W$18)=13,N($W$17),0)+IF(N($W$20)=13,N($W$19),0)</f>
        <v>0</v>
      </c>
      <c r="P115" s="75" t="n">
        <f aca="false">SUM(C115:O115)</f>
        <v>0</v>
      </c>
      <c r="Q115" s="2"/>
      <c r="R115" s="2"/>
      <c r="S115" s="2"/>
      <c r="T115" s="2"/>
      <c r="U115" s="2"/>
      <c r="V115" s="2"/>
      <c r="W115" s="2"/>
      <c r="X115" s="2"/>
    </row>
    <row r="116" customFormat="false" ht="15" hidden="false" customHeight="false" outlineLevel="0" collapsed="false">
      <c r="A116" s="2"/>
      <c r="B116" s="15" t="s">
        <v>354</v>
      </c>
      <c r="C116" s="84" t="n">
        <f aca="false">C108+C109+C110+C115-(C111+C112+C113+C114)</f>
        <v>0</v>
      </c>
      <c r="D116" s="84" t="n">
        <f aca="false">D108+D109+D110+D115-(D111+D112+D113+D114)</f>
        <v>0</v>
      </c>
      <c r="E116" s="84" t="n">
        <f aca="false">E108+E109+E110+E115-(E111+E112+E113+E114)</f>
        <v>0</v>
      </c>
      <c r="F116" s="84" t="n">
        <f aca="false">F108+F109+F110+F115-(F111+F112+F113+F114)</f>
        <v>0</v>
      </c>
      <c r="G116" s="84" t="n">
        <f aca="false">G108+G109+G110+G115-(G111+G112+G113+G114)</f>
        <v>0</v>
      </c>
      <c r="H116" s="84" t="n">
        <f aca="false">H108+H109+H110+H115-(H111+H112+H113+H114)</f>
        <v>2772</v>
      </c>
      <c r="I116" s="84" t="n">
        <f aca="false">I108+I109+I110+I115-(I111+I112+I113+I114)</f>
        <v>11088</v>
      </c>
      <c r="J116" s="84" t="n">
        <f aca="false">J108+J109+J110+J115-(J111+J112+J113+J114)</f>
        <v>5808</v>
      </c>
      <c r="K116" s="84" t="n">
        <f aca="false">K108+K109+K110+K115-(K111+K112+K113+K114)</f>
        <v>5808</v>
      </c>
      <c r="L116" s="84" t="n">
        <f aca="false">L108+L109+L110+L115-(L111+L112+L113+L114)</f>
        <v>-7392</v>
      </c>
      <c r="M116" s="84" t="n">
        <f aca="false">M108+M109+M110+M115-(M111+M112+M113+M114)</f>
        <v>-7392</v>
      </c>
      <c r="N116" s="84" t="n">
        <f aca="false">N108+N109+N110+N115-(N111+N112+N113+N114)</f>
        <v>-9084</v>
      </c>
      <c r="O116" s="84" t="n">
        <f aca="false">O108+O109+O110+O115-(O111+O112+O113+O114)</f>
        <v>-14664</v>
      </c>
      <c r="P116" s="84" t="n">
        <f aca="false">P108+P109+P110+P115-(P111+P112+P113+P114)</f>
        <v>-13056</v>
      </c>
      <c r="Q116" s="2"/>
      <c r="R116" s="2"/>
      <c r="S116" s="2"/>
      <c r="T116" s="2"/>
      <c r="U116" s="2"/>
      <c r="V116" s="2"/>
      <c r="W116" s="2"/>
      <c r="X116" s="2"/>
    </row>
    <row r="117" customFormat="false" ht="15" hidden="false" customHeight="false" outlineLevel="0" collapsed="false">
      <c r="A117" s="2"/>
      <c r="B117" s="15" t="s">
        <v>355</v>
      </c>
      <c r="C117" s="46" t="n">
        <f aca="false">Setup!$D$11+SUM('Cash Flow'!$C$43:C$43)+SUM($C116:C116)</f>
        <v>271409.458128079</v>
      </c>
      <c r="D117" s="46" t="n">
        <f aca="false">Setup!$D$11+SUM('Cash Flow'!$C$43:D$43)+SUM($C116:D116)</f>
        <v>293852.676518883</v>
      </c>
      <c r="E117" s="46" t="n">
        <f aca="false">Setup!$D$11+SUM('Cash Flow'!$C$43:E$43)+SUM($C116:E116)</f>
        <v>221315.894909688</v>
      </c>
      <c r="F117" s="46" t="n">
        <f aca="false">Setup!$D$11+SUM('Cash Flow'!$C$43:F$43)+SUM($C116:F116)</f>
        <v>211279.113300493</v>
      </c>
      <c r="G117" s="46" t="n">
        <f aca="false">Setup!$D$11+SUM('Cash Flow'!$C$43:G$43)+SUM($C116:G116)</f>
        <v>216471.724137931</v>
      </c>
      <c r="H117" s="46" t="n">
        <f aca="false">Setup!$D$11+SUM('Cash Flow'!$C$43:H$43)+SUM($C116:H116)</f>
        <v>190568.091954023</v>
      </c>
      <c r="I117" s="46" t="n">
        <f aca="false">Setup!$D$11+SUM('Cash Flow'!$C$43:I$43)+SUM($C116:I116)</f>
        <v>158180.459770115</v>
      </c>
      <c r="J117" s="46" t="n">
        <f aca="false">Setup!$D$11+SUM('Cash Flow'!$C$43:J$43)+SUM($C116:J116)</f>
        <v>212346.16091954</v>
      </c>
      <c r="K117" s="46" t="n">
        <f aca="false">Setup!$D$11+SUM('Cash Flow'!$C$43:K$43)+SUM($C116:K116)</f>
        <v>44536</v>
      </c>
      <c r="L117" s="46" t="n">
        <f aca="false">Setup!$D$11+SUM('Cash Flow'!$C$43:L$43)+SUM($C116:L116)</f>
        <v>91610.6666666666</v>
      </c>
      <c r="M117" s="46" t="n">
        <f aca="false">Setup!$D$11+SUM('Cash Flow'!$C$43:M$43)+SUM($C116:M116)</f>
        <v>120425.333333333</v>
      </c>
      <c r="N117" s="46" t="n">
        <f aca="false">Setup!$D$11+SUM('Cash Flow'!$C$43:N$43)+SUM($C116:N116)</f>
        <v>132928</v>
      </c>
      <c r="O117" s="46" t="n">
        <f aca="false">Setup!$D$11+SUM('Cash Flow'!$C$43:O$43)+SUM($C116:O116)</f>
        <v>213050.666666667</v>
      </c>
      <c r="P117" s="2"/>
      <c r="Q117" s="2"/>
      <c r="R117" s="2"/>
      <c r="S117" s="2"/>
      <c r="T117" s="2"/>
      <c r="U117" s="2"/>
      <c r="V117" s="2"/>
      <c r="W117" s="2"/>
      <c r="X117" s="2"/>
    </row>
    <row r="118" customFormat="false" ht="15" hidden="false" customHeight="fals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row>
    <row r="119" customFormat="false" ht="15" hidden="false" customHeight="fals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row>
    <row r="120" customFormat="false" ht="15" hidden="false" customHeight="fals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row>
    <row r="121" customFormat="false" ht="15" hidden="false" customHeight="fals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row>
    <row r="122" customFormat="false" ht="15" hidden="false" customHeight="fals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row>
    <row r="123" customFormat="false" ht="15" hidden="false" customHeight="false" outlineLevel="0" collapsed="false">
      <c r="A123" s="2"/>
      <c r="B123" s="81" t="str">
        <f aca="false">"Scenario: "&amp;$X$10</f>
        <v>Scenario: Severe downturn</v>
      </c>
      <c r="C123" s="2"/>
      <c r="D123" s="2"/>
      <c r="E123" s="2"/>
      <c r="F123" s="2"/>
      <c r="G123" s="2"/>
      <c r="H123" s="2"/>
      <c r="I123" s="2"/>
      <c r="J123" s="2"/>
      <c r="K123" s="2"/>
      <c r="L123" s="2"/>
      <c r="M123" s="2"/>
      <c r="N123" s="2"/>
      <c r="O123" s="2"/>
      <c r="P123" s="2"/>
      <c r="Q123" s="2"/>
      <c r="R123" s="2"/>
      <c r="S123" s="2"/>
      <c r="T123" s="2"/>
      <c r="U123" s="2"/>
      <c r="V123" s="2"/>
      <c r="W123" s="2"/>
      <c r="X123" s="2"/>
    </row>
    <row r="124" customFormat="false" ht="15" hidden="false" customHeight="false" outlineLevel="0" collapsed="false">
      <c r="A124" s="2"/>
      <c r="B124" s="63" t="s">
        <v>345</v>
      </c>
      <c r="C124" s="82" t="n">
        <f aca="false">INT(MAX(0,N($X$12))/7)</f>
        <v>3</v>
      </c>
      <c r="D124" s="83" t="n">
        <f aca="false">MAX(0,N($X$12))/7-C124</f>
        <v>0</v>
      </c>
      <c r="E124" s="82" t="n">
        <f aca="false">INT(MAX(0,N($X$16))/7)</f>
        <v>1</v>
      </c>
      <c r="F124" s="83" t="n">
        <f aca="false">MAX(0,N($X$16))/7-E124</f>
        <v>0</v>
      </c>
      <c r="G124" s="2"/>
      <c r="H124" s="2"/>
      <c r="I124" s="2"/>
      <c r="J124" s="2"/>
      <c r="K124" s="2"/>
      <c r="L124" s="2"/>
      <c r="M124" s="2"/>
      <c r="N124" s="2"/>
      <c r="O124" s="2"/>
      <c r="P124" s="2"/>
      <c r="Q124" s="2"/>
      <c r="R124" s="2"/>
      <c r="S124" s="2"/>
      <c r="T124" s="2"/>
      <c r="U124" s="2"/>
      <c r="V124" s="2"/>
      <c r="W124" s="2"/>
      <c r="X124" s="2"/>
    </row>
    <row r="125" customFormat="false" ht="15" hidden="false" customHeight="false" outlineLevel="0" collapsed="false">
      <c r="A125" s="2"/>
      <c r="B125" s="63" t="s">
        <v>346</v>
      </c>
      <c r="C125" s="75" t="n">
        <f aca="false">((1-$D$124)*IF(1-$C$124&gt;=1,INDEX('Cash Flow'!$C$11:$O$11,1-$C$124),0)+$D$124*IF(1-$C$124-1&gt;=1,INDEX('Cash Flow'!$C$11:$O$11,1-$C$124-1),0))*(1-N($X$13))-'Cash Flow'!C$11</f>
        <v>-40369.4581280788</v>
      </c>
      <c r="D125" s="75" t="n">
        <f aca="false">((1-$D$124)*IF(2-$C$124&gt;=1,INDEX('Cash Flow'!$C$11:$O$11,2-$C$124),0)+$D$124*IF(2-$C$124-1&gt;=1,INDEX('Cash Flow'!$C$11:$O$11,2-$C$124-1),0))*(1-N($X$13))-'Cash Flow'!D$11</f>
        <v>-70646.5517241379</v>
      </c>
      <c r="E125" s="75" t="n">
        <f aca="false">((1-$D$124)*IF(3-$C$124&gt;=1,INDEX('Cash Flow'!$C$11:$O$11,3-$C$124),0)+$D$124*IF(3-$C$124-1&gt;=1,INDEX('Cash Flow'!$C$11:$O$11,3-$C$124-1),0))*(1-N($X$13))-'Cash Flow'!E$11</f>
        <v>-70646.5517241379</v>
      </c>
      <c r="F125" s="75" t="n">
        <f aca="false">((1-$D$124)*IF(4-$C$124&gt;=1,INDEX('Cash Flow'!$C$11:$O$11,4-$C$124),0)+$D$124*IF(4-$C$124-1&gt;=1,INDEX('Cash Flow'!$C$11:$O$11,4-$C$124-1),0))*(1-N($X$13))-'Cash Flow'!F$11</f>
        <v>-34314.039408867</v>
      </c>
      <c r="G125" s="75" t="n">
        <f aca="false">((1-$D$124)*IF(5-$C$124&gt;=1,INDEX('Cash Flow'!$C$11:$O$11,5-$C$124),0)+$D$124*IF(5-$C$124-1&gt;=1,INDEX('Cash Flow'!$C$11:$O$11,5-$C$124-1),0))*(1-N($X$13))-'Cash Flow'!G$11</f>
        <v>1005.9523809524</v>
      </c>
      <c r="H125" s="75" t="n">
        <f aca="false">((1-$D$124)*IF(6-$C$124&gt;=1,INDEX('Cash Flow'!$C$11:$O$11,6-$C$124),0)+$D$124*IF(6-$C$124-1&gt;=1,INDEX('Cash Flow'!$C$11:$O$11,6-$C$124-1),0))*(1-N($X$13))-'Cash Flow'!H$11</f>
        <v>-23515.8045977011</v>
      </c>
      <c r="I125" s="75" t="n">
        <f aca="false">((1-$D$124)*IF(7-$C$124&gt;=1,INDEX('Cash Flow'!$C$11:$O$11,7-$C$124),0)+$D$124*IF(7-$C$124-1&gt;=1,INDEX('Cash Flow'!$C$11:$O$11,7-$C$124-1),0))*(1-N($X$13))-'Cash Flow'!I$11</f>
        <v>-23515.8045977011</v>
      </c>
      <c r="J125" s="75" t="n">
        <f aca="false">((1-$D$124)*IF(8-$C$124&gt;=1,INDEX('Cash Flow'!$C$11:$O$11,8-$C$124),0)+$D$124*IF(8-$C$124-1&gt;=1,INDEX('Cash Flow'!$C$11:$O$11,8-$C$124-1),0))*(1-N($X$13))-'Cash Flow'!J$11</f>
        <v>-30779.3513957307</v>
      </c>
      <c r="K125" s="75" t="n">
        <f aca="false">((1-$D$124)*IF(9-$C$124&gt;=1,INDEX('Cash Flow'!$C$11:$O$11,9-$C$124),0)+$D$124*IF(9-$C$124-1&gt;=1,INDEX('Cash Flow'!$C$11:$O$11,9-$C$124-1),0))*(1-N($X$13))-'Cash Flow'!K$11</f>
        <v>-5433.90804597701</v>
      </c>
      <c r="L125" s="75" t="n">
        <f aca="false">((1-$D$124)*IF(10-$C$124&gt;=1,INDEX('Cash Flow'!$C$11:$O$11,10-$C$124),0)+$D$124*IF(10-$C$124-1&gt;=1,INDEX('Cash Flow'!$C$11:$O$11,10-$C$124-1),0))*(1-N($X$13))-'Cash Flow'!L$11</f>
        <v>49221.2643678161</v>
      </c>
      <c r="M125" s="75" t="n">
        <f aca="false">((1-$D$124)*IF(11-$C$124&gt;=1,INDEX('Cash Flow'!$C$11:$O$11,11-$C$124),0)+$D$124*IF(11-$C$124-1&gt;=1,INDEX('Cash Flow'!$C$11:$O$11,11-$C$124-1),0))*(1-N($X$13))-'Cash Flow'!M$11</f>
        <v>49221.2643678161</v>
      </c>
      <c r="N125" s="75" t="n">
        <f aca="false">((1-$D$124)*IF(12-$C$124&gt;=1,INDEX('Cash Flow'!$C$11:$O$11,12-$C$124),0)+$D$124*IF(12-$C$124-1&gt;=1,INDEX('Cash Flow'!$C$11:$O$11,12-$C$124-1),0))*(1-N($X$13))-'Cash Flow'!N$11</f>
        <v>46272.9885057471</v>
      </c>
      <c r="O125" s="75" t="n">
        <f aca="false">((1-$D$124)*IF(13-$C$124&gt;=1,INDEX('Cash Flow'!$C$11:$O$11,13-$C$124),0)+$D$124*IF(13-$C$124-1&gt;=1,INDEX('Cash Flow'!$C$11:$O$11,13-$C$124-1),0))*(1-N($X$13))-'Cash Flow'!O$11</f>
        <v>-2916.66666666667</v>
      </c>
      <c r="P125" s="75" t="n">
        <f aca="false">SUM(C125:O125)</f>
        <v>-156416.666666667</v>
      </c>
      <c r="Q125" s="2"/>
      <c r="R125" s="2"/>
      <c r="S125" s="2"/>
      <c r="T125" s="2"/>
      <c r="U125" s="2"/>
      <c r="V125" s="2"/>
      <c r="W125" s="2"/>
      <c r="X125" s="2"/>
    </row>
    <row r="126" customFormat="false" ht="15" hidden="false" customHeight="false" outlineLevel="0" collapsed="false">
      <c r="A126" s="2"/>
      <c r="B126" s="63" t="s">
        <v>347</v>
      </c>
      <c r="C126" s="75" t="n">
        <f aca="false">(1+N($X$11))*(((1-$D$124)*IF(1-$C$124&gt;=1,INDEX('Cash Flow'!$C$12:$O$12,1-$C$124),0)+$D$124*IF(1-$C$124-1&gt;=1,INDEX('Cash Flow'!$C$12:$O$12,1-$C$124-1),0))-((1-$D$124)*IF(1-$C$124&gt;=1,INDEX(Sales!$J$48:$V$48,1-$C$124),0)+$D$124*IF(1-$C$124-1&gt;=1,INDEX(Sales!$J$48:$V$48,1-$C$124-1),0)))-('Cash Flow'!C$12-INDEX(Sales!$J$48:$V$48,1))</f>
        <v>0</v>
      </c>
      <c r="D126" s="75" t="n">
        <f aca="false">(1+N($X$11))*(((1-$D$124)*IF(2-$C$124&gt;=1,INDEX('Cash Flow'!$C$12:$O$12,2-$C$124),0)+$D$124*IF(2-$C$124-1&gt;=1,INDEX('Cash Flow'!$C$12:$O$12,2-$C$124-1),0))-((1-$D$124)*IF(2-$C$124&gt;=1,INDEX(Sales!$J$48:$V$48,2-$C$124),0)+$D$124*IF(2-$C$124-1&gt;=1,INDEX(Sales!$J$48:$V$48,2-$C$124-1),0)))-('Cash Flow'!D$12-INDEX(Sales!$J$48:$V$48,2))</f>
        <v>0</v>
      </c>
      <c r="E126" s="75" t="n">
        <f aca="false">(1+N($X$11))*(((1-$D$124)*IF(3-$C$124&gt;=1,INDEX('Cash Flow'!$C$12:$O$12,3-$C$124),0)+$D$124*IF(3-$C$124-1&gt;=1,INDEX('Cash Flow'!$C$12:$O$12,3-$C$124-1),0))-((1-$D$124)*IF(3-$C$124&gt;=1,INDEX(Sales!$J$48:$V$48,3-$C$124),0)+$D$124*IF(3-$C$124-1&gt;=1,INDEX(Sales!$J$48:$V$48,3-$C$124-1),0)))-('Cash Flow'!E$12-INDEX(Sales!$J$48:$V$48,3))</f>
        <v>0</v>
      </c>
      <c r="F126" s="75" t="n">
        <f aca="false">(1+N($X$11))*(((1-$D$124)*IF(4-$C$124&gt;=1,INDEX('Cash Flow'!$C$12:$O$12,4-$C$124),0)+$D$124*IF(4-$C$124-1&gt;=1,INDEX('Cash Flow'!$C$12:$O$12,4-$C$124-1),0))-((1-$D$124)*IF(4-$C$124&gt;=1,INDEX(Sales!$J$48:$V$48,4-$C$124),0)+$D$124*IF(4-$C$124-1&gt;=1,INDEX(Sales!$J$48:$V$48,4-$C$124-1),0)))-('Cash Flow'!F$12-INDEX(Sales!$J$48:$V$48,4))</f>
        <v>0</v>
      </c>
      <c r="G126" s="75" t="n">
        <f aca="false">(1+N($X$11))*(((1-$D$124)*IF(5-$C$124&gt;=1,INDEX('Cash Flow'!$C$12:$O$12,5-$C$124),0)+$D$124*IF(5-$C$124-1&gt;=1,INDEX('Cash Flow'!$C$12:$O$12,5-$C$124-1),0))-((1-$D$124)*IF(5-$C$124&gt;=1,INDEX(Sales!$J$48:$V$48,5-$C$124),0)+$D$124*IF(5-$C$124-1&gt;=1,INDEX(Sales!$J$48:$V$48,5-$C$124-1),0)))-('Cash Flow'!G$12-INDEX(Sales!$J$48:$V$48,5))</f>
        <v>0</v>
      </c>
      <c r="H126" s="75" t="n">
        <f aca="false">(1+N($X$11))*(((1-$D$124)*IF(6-$C$124&gt;=1,INDEX('Cash Flow'!$C$12:$O$12,6-$C$124),0)+$D$124*IF(6-$C$124-1&gt;=1,INDEX('Cash Flow'!$C$12:$O$12,6-$C$124-1),0))-((1-$D$124)*IF(6-$C$124&gt;=1,INDEX(Sales!$J$48:$V$48,6-$C$124),0)+$D$124*IF(6-$C$124-1&gt;=1,INDEX(Sales!$J$48:$V$48,6-$C$124-1),0)))-('Cash Flow'!H$12-INDEX(Sales!$J$48:$V$48,6))</f>
        <v>0</v>
      </c>
      <c r="I126" s="75" t="n">
        <f aca="false">(1+N($X$11))*(((1-$D$124)*IF(7-$C$124&gt;=1,INDEX('Cash Flow'!$C$12:$O$12,7-$C$124),0)+$D$124*IF(7-$C$124-1&gt;=1,INDEX('Cash Flow'!$C$12:$O$12,7-$C$124-1),0))-((1-$D$124)*IF(7-$C$124&gt;=1,INDEX(Sales!$J$48:$V$48,7-$C$124),0)+$D$124*IF(7-$C$124-1&gt;=1,INDEX(Sales!$J$48:$V$48,7-$C$124-1),0)))-('Cash Flow'!I$12-INDEX(Sales!$J$48:$V$48,7))</f>
        <v>0</v>
      </c>
      <c r="J126" s="75" t="n">
        <f aca="false">(1+N($X$11))*(((1-$D$124)*IF(8-$C$124&gt;=1,INDEX('Cash Flow'!$C$12:$O$12,8-$C$124),0)+$D$124*IF(8-$C$124-1&gt;=1,INDEX('Cash Flow'!$C$12:$O$12,8-$C$124-1),0))-((1-$D$124)*IF(8-$C$124&gt;=1,INDEX(Sales!$J$48:$V$48,8-$C$124),0)+$D$124*IF(8-$C$124-1&gt;=1,INDEX(Sales!$J$48:$V$48,8-$C$124-1),0)))-('Cash Flow'!J$12-INDEX(Sales!$J$48:$V$48,8))</f>
        <v>-26400</v>
      </c>
      <c r="K126" s="75" t="n">
        <f aca="false">(1+N($X$11))*(((1-$D$124)*IF(9-$C$124&gt;=1,INDEX('Cash Flow'!$C$12:$O$12,9-$C$124),0)+$D$124*IF(9-$C$124-1&gt;=1,INDEX('Cash Flow'!$C$12:$O$12,9-$C$124-1),0))-((1-$D$124)*IF(9-$C$124&gt;=1,INDEX(Sales!$J$48:$V$48,9-$C$124),0)+$D$124*IF(9-$C$124-1&gt;=1,INDEX(Sales!$J$48:$V$48,9-$C$124-1),0)))-('Cash Flow'!K$12-INDEX(Sales!$J$48:$V$48,9))</f>
        <v>-26400</v>
      </c>
      <c r="L126" s="75" t="n">
        <f aca="false">(1+N($X$11))*(((1-$D$124)*IF(10-$C$124&gt;=1,INDEX('Cash Flow'!$C$12:$O$12,10-$C$124),0)+$D$124*IF(10-$C$124-1&gt;=1,INDEX('Cash Flow'!$C$12:$O$12,10-$C$124-1),0))-((1-$D$124)*IF(10-$C$124&gt;=1,INDEX(Sales!$J$48:$V$48,10-$C$124),0)+$D$124*IF(10-$C$124-1&gt;=1,INDEX(Sales!$J$48:$V$48,10-$C$124-1),0)))-('Cash Flow'!L$12-INDEX(Sales!$J$48:$V$48,10))</f>
        <v>-92400</v>
      </c>
      <c r="M126" s="75" t="n">
        <f aca="false">(1+N($X$11))*(((1-$D$124)*IF(11-$C$124&gt;=1,INDEX('Cash Flow'!$C$12:$O$12,11-$C$124),0)+$D$124*IF(11-$C$124-1&gt;=1,INDEX('Cash Flow'!$C$12:$O$12,11-$C$124-1),0))-((1-$D$124)*IF(11-$C$124&gt;=1,INDEX(Sales!$J$48:$V$48,11-$C$124),0)+$D$124*IF(11-$C$124-1&gt;=1,INDEX(Sales!$J$48:$V$48,11-$C$124-1),0)))-('Cash Flow'!M$12-INDEX(Sales!$J$48:$V$48,11))</f>
        <v>-72600</v>
      </c>
      <c r="N126" s="75" t="n">
        <f aca="false">(1+N($X$11))*(((1-$D$124)*IF(12-$C$124&gt;=1,INDEX('Cash Flow'!$C$12:$O$12,12-$C$124),0)+$D$124*IF(12-$C$124-1&gt;=1,INDEX('Cash Flow'!$C$12:$O$12,12-$C$124-1),0))-((1-$D$124)*IF(12-$C$124&gt;=1,INDEX(Sales!$J$48:$V$48,12-$C$124),0)+$D$124*IF(12-$C$124-1&gt;=1,INDEX(Sales!$J$48:$V$48,12-$C$124-1),0)))-('Cash Flow'!N$12-INDEX(Sales!$J$48:$V$48,12))</f>
        <v>-72600</v>
      </c>
      <c r="O126" s="75" t="n">
        <f aca="false">(1+N($X$11))*(((1-$D$124)*IF(13-$C$124&gt;=1,INDEX('Cash Flow'!$C$12:$O$12,13-$C$124),0)+$D$124*IF(13-$C$124-1&gt;=1,INDEX('Cash Flow'!$C$12:$O$12,13-$C$124-1),0))-((1-$D$124)*IF(13-$C$124&gt;=1,INDEX(Sales!$J$48:$V$48,13-$C$124),0)+$D$124*IF(13-$C$124-1&gt;=1,INDEX(Sales!$J$48:$V$48,13-$C$124-1),0)))-('Cash Flow'!O$12-INDEX(Sales!$J$48:$V$48,13))</f>
        <v>-23100</v>
      </c>
      <c r="P126" s="75" t="n">
        <f aca="false">SUM(C126:O126)</f>
        <v>-313500</v>
      </c>
      <c r="Q126" s="2"/>
      <c r="R126" s="2"/>
      <c r="S126" s="2"/>
      <c r="T126" s="2"/>
      <c r="U126" s="2"/>
      <c r="V126" s="2"/>
      <c r="W126" s="2"/>
      <c r="X126" s="2"/>
    </row>
    <row r="127" customFormat="false" ht="15" hidden="false" customHeight="false" outlineLevel="0" collapsed="false">
      <c r="A127" s="2"/>
      <c r="B127" s="63" t="s">
        <v>348</v>
      </c>
      <c r="C127" s="75" t="n">
        <f aca="false">N($X$11)*INDEX(Sales!$J$48:$V$48,1)</f>
        <v>-0</v>
      </c>
      <c r="D127" s="75" t="n">
        <f aca="false">N($X$11)*INDEX(Sales!$J$48:$V$48,2)</f>
        <v>-0</v>
      </c>
      <c r="E127" s="75" t="n">
        <f aca="false">N($X$11)*INDEX(Sales!$J$48:$V$48,3)</f>
        <v>-0</v>
      </c>
      <c r="F127" s="75" t="n">
        <f aca="false">N($X$11)*INDEX(Sales!$J$48:$V$48,4)</f>
        <v>-0</v>
      </c>
      <c r="G127" s="75" t="n">
        <f aca="false">N($X$11)*INDEX(Sales!$J$48:$V$48,5)</f>
        <v>-0</v>
      </c>
      <c r="H127" s="75" t="n">
        <f aca="false">N($X$11)*INDEX(Sales!$J$48:$V$48,6)</f>
        <v>-0</v>
      </c>
      <c r="I127" s="75" t="n">
        <f aca="false">N($X$11)*INDEX(Sales!$J$48:$V$48,7)</f>
        <v>-0</v>
      </c>
      <c r="J127" s="75" t="n">
        <f aca="false">N($X$11)*INDEX(Sales!$J$48:$V$48,8)</f>
        <v>-0</v>
      </c>
      <c r="K127" s="75" t="n">
        <f aca="false">N($X$11)*INDEX(Sales!$J$48:$V$48,9)</f>
        <v>-0</v>
      </c>
      <c r="L127" s="75" t="n">
        <f aca="false">N($X$11)*INDEX(Sales!$J$48:$V$48,10)</f>
        <v>-0</v>
      </c>
      <c r="M127" s="75" t="n">
        <f aca="false">N($X$11)*INDEX(Sales!$J$48:$V$48,11)</f>
        <v>-0</v>
      </c>
      <c r="N127" s="75" t="n">
        <f aca="false">N($X$11)*INDEX(Sales!$J$48:$V$48,12)</f>
        <v>-0</v>
      </c>
      <c r="O127" s="75" t="n">
        <f aca="false">N($X$11)*INDEX(Sales!$J$48:$V$48,13)</f>
        <v>-0</v>
      </c>
      <c r="P127" s="75" t="n">
        <f aca="false">SUM(C127:O127)</f>
        <v>0</v>
      </c>
      <c r="Q127" s="2"/>
      <c r="R127" s="2"/>
      <c r="S127" s="2"/>
      <c r="T127" s="2"/>
      <c r="U127" s="2"/>
      <c r="V127" s="2"/>
      <c r="W127" s="2"/>
      <c r="X127" s="2"/>
    </row>
    <row r="128" customFormat="false" ht="15" hidden="false" customHeight="false" outlineLevel="0" collapsed="false">
      <c r="A128" s="2"/>
      <c r="B128" s="63" t="s">
        <v>349</v>
      </c>
      <c r="C128" s="75" t="n">
        <f aca="false">((1-$F$124)*IF(1+$E$124&lt;=13,INDEX('Cash Flow'!$C$17:$O$17,1+$E$124),0)+$F$124*IF(1+$E$124+1&lt;=13,INDEX('Cash Flow'!$C$17:$O$17,1+$E$124+1),0))-'Cash Flow'!C$17</f>
        <v>17583.3333333333</v>
      </c>
      <c r="D128" s="75" t="n">
        <f aca="false">((1-$F$124)*IF(2+$E$124&lt;=13,INDEX('Cash Flow'!$C$17:$O$17,2+$E$124),0)+$F$124*IF(2+$E$124+1&lt;=13,INDEX('Cash Flow'!$C$17:$O$17,2+$E$124+1),0))-'Cash Flow'!D$17</f>
        <v>38000</v>
      </c>
      <c r="E128" s="75" t="n">
        <f aca="false">((1-$F$124)*IF(3+$E$124&lt;=13,INDEX('Cash Flow'!$C$17:$O$17,3+$E$124),0)+$F$124*IF(3+$E$124+1&lt;=13,INDEX('Cash Flow'!$C$17:$O$17,3+$E$124+1),0))-'Cash Flow'!E$17</f>
        <v>0</v>
      </c>
      <c r="F128" s="75" t="n">
        <f aca="false">((1-$F$124)*IF(4+$E$124&lt;=13,INDEX('Cash Flow'!$C$17:$O$17,4+$E$124),0)+$F$124*IF(4+$E$124+1&lt;=13,INDEX('Cash Flow'!$C$17:$O$17,4+$E$124+1),0))-'Cash Flow'!F$17</f>
        <v>-15000</v>
      </c>
      <c r="G128" s="75" t="n">
        <f aca="false">((1-$F$124)*IF(5+$E$124&lt;=13,INDEX('Cash Flow'!$C$17:$O$17,5+$E$124),0)+$F$124*IF(5+$E$124+1&lt;=13,INDEX('Cash Flow'!$C$17:$O$17,5+$E$124+1),0))-'Cash Flow'!G$17</f>
        <v>-11250</v>
      </c>
      <c r="H128" s="75" t="n">
        <f aca="false">((1-$F$124)*IF(6+$E$124&lt;=13,INDEX('Cash Flow'!$C$17:$O$17,6+$E$124),0)+$F$124*IF(6+$E$124+1&lt;=13,INDEX('Cash Flow'!$C$17:$O$17,6+$E$124+1),0))-'Cash Flow'!H$17</f>
        <v>-38000</v>
      </c>
      <c r="I128" s="75" t="n">
        <f aca="false">((1-$F$124)*IF(7+$E$124&lt;=13,INDEX('Cash Flow'!$C$17:$O$17,7+$E$124),0)+$F$124*IF(7+$E$124+1&lt;=13,INDEX('Cash Flow'!$C$17:$O$17,7+$E$124+1),0))-'Cash Flow'!I$17</f>
        <v>-6333.33333333333</v>
      </c>
      <c r="J128" s="75" t="n">
        <f aca="false">((1-$F$124)*IF(8+$E$124&lt;=13,INDEX('Cash Flow'!$C$17:$O$17,8+$E$124),0)+$F$124*IF(8+$E$124+1&lt;=13,INDEX('Cash Flow'!$C$17:$O$17,8+$E$124+1),0))-'Cash Flow'!J$17</f>
        <v>66000</v>
      </c>
      <c r="K128" s="75" t="n">
        <f aca="false">((1-$F$124)*IF(9+$E$124&lt;=13,INDEX('Cash Flow'!$C$17:$O$17,9+$E$124),0)+$F$124*IF(9+$E$124+1&lt;=13,INDEX('Cash Flow'!$C$17:$O$17,9+$E$124+1),0))-'Cash Flow'!K$17</f>
        <v>-66000</v>
      </c>
      <c r="L128" s="75" t="n">
        <f aca="false">((1-$F$124)*IF(10+$E$124&lt;=13,INDEX('Cash Flow'!$C$17:$O$17,10+$E$124),0)+$F$124*IF(10+$E$124+1&lt;=13,INDEX('Cash Flow'!$C$17:$O$17,10+$E$124+1),0))-'Cash Flow'!L$17</f>
        <v>0</v>
      </c>
      <c r="M128" s="75" t="n">
        <f aca="false">((1-$F$124)*IF(11+$E$124&lt;=13,INDEX('Cash Flow'!$C$17:$O$17,11+$E$124),0)+$F$124*IF(11+$E$124+1&lt;=13,INDEX('Cash Flow'!$C$17:$O$17,11+$E$124+1),0))-'Cash Flow'!M$17</f>
        <v>0</v>
      </c>
      <c r="N128" s="75" t="n">
        <f aca="false">((1-$F$124)*IF(12+$E$124&lt;=13,INDEX('Cash Flow'!$C$17:$O$17,12+$E$124),0)+$F$124*IF(12+$E$124+1&lt;=13,INDEX('Cash Flow'!$C$17:$O$17,12+$E$124+1),0))-'Cash Flow'!N$17</f>
        <v>0</v>
      </c>
      <c r="O128" s="75" t="n">
        <f aca="false">((1-$F$124)*IF(13+$E$124&lt;=13,INDEX('Cash Flow'!$C$17:$O$17,13+$E$124),0)+$F$124*IF(13+$E$124+1&lt;=13,INDEX('Cash Flow'!$C$17:$O$17,13+$E$124+1),0))-'Cash Flow'!O$17</f>
        <v>0</v>
      </c>
      <c r="P128" s="75" t="n">
        <f aca="false">SUM(C128:O128)</f>
        <v>-15000</v>
      </c>
      <c r="Q128" s="2"/>
      <c r="R128" s="2"/>
      <c r="S128" s="2"/>
      <c r="T128" s="2"/>
      <c r="U128" s="2"/>
      <c r="V128" s="2"/>
      <c r="W128" s="2"/>
      <c r="X128" s="2"/>
    </row>
    <row r="129" customFormat="false" ht="15" hidden="false" customHeight="false" outlineLevel="0" collapsed="false">
      <c r="A129" s="2"/>
      <c r="B129" s="63" t="s">
        <v>350</v>
      </c>
      <c r="C129" s="75" t="n">
        <f aca="false">(1+N($X$14))*(((1-$F$124)*IF(1+$E$124&lt;=13,INDEX('Cash Flow'!$C$18:$O$18,1+$E$124),0)+$F$124*IF(1+$E$124+1&lt;=13,INDEX('Cash Flow'!$C$18:$O$18,1+$E$124+1),0))+N($X$11)*((1-$F$124)*IF(1+$E$124&lt;=13,INDEX('Direct Costs'!$J$62:$V$62,1+$E$124),0)+$F$124*IF(1+$E$124+1&lt;=13,INDEX('Direct Costs'!$J$62:$V$62,1+$E$124+1),0)))-'Cash Flow'!C$18</f>
        <v>0</v>
      </c>
      <c r="D129" s="75" t="n">
        <f aca="false">(1+N($X$14))*(((1-$F$124)*IF(2+$E$124&lt;=13,INDEX('Cash Flow'!$C$18:$O$18,2+$E$124),0)+$F$124*IF(2+$E$124+1&lt;=13,INDEX('Cash Flow'!$C$18:$O$18,2+$E$124+1),0))+N($X$11)*((1-$F$124)*IF(2+$E$124&lt;=13,INDEX('Direct Costs'!$J$62:$V$62,2+$E$124),0)+$F$124*IF(2+$E$124+1&lt;=13,INDEX('Direct Costs'!$J$62:$V$62,2+$E$124+1),0)))-'Cash Flow'!D$18</f>
        <v>0</v>
      </c>
      <c r="E129" s="75" t="n">
        <f aca="false">(1+N($X$14))*(((1-$F$124)*IF(3+$E$124&lt;=13,INDEX('Cash Flow'!$C$18:$O$18,3+$E$124),0)+$F$124*IF(3+$E$124+1&lt;=13,INDEX('Cash Flow'!$C$18:$O$18,3+$E$124+1),0))+N($X$11)*((1-$F$124)*IF(3+$E$124&lt;=13,INDEX('Direct Costs'!$J$62:$V$62,3+$E$124),0)+$F$124*IF(3+$E$124+1&lt;=13,INDEX('Direct Costs'!$J$62:$V$62,3+$E$124+1),0)))-'Cash Flow'!E$18</f>
        <v>0</v>
      </c>
      <c r="F129" s="75" t="n">
        <f aca="false">(1+N($X$14))*(((1-$F$124)*IF(4+$E$124&lt;=13,INDEX('Cash Flow'!$C$18:$O$18,4+$E$124),0)+$F$124*IF(4+$E$124+1&lt;=13,INDEX('Cash Flow'!$C$18:$O$18,4+$E$124+1),0))+N($X$11)*((1-$F$124)*IF(4+$E$124&lt;=13,INDEX('Direct Costs'!$J$62:$V$62,4+$E$124),0)+$F$124*IF(4+$E$124+1&lt;=13,INDEX('Direct Costs'!$J$62:$V$62,4+$E$124+1),0)))-'Cash Flow'!F$18</f>
        <v>0</v>
      </c>
      <c r="G129" s="75" t="n">
        <f aca="false">(1+N($X$14))*(((1-$F$124)*IF(5+$E$124&lt;=13,INDEX('Cash Flow'!$C$18:$O$18,5+$E$124),0)+$F$124*IF(5+$E$124+1&lt;=13,INDEX('Cash Flow'!$C$18:$O$18,5+$E$124+1),0))+N($X$11)*((1-$F$124)*IF(5+$E$124&lt;=13,INDEX('Direct Costs'!$J$62:$V$62,5+$E$124),0)+$F$124*IF(5+$E$124+1&lt;=13,INDEX('Direct Costs'!$J$62:$V$62,5+$E$124+1),0)))-'Cash Flow'!G$18</f>
        <v>10914.75</v>
      </c>
      <c r="H129" s="75" t="n">
        <f aca="false">(1+N($X$14))*(((1-$F$124)*IF(6+$E$124&lt;=13,INDEX('Cash Flow'!$C$18:$O$18,6+$E$124),0)+$F$124*IF(6+$E$124+1&lt;=13,INDEX('Cash Flow'!$C$18:$O$18,6+$E$124+1),0))+N($X$11)*((1-$F$124)*IF(6+$E$124&lt;=13,INDEX('Direct Costs'!$J$62:$V$62,6+$E$124),0)+$F$124*IF(6+$E$124+1&lt;=13,INDEX('Direct Costs'!$J$62:$V$62,6+$E$124+1),0)))-'Cash Flow'!H$18</f>
        <v>29799</v>
      </c>
      <c r="I129" s="75" t="n">
        <f aca="false">(1+N($X$14))*(((1-$F$124)*IF(7+$E$124&lt;=13,INDEX('Cash Flow'!$C$18:$O$18,7+$E$124),0)+$F$124*IF(7+$E$124+1&lt;=13,INDEX('Cash Flow'!$C$18:$O$18,7+$E$124+1),0))+N($X$11)*((1-$F$124)*IF(7+$E$124&lt;=13,INDEX('Direct Costs'!$J$62:$V$62,7+$E$124),0)+$F$124*IF(7+$E$124+1&lt;=13,INDEX('Direct Costs'!$J$62:$V$62,7+$E$124+1),0)))-'Cash Flow'!I$18</f>
        <v>-11781</v>
      </c>
      <c r="J129" s="75" t="n">
        <f aca="false">(1+N($X$14))*(((1-$F$124)*IF(8+$E$124&lt;=13,INDEX('Cash Flow'!$C$18:$O$18,8+$E$124),0)+$F$124*IF(8+$E$124+1&lt;=13,INDEX('Cash Flow'!$C$18:$O$18,8+$E$124+1),0))+N($X$11)*((1-$F$124)*IF(8+$E$124&lt;=13,INDEX('Direct Costs'!$J$62:$V$62,8+$E$124),0)+$F$124*IF(8+$E$124+1&lt;=13,INDEX('Direct Costs'!$J$62:$V$62,8+$E$124+1),0)))-'Cash Flow'!J$18</f>
        <v>-11781</v>
      </c>
      <c r="K129" s="75" t="n">
        <f aca="false">(1+N($X$14))*(((1-$F$124)*IF(9+$E$124&lt;=13,INDEX('Cash Flow'!$C$18:$O$18,9+$E$124),0)+$F$124*IF(9+$E$124+1&lt;=13,INDEX('Cash Flow'!$C$18:$O$18,9+$E$124+1),0))+N($X$11)*((1-$F$124)*IF(9+$E$124&lt;=13,INDEX('Direct Costs'!$J$62:$V$62,9+$E$124),0)+$F$124*IF(9+$E$124+1&lt;=13,INDEX('Direct Costs'!$J$62:$V$62,9+$E$124+1),0)))-'Cash Flow'!K$18</f>
        <v>-11781</v>
      </c>
      <c r="L129" s="75" t="n">
        <f aca="false">(1+N($X$14))*(((1-$F$124)*IF(10+$E$124&lt;=13,INDEX('Cash Flow'!$C$18:$O$18,10+$E$124),0)+$F$124*IF(10+$E$124+1&lt;=13,INDEX('Cash Flow'!$C$18:$O$18,10+$E$124+1),0))+N($X$11)*((1-$F$124)*IF(10+$E$124&lt;=13,INDEX('Direct Costs'!$J$62:$V$62,10+$E$124),0)+$F$124*IF(10+$E$124+1&lt;=13,INDEX('Direct Costs'!$J$62:$V$62,10+$E$124+1),0)))-'Cash Flow'!L$18</f>
        <v>-11781</v>
      </c>
      <c r="M129" s="75" t="n">
        <f aca="false">(1+N($X$14))*(((1-$F$124)*IF(11+$E$124&lt;=13,INDEX('Cash Flow'!$C$18:$O$18,11+$E$124),0)+$F$124*IF(11+$E$124+1&lt;=13,INDEX('Cash Flow'!$C$18:$O$18,11+$E$124+1),0))+N($X$11)*((1-$F$124)*IF(11+$E$124&lt;=13,INDEX('Direct Costs'!$J$62:$V$62,11+$E$124),0)+$F$124*IF(11+$E$124+1&lt;=13,INDEX('Direct Costs'!$J$62:$V$62,11+$E$124+1),0)))-'Cash Flow'!M$18</f>
        <v>-18443.25</v>
      </c>
      <c r="N129" s="75" t="n">
        <f aca="false">(1+N($X$14))*(((1-$F$124)*IF(12+$E$124&lt;=13,INDEX('Cash Flow'!$C$18:$O$18,12+$E$124),0)+$F$124*IF(12+$E$124+1&lt;=13,INDEX('Cash Flow'!$C$18:$O$18,12+$E$124+1),0))+N($X$11)*((1-$F$124)*IF(12+$E$124&lt;=13,INDEX('Direct Costs'!$J$62:$V$62,12+$E$124),0)+$F$124*IF(12+$E$124+1&lt;=13,INDEX('Direct Costs'!$J$62:$V$62,12+$E$124+1),0)))-'Cash Flow'!N$18</f>
        <v>-31954.5</v>
      </c>
      <c r="O129" s="75" t="n">
        <f aca="false">(1+N($X$14))*(((1-$F$124)*IF(13+$E$124&lt;=13,INDEX('Cash Flow'!$C$18:$O$18,13+$E$124),0)+$F$124*IF(13+$E$124+1&lt;=13,INDEX('Cash Flow'!$C$18:$O$18,13+$E$124+1),0))+N($X$11)*((1-$F$124)*IF(13+$E$124&lt;=13,INDEX('Direct Costs'!$J$62:$V$62,13+$E$124),0)+$F$124*IF(13+$E$124+1&lt;=13,INDEX('Direct Costs'!$J$62:$V$62,13+$E$124+1),0)))-'Cash Flow'!O$18</f>
        <v>-19080</v>
      </c>
      <c r="P129" s="75" t="n">
        <f aca="false">SUM(C129:O129)</f>
        <v>-75888</v>
      </c>
      <c r="Q129" s="2"/>
      <c r="R129" s="2"/>
      <c r="S129" s="2"/>
      <c r="T129" s="2"/>
      <c r="U129" s="2"/>
      <c r="V129" s="2"/>
      <c r="W129" s="2"/>
      <c r="X129" s="2"/>
    </row>
    <row r="130" customFormat="false" ht="15" hidden="false" customHeight="false" outlineLevel="0" collapsed="false">
      <c r="A130" s="2"/>
      <c r="B130" s="63" t="s">
        <v>351</v>
      </c>
      <c r="C130" s="75" t="n">
        <f aca="false">N($X$14)*SUM('Cash Flow'!C$19:C$28)</f>
        <v>198</v>
      </c>
      <c r="D130" s="75" t="n">
        <f aca="false">N($X$14)*SUM('Cash Flow'!D$19:D$28)</f>
        <v>571</v>
      </c>
      <c r="E130" s="75" t="n">
        <f aca="false">N($X$14)*SUM('Cash Flow'!E$19:E$28)</f>
        <v>180</v>
      </c>
      <c r="F130" s="75" t="n">
        <f aca="false">N($X$14)*SUM('Cash Flow'!F$19:F$28)</f>
        <v>355</v>
      </c>
      <c r="G130" s="75" t="n">
        <f aca="false">N($X$14)*SUM('Cash Flow'!G$19:G$28)</f>
        <v>90</v>
      </c>
      <c r="H130" s="75" t="n">
        <f aca="false">N($X$14)*SUM('Cash Flow'!H$19:H$28)</f>
        <v>319</v>
      </c>
      <c r="I130" s="75" t="n">
        <f aca="false">N($X$14)*SUM('Cash Flow'!I$19:I$28)</f>
        <v>2340</v>
      </c>
      <c r="J130" s="75" t="n">
        <f aca="false">N($X$14)*SUM('Cash Flow'!J$19:J$28)</f>
        <v>335</v>
      </c>
      <c r="K130" s="75" t="n">
        <f aca="false">N($X$14)*SUM('Cash Flow'!K$19:K$28)</f>
        <v>20</v>
      </c>
      <c r="L130" s="75" t="n">
        <f aca="false">N($X$14)*SUM('Cash Flow'!L$19:L$28)</f>
        <v>373</v>
      </c>
      <c r="M130" s="75" t="n">
        <f aca="false">N($X$14)*SUM('Cash Flow'!M$19:M$28)</f>
        <v>396</v>
      </c>
      <c r="N130" s="75" t="n">
        <f aca="false">N($X$14)*SUM('Cash Flow'!N$19:N$28)</f>
        <v>300</v>
      </c>
      <c r="O130" s="75" t="n">
        <f aca="false">N($X$14)*SUM('Cash Flow'!O$19:O$28)</f>
        <v>235</v>
      </c>
      <c r="P130" s="75" t="n">
        <f aca="false">SUM(C130:O130)</f>
        <v>5712</v>
      </c>
      <c r="Q130" s="2"/>
      <c r="R130" s="2"/>
      <c r="S130" s="2"/>
      <c r="T130" s="2"/>
      <c r="U130" s="2"/>
      <c r="V130" s="2"/>
      <c r="W130" s="2"/>
      <c r="X130" s="2"/>
    </row>
    <row r="131" customFormat="false" ht="15" hidden="false" customHeight="false" outlineLevel="0" collapsed="false">
      <c r="A131" s="2"/>
      <c r="B131" s="63" t="s">
        <v>352</v>
      </c>
      <c r="C131" s="75" t="n">
        <f aca="false">N($X$15)*SUM('Cash Flow'!C$29:C$31)</f>
        <v>0</v>
      </c>
      <c r="D131" s="75" t="n">
        <f aca="false">N($X$15)*SUM('Cash Flow'!D$29:D$31)</f>
        <v>0</v>
      </c>
      <c r="E131" s="75" t="n">
        <f aca="false">N($X$15)*SUM('Cash Flow'!E$29:E$31)</f>
        <v>0</v>
      </c>
      <c r="F131" s="75" t="n">
        <f aca="false">N($X$15)*SUM('Cash Flow'!F$29:F$31)</f>
        <v>0</v>
      </c>
      <c r="G131" s="75" t="n">
        <f aca="false">N($X$15)*SUM('Cash Flow'!G$29:G$31)</f>
        <v>0</v>
      </c>
      <c r="H131" s="75" t="n">
        <f aca="false">N($X$15)*SUM('Cash Flow'!H$29:H$31)</f>
        <v>0</v>
      </c>
      <c r="I131" s="75" t="n">
        <f aca="false">N($X$15)*SUM('Cash Flow'!I$29:I$31)</f>
        <v>0</v>
      </c>
      <c r="J131" s="75" t="n">
        <f aca="false">N($X$15)*SUM('Cash Flow'!J$29:J$31)</f>
        <v>0</v>
      </c>
      <c r="K131" s="75" t="n">
        <f aca="false">N($X$15)*SUM('Cash Flow'!K$29:K$31)</f>
        <v>0</v>
      </c>
      <c r="L131" s="75" t="n">
        <f aca="false">N($X$15)*SUM('Cash Flow'!L$29:L$31)</f>
        <v>0</v>
      </c>
      <c r="M131" s="75" t="n">
        <f aca="false">N($X$15)*SUM('Cash Flow'!M$29:M$31)</f>
        <v>0</v>
      </c>
      <c r="N131" s="75" t="n">
        <f aca="false">N($X$15)*SUM('Cash Flow'!N$29:N$31)</f>
        <v>0</v>
      </c>
      <c r="O131" s="75" t="n">
        <f aca="false">N($X$15)*SUM('Cash Flow'!O$29:O$31)</f>
        <v>0</v>
      </c>
      <c r="P131" s="75" t="n">
        <f aca="false">SUM(C131:O131)</f>
        <v>0</v>
      </c>
      <c r="Q131" s="2"/>
      <c r="R131" s="2"/>
      <c r="S131" s="2"/>
      <c r="T131" s="2"/>
      <c r="U131" s="2"/>
      <c r="V131" s="2"/>
      <c r="W131" s="2"/>
      <c r="X131" s="2"/>
    </row>
    <row r="132" customFormat="false" ht="15" hidden="false" customHeight="false" outlineLevel="0" collapsed="false">
      <c r="A132" s="2"/>
      <c r="B132" s="63" t="s">
        <v>353</v>
      </c>
      <c r="C132" s="75" t="n">
        <f aca="false">IF(N($X$18)=1,N($X$17),0)+IF(N($X$20)=1,N($X$19),0)</f>
        <v>0</v>
      </c>
      <c r="D132" s="75" t="n">
        <f aca="false">IF(N($X$18)=2,N($X$17),0)+IF(N($X$20)=2,N($X$19),0)</f>
        <v>0</v>
      </c>
      <c r="E132" s="75" t="n">
        <f aca="false">IF(N($X$18)=3,N($X$17),0)+IF(N($X$20)=3,N($X$19),0)</f>
        <v>0</v>
      </c>
      <c r="F132" s="75" t="n">
        <f aca="false">IF(N($X$18)=4,N($X$17),0)+IF(N($X$20)=4,N($X$19),0)</f>
        <v>0</v>
      </c>
      <c r="G132" s="75" t="n">
        <f aca="false">IF(N($X$18)=5,N($X$17),0)+IF(N($X$20)=5,N($X$19),0)</f>
        <v>0</v>
      </c>
      <c r="H132" s="75" t="n">
        <f aca="false">IF(N($X$18)=6,N($X$17),0)+IF(N($X$20)=6,N($X$19),0)</f>
        <v>-10000</v>
      </c>
      <c r="I132" s="75" t="n">
        <f aca="false">IF(N($X$18)=7,N($X$17),0)+IF(N($X$20)=7,N($X$19),0)</f>
        <v>0</v>
      </c>
      <c r="J132" s="75" t="n">
        <f aca="false">IF(N($X$18)=8,N($X$17),0)+IF(N($X$20)=8,N($X$19),0)</f>
        <v>0</v>
      </c>
      <c r="K132" s="75" t="n">
        <f aca="false">IF(N($X$18)=9,N($X$17),0)+IF(N($X$20)=9,N($X$19),0)</f>
        <v>0</v>
      </c>
      <c r="L132" s="75" t="n">
        <f aca="false">IF(N($X$18)=10,N($X$17),0)+IF(N($X$20)=10,N($X$19),0)</f>
        <v>0</v>
      </c>
      <c r="M132" s="75" t="n">
        <f aca="false">IF(N($X$18)=11,N($X$17),0)+IF(N($X$20)=11,N($X$19),0)</f>
        <v>0</v>
      </c>
      <c r="N132" s="75" t="n">
        <f aca="false">IF(N($X$18)=12,N($X$17),0)+IF(N($X$20)=12,N($X$19),0)</f>
        <v>0</v>
      </c>
      <c r="O132" s="75" t="n">
        <f aca="false">IF(N($X$18)=13,N($X$17),0)+IF(N($X$20)=13,N($X$19),0)</f>
        <v>0</v>
      </c>
      <c r="P132" s="75" t="n">
        <f aca="false">SUM(C132:O132)</f>
        <v>-10000</v>
      </c>
      <c r="Q132" s="2"/>
      <c r="R132" s="2"/>
      <c r="S132" s="2"/>
      <c r="T132" s="2"/>
      <c r="U132" s="2"/>
      <c r="V132" s="2"/>
      <c r="W132" s="2"/>
      <c r="X132" s="2"/>
    </row>
    <row r="133" customFormat="false" ht="15" hidden="false" customHeight="false" outlineLevel="0" collapsed="false">
      <c r="A133" s="2"/>
      <c r="B133" s="15" t="s">
        <v>354</v>
      </c>
      <c r="C133" s="84" t="n">
        <f aca="false">C125+C126+C127+C132-(C128+C129+C130+C131)</f>
        <v>-58150.7914614122</v>
      </c>
      <c r="D133" s="84" t="n">
        <f aca="false">D125+D126+D127+D132-(D128+D129+D130+D131)</f>
        <v>-109217.551724138</v>
      </c>
      <c r="E133" s="84" t="n">
        <f aca="false">E125+E126+E127+E132-(E128+E129+E130+E131)</f>
        <v>-70826.5517241379</v>
      </c>
      <c r="F133" s="84" t="n">
        <f aca="false">F125+F126+F127+F132-(F128+F129+F130+F131)</f>
        <v>-19669.039408867</v>
      </c>
      <c r="G133" s="84" t="n">
        <f aca="false">G125+G126+G127+G132-(G128+G129+G130+G131)</f>
        <v>1251.2023809524</v>
      </c>
      <c r="H133" s="84" t="n">
        <f aca="false">H125+H126+H127+H132-(H128+H129+H130+H131)</f>
        <v>-25633.8045977011</v>
      </c>
      <c r="I133" s="84" t="n">
        <f aca="false">I125+I126+I127+I132-(I128+I129+I130+I131)</f>
        <v>-7741.4712643678</v>
      </c>
      <c r="J133" s="84" t="n">
        <f aca="false">J125+J126+J127+J132-(J128+J129+J130+J131)</f>
        <v>-111733.351395731</v>
      </c>
      <c r="K133" s="84" t="n">
        <f aca="false">K125+K126+K127+K132-(K128+K129+K130+K131)</f>
        <v>45927.091954023</v>
      </c>
      <c r="L133" s="84" t="n">
        <f aca="false">L125+L126+L127+L132-(L128+L129+L130+L131)</f>
        <v>-31770.7356321839</v>
      </c>
      <c r="M133" s="84" t="n">
        <f aca="false">M125+M126+M127+M132-(M128+M129+M130+M131)</f>
        <v>-5331.48563218392</v>
      </c>
      <c r="N133" s="84" t="n">
        <f aca="false">N125+N126+N127+N132-(N128+N129+N130+N131)</f>
        <v>5327.48850574711</v>
      </c>
      <c r="O133" s="84" t="n">
        <f aca="false">O125+O126+O127+O132-(O128+O129+O130+O131)</f>
        <v>-7171.66666666667</v>
      </c>
      <c r="P133" s="84" t="n">
        <f aca="false">P125+P126+P127+P132-(P128+P129+P130+P131)</f>
        <v>-394740.666666667</v>
      </c>
      <c r="Q133" s="2"/>
      <c r="R133" s="2"/>
      <c r="S133" s="2"/>
      <c r="T133" s="2"/>
      <c r="U133" s="2"/>
      <c r="V133" s="2"/>
      <c r="W133" s="2"/>
      <c r="X133" s="2"/>
    </row>
    <row r="134" customFormat="false" ht="15" hidden="false" customHeight="false" outlineLevel="0" collapsed="false">
      <c r="A134" s="2"/>
      <c r="B134" s="15" t="s">
        <v>355</v>
      </c>
      <c r="C134" s="46" t="n">
        <f aca="false">Setup!$D$11+SUM('Cash Flow'!$C$43:C$43)+SUM($C133:C133)</f>
        <v>213258.666666667</v>
      </c>
      <c r="D134" s="46" t="n">
        <f aca="false">Setup!$D$11+SUM('Cash Flow'!$C$43:D$43)+SUM($C133:D133)</f>
        <v>126484.333333333</v>
      </c>
      <c r="E134" s="46" t="n">
        <f aca="false">Setup!$D$11+SUM('Cash Flow'!$C$43:E$43)+SUM($C133:E133)</f>
        <v>-16879</v>
      </c>
      <c r="F134" s="46" t="n">
        <f aca="false">Setup!$D$11+SUM('Cash Flow'!$C$43:F$43)+SUM($C133:F133)</f>
        <v>-46584.8210180624</v>
      </c>
      <c r="G134" s="46" t="n">
        <f aca="false">Setup!$D$11+SUM('Cash Flow'!$C$43:G$43)+SUM($C133:G133)</f>
        <v>-40141.0077996716</v>
      </c>
      <c r="H134" s="46" t="n">
        <f aca="false">Setup!$D$11+SUM('Cash Flow'!$C$43:H$43)+SUM($C133:H133)</f>
        <v>-94450.4445812808</v>
      </c>
      <c r="I134" s="46" t="n">
        <f aca="false">Setup!$D$11+SUM('Cash Flow'!$C$43:I$43)+SUM($C133:I133)</f>
        <v>-145667.548029557</v>
      </c>
      <c r="J134" s="46" t="n">
        <f aca="false">Setup!$D$11+SUM('Cash Flow'!$C$43:J$43)+SUM($C133:J133)</f>
        <v>-209043.198275862</v>
      </c>
      <c r="K134" s="46" t="n">
        <f aca="false">Setup!$D$11+SUM('Cash Flow'!$C$43:K$43)+SUM($C133:K133)</f>
        <v>-336734.267241379</v>
      </c>
      <c r="L134" s="46" t="n">
        <f aca="false">Setup!$D$11+SUM('Cash Flow'!$C$43:L$43)+SUM($C133:L133)</f>
        <v>-314038.336206897</v>
      </c>
      <c r="M134" s="46" t="n">
        <f aca="false">Setup!$D$11+SUM('Cash Flow'!$C$43:M$43)+SUM($C133:M133)</f>
        <v>-283163.155172414</v>
      </c>
      <c r="N134" s="46" t="n">
        <f aca="false">Setup!$D$11+SUM('Cash Flow'!$C$43:N$43)+SUM($C133:N133)</f>
        <v>-256249</v>
      </c>
      <c r="O134" s="46" t="n">
        <f aca="false">Setup!$D$11+SUM('Cash Flow'!$C$43:O$43)+SUM($C133:O133)</f>
        <v>-168634</v>
      </c>
      <c r="P134" s="2"/>
      <c r="Q134" s="2"/>
      <c r="R134" s="2"/>
      <c r="S134" s="2"/>
      <c r="T134" s="2"/>
      <c r="U134" s="2"/>
      <c r="V134" s="2"/>
      <c r="W134" s="2"/>
      <c r="X134" s="2"/>
    </row>
  </sheetData>
  <sheetProtection sheet="true" formatCells="false" formatColumns="false" formatRows="false"/>
  <mergeCells count="4">
    <mergeCell ref="C5:E5"/>
    <mergeCell ref="D9:E9"/>
    <mergeCell ref="F9:G9"/>
    <mergeCell ref="H9:I9"/>
  </mergeCells>
  <conditionalFormatting sqref="C24:C27">
    <cfRule type="expression" priority="2" aboveAverage="0" equalAverage="0" bottom="0" percent="0" rank="0" text="" dxfId="3">
      <formula>C24&lt;-Setup!$D$12</formula>
    </cfRule>
    <cfRule type="expression" priority="3" aboveAverage="0" equalAverage="0" bottom="0" percent="0" rank="0" text="" dxfId="4">
      <formula>C24&lt;Setup!$D$13</formula>
    </cfRule>
  </conditionalFormatting>
  <conditionalFormatting sqref="D24:D27">
    <cfRule type="expression" priority="4" aboveAverage="0" equalAverage="0" bottom="0" percent="0" rank="0" text="" dxfId="3">
      <formula>D24&lt;-Setup!$D$12</formula>
    </cfRule>
    <cfRule type="expression" priority="5" aboveAverage="0" equalAverage="0" bottom="0" percent="0" rank="0" text="" dxfId="4">
      <formula>D24&lt;Setup!$D$13</formula>
    </cfRule>
  </conditionalFormatting>
  <conditionalFormatting sqref="E24:E27">
    <cfRule type="expression" priority="6" aboveAverage="0" equalAverage="0" bottom="0" percent="0" rank="0" text="" dxfId="3">
      <formula>E24&lt;-Setup!$D$12</formula>
    </cfRule>
    <cfRule type="expression" priority="7" aboveAverage="0" equalAverage="0" bottom="0" percent="0" rank="0" text="" dxfId="4">
      <formula>E24&lt;Setup!$D$13</formula>
    </cfRule>
  </conditionalFormatting>
  <conditionalFormatting sqref="F24:F27">
    <cfRule type="expression" priority="8" aboveAverage="0" equalAverage="0" bottom="0" percent="0" rank="0" text="" dxfId="3">
      <formula>F24&lt;-Setup!$D$12</formula>
    </cfRule>
    <cfRule type="expression" priority="9" aboveAverage="0" equalAverage="0" bottom="0" percent="0" rank="0" text="" dxfId="4">
      <formula>F24&lt;Setup!$D$13</formula>
    </cfRule>
  </conditionalFormatting>
  <conditionalFormatting sqref="G24:G27">
    <cfRule type="expression" priority="10" aboveAverage="0" equalAverage="0" bottom="0" percent="0" rank="0" text="" dxfId="3">
      <formula>G24&lt;-Setup!$D$12</formula>
    </cfRule>
    <cfRule type="expression" priority="11" aboveAverage="0" equalAverage="0" bottom="0" percent="0" rank="0" text="" dxfId="4">
      <formula>G24&lt;Setup!$D$13</formula>
    </cfRule>
  </conditionalFormatting>
  <conditionalFormatting sqref="H24:H27">
    <cfRule type="expression" priority="12" aboveAverage="0" equalAverage="0" bottom="0" percent="0" rank="0" text="" dxfId="3">
      <formula>H24&lt;-Setup!$D$12</formula>
    </cfRule>
    <cfRule type="expression" priority="13" aboveAverage="0" equalAverage="0" bottom="0" percent="0" rank="0" text="" dxfId="4">
      <formula>H24&lt;Setup!$D$13</formula>
    </cfRule>
  </conditionalFormatting>
  <conditionalFormatting sqref="I24:I27">
    <cfRule type="expression" priority="14" aboveAverage="0" equalAverage="0" bottom="0" percent="0" rank="0" text="" dxfId="3">
      <formula>I24&lt;-Setup!$D$12</formula>
    </cfRule>
    <cfRule type="expression" priority="15" aboveAverage="0" equalAverage="0" bottom="0" percent="0" rank="0" text="" dxfId="4">
      <formula>I24&lt;Setup!$D$13</formula>
    </cfRule>
  </conditionalFormatting>
  <conditionalFormatting sqref="J24:J27">
    <cfRule type="expression" priority="16" aboveAverage="0" equalAverage="0" bottom="0" percent="0" rank="0" text="" dxfId="3">
      <formula>J24&lt;-Setup!$D$12</formula>
    </cfRule>
    <cfRule type="expression" priority="17" aboveAverage="0" equalAverage="0" bottom="0" percent="0" rank="0" text="" dxfId="4">
      <formula>J24&lt;Setup!$D$13</formula>
    </cfRule>
  </conditionalFormatting>
  <conditionalFormatting sqref="K24:K27">
    <cfRule type="expression" priority="18" aboveAverage="0" equalAverage="0" bottom="0" percent="0" rank="0" text="" dxfId="3">
      <formula>K24&lt;-Setup!$D$12</formula>
    </cfRule>
    <cfRule type="expression" priority="19" aboveAverage="0" equalAverage="0" bottom="0" percent="0" rank="0" text="" dxfId="4">
      <formula>K24&lt;Setup!$D$13</formula>
    </cfRule>
  </conditionalFormatting>
  <conditionalFormatting sqref="L24:L27">
    <cfRule type="expression" priority="20" aboveAverage="0" equalAverage="0" bottom="0" percent="0" rank="0" text="" dxfId="3">
      <formula>L24&lt;-Setup!$D$12</formula>
    </cfRule>
    <cfRule type="expression" priority="21" aboveAverage="0" equalAverage="0" bottom="0" percent="0" rank="0" text="" dxfId="4">
      <formula>L24&lt;Setup!$D$13</formula>
    </cfRule>
  </conditionalFormatting>
  <conditionalFormatting sqref="M24:M27">
    <cfRule type="expression" priority="22" aboveAverage="0" equalAverage="0" bottom="0" percent="0" rank="0" text="" dxfId="3">
      <formula>M24&lt;-Setup!$D$12</formula>
    </cfRule>
    <cfRule type="expression" priority="23" aboveAverage="0" equalAverage="0" bottom="0" percent="0" rank="0" text="" dxfId="4">
      <formula>M24&lt;Setup!$D$13</formula>
    </cfRule>
  </conditionalFormatting>
  <conditionalFormatting sqref="N24:N27">
    <cfRule type="expression" priority="24" aboveAverage="0" equalAverage="0" bottom="0" percent="0" rank="0" text="" dxfId="3">
      <formula>N24&lt;-Setup!$D$12</formula>
    </cfRule>
    <cfRule type="expression" priority="25" aboveAverage="0" equalAverage="0" bottom="0" percent="0" rank="0" text="" dxfId="4">
      <formula>N24&lt;Setup!$D$13</formula>
    </cfRule>
  </conditionalFormatting>
  <conditionalFormatting sqref="O24:O27">
    <cfRule type="expression" priority="26" aboveAverage="0" equalAverage="0" bottom="0" percent="0" rank="0" text="" dxfId="3">
      <formula>O24&lt;-Setup!$D$12</formula>
    </cfRule>
    <cfRule type="expression" priority="27" aboveAverage="0" equalAverage="0" bottom="0" percent="0" rank="0" text="" dxfId="4">
      <formula>O24&lt;Setup!$D$13</formula>
    </cfRule>
  </conditionalFormatting>
  <conditionalFormatting sqref="P24:P27">
    <cfRule type="expression" priority="28" aboveAverage="0" equalAverage="0" bottom="0" percent="0" rank="0" text="" dxfId="3">
      <formula>P24&lt;-Setup!$D$12</formula>
    </cfRule>
    <cfRule type="expression" priority="29" aboveAverage="0" equalAverage="0" bottom="0" percent="0" rank="0" text="" dxfId="4">
      <formula>P24&lt;Setup!$D$13</formula>
    </cfRule>
  </conditionalFormatting>
  <conditionalFormatting sqref="R24:R27">
    <cfRule type="expression" priority="30" aboveAverage="0" equalAverage="0" bottom="0" percent="0" rank="0" text="" dxfId="3">
      <formula>R24&lt;-Setup!$D$12</formula>
    </cfRule>
    <cfRule type="expression" priority="31" aboveAverage="0" equalAverage="0" bottom="0" percent="0" rank="0" text="" dxfId="4">
      <formula>R24&lt;Setup!$D$13</formula>
    </cfRule>
  </conditionalFormatting>
  <dataValidations count="3">
    <dataValidation allowBlank="true" error="Please pick from the list." errorStyle="stop" errorTitle="Choose from the list" operator="between" showDropDown="false" showErrorMessage="false" showInputMessage="false" sqref="C5" type="list">
      <formula1>$U$10:$X$10</formula1>
      <formula2>0</formula2>
    </dataValidation>
    <dataValidation allowBlank="true" error="Enter a week number from 1 to 13" errorStyle="stop" errorTitle="Week 1–13" operator="between" showDropDown="false" showErrorMessage="false" showInputMessage="false" sqref="E18 G18 I18 E20 G20 I20" type="whole">
      <formula1>1</formula1>
      <formula2>13</formula2>
    </dataValidation>
    <dataValidation allowBlank="true" error="Please pick from the list." errorStyle="stop" errorTitle="Choose from the list" operator="between" showDropDown="false" showErrorMessage="false" showInputMessage="false" sqref="D9 F9 H9" type="list">
      <formula1>$B$54:$B$68</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6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15" min="3" style="1" width="11.5"/>
    <col collapsed="false" customWidth="true" hidden="false" outlineLevel="0" max="16" min="16" style="1" width="13"/>
    <col collapsed="false" customWidth="true" hidden="false" outlineLevel="0" max="17" min="17" style="1" width="10"/>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row>
    <row r="2" customFormat="false" ht="15" hidden="false" customHeight="false" outlineLevel="0" collapsed="false">
      <c r="A2" s="4" t="s">
        <v>356</v>
      </c>
      <c r="B2" s="2"/>
      <c r="C2" s="2"/>
      <c r="D2" s="2"/>
      <c r="E2" s="2"/>
      <c r="F2" s="2"/>
      <c r="G2" s="2"/>
      <c r="H2" s="2"/>
      <c r="I2" s="2"/>
      <c r="J2" s="2"/>
      <c r="K2" s="2"/>
      <c r="L2" s="2"/>
      <c r="M2" s="2"/>
      <c r="N2" s="2"/>
      <c r="O2" s="2"/>
      <c r="P2" s="2"/>
      <c r="Q2" s="2"/>
    </row>
    <row r="3" customFormat="false" ht="15" hidden="false" customHeight="false" outlineLevel="0" collapsed="false">
      <c r="A3" s="21" t="s">
        <v>357</v>
      </c>
      <c r="B3" s="2"/>
      <c r="C3" s="2"/>
      <c r="D3" s="2"/>
      <c r="E3" s="2"/>
      <c r="F3" s="2"/>
      <c r="G3" s="2"/>
      <c r="H3" s="2"/>
      <c r="I3" s="2"/>
      <c r="J3" s="2"/>
      <c r="K3" s="2"/>
      <c r="L3" s="2"/>
      <c r="M3" s="2"/>
      <c r="N3" s="2"/>
      <c r="O3" s="2"/>
      <c r="P3" s="2"/>
      <c r="Q3" s="2"/>
    </row>
    <row r="4" customFormat="false" ht="15" hidden="false" customHeight="false" outlineLevel="0" collapsed="false">
      <c r="A4" s="2"/>
      <c r="B4" s="2"/>
      <c r="C4" s="2"/>
      <c r="D4" s="2"/>
      <c r="E4" s="2"/>
      <c r="F4" s="2"/>
      <c r="G4" s="2"/>
      <c r="H4" s="2"/>
      <c r="I4" s="2"/>
      <c r="J4" s="2"/>
      <c r="K4" s="2"/>
      <c r="L4" s="2"/>
      <c r="M4" s="2"/>
      <c r="N4" s="2"/>
      <c r="O4" s="2"/>
      <c r="P4" s="2"/>
      <c r="Q4" s="2"/>
    </row>
    <row r="5" customFormat="false" ht="15" hidden="false" customHeight="false" outlineLevel="0" collapsed="false">
      <c r="A5" s="2"/>
      <c r="B5" s="2"/>
      <c r="C5" s="42" t="str">
        <f aca="false">"Week "&amp;Lists!C$20</f>
        <v>Week 1</v>
      </c>
      <c r="D5" s="42" t="str">
        <f aca="false">"Week "&amp;Lists!D$20</f>
        <v>Week 2</v>
      </c>
      <c r="E5" s="42" t="str">
        <f aca="false">"Week "&amp;Lists!E$20</f>
        <v>Week 3</v>
      </c>
      <c r="F5" s="42" t="str">
        <f aca="false">"Week "&amp;Lists!F$20</f>
        <v>Week 4</v>
      </c>
      <c r="G5" s="42" t="str">
        <f aca="false">"Week "&amp;Lists!G$20</f>
        <v>Week 5</v>
      </c>
      <c r="H5" s="42" t="str">
        <f aca="false">"Week "&amp;Lists!H$20</f>
        <v>Week 6</v>
      </c>
      <c r="I5" s="42" t="str">
        <f aca="false">"Week "&amp;Lists!I$20</f>
        <v>Week 7</v>
      </c>
      <c r="J5" s="42" t="str">
        <f aca="false">"Week "&amp;Lists!J$20</f>
        <v>Week 8</v>
      </c>
      <c r="K5" s="42" t="str">
        <f aca="false">"Week "&amp;Lists!K$20</f>
        <v>Week 9</v>
      </c>
      <c r="L5" s="42" t="str">
        <f aca="false">"Week "&amp;Lists!L$20</f>
        <v>Week 10</v>
      </c>
      <c r="M5" s="42" t="str">
        <f aca="false">"Week "&amp;Lists!M$20</f>
        <v>Week 11</v>
      </c>
      <c r="N5" s="42" t="str">
        <f aca="false">"Week "&amp;Lists!N$20</f>
        <v>Week 12</v>
      </c>
      <c r="O5" s="42" t="str">
        <f aca="false">"Week "&amp;Lists!O$20</f>
        <v>Week 13</v>
      </c>
      <c r="P5" s="42" t="s">
        <v>253</v>
      </c>
      <c r="Q5" s="2"/>
    </row>
    <row r="6" customFormat="false" ht="15" hidden="false" customHeight="false" outlineLevel="0" collapsed="false">
      <c r="A6" s="2"/>
      <c r="B6" s="2"/>
      <c r="C6" s="45" t="n">
        <f aca="false">Lists!C$21</f>
        <v>46339</v>
      </c>
      <c r="D6" s="45" t="n">
        <f aca="false">Lists!D$21</f>
        <v>46346</v>
      </c>
      <c r="E6" s="45" t="n">
        <f aca="false">Lists!E$21</f>
        <v>46353</v>
      </c>
      <c r="F6" s="45" t="n">
        <f aca="false">Lists!F$21</f>
        <v>46360</v>
      </c>
      <c r="G6" s="45" t="n">
        <f aca="false">Lists!G$21</f>
        <v>46367</v>
      </c>
      <c r="H6" s="45" t="n">
        <f aca="false">Lists!H$21</f>
        <v>46374</v>
      </c>
      <c r="I6" s="45" t="n">
        <f aca="false">Lists!I$21</f>
        <v>46381</v>
      </c>
      <c r="J6" s="45" t="n">
        <f aca="false">Lists!J$21</f>
        <v>46388</v>
      </c>
      <c r="K6" s="45" t="n">
        <f aca="false">Lists!K$21</f>
        <v>46395</v>
      </c>
      <c r="L6" s="45" t="n">
        <f aca="false">Lists!L$21</f>
        <v>46402</v>
      </c>
      <c r="M6" s="45" t="n">
        <f aca="false">Lists!M$21</f>
        <v>46409</v>
      </c>
      <c r="N6" s="45" t="n">
        <f aca="false">Lists!N$21</f>
        <v>46416</v>
      </c>
      <c r="O6" s="45" t="n">
        <f aca="false">Lists!O$21</f>
        <v>46423</v>
      </c>
      <c r="P6" s="42" t="s">
        <v>254</v>
      </c>
      <c r="Q6" s="42" t="s">
        <v>358</v>
      </c>
    </row>
    <row r="7" customFormat="false" ht="15" hidden="false" customHeight="false" outlineLevel="0" collapsed="false">
      <c r="A7" s="2"/>
      <c r="B7" s="2"/>
      <c r="C7" s="2"/>
      <c r="D7" s="2"/>
      <c r="E7" s="2"/>
      <c r="F7" s="2"/>
      <c r="G7" s="2"/>
      <c r="H7" s="2"/>
      <c r="I7" s="2"/>
      <c r="J7" s="2"/>
      <c r="K7" s="2"/>
      <c r="L7" s="2"/>
      <c r="M7" s="2"/>
      <c r="N7" s="2"/>
      <c r="O7" s="2"/>
      <c r="P7" s="2"/>
      <c r="Q7" s="2"/>
    </row>
    <row r="8" customFormat="false" ht="15" hidden="false" customHeight="false" outlineLevel="0" collapsed="false">
      <c r="A8" s="5" t="s">
        <v>359</v>
      </c>
      <c r="B8" s="6"/>
      <c r="C8" s="6"/>
      <c r="D8" s="6"/>
      <c r="E8" s="6"/>
      <c r="F8" s="6"/>
      <c r="G8" s="6"/>
      <c r="H8" s="6"/>
      <c r="I8" s="6"/>
      <c r="J8" s="6"/>
      <c r="K8" s="6"/>
      <c r="L8" s="6"/>
      <c r="M8" s="6"/>
      <c r="N8" s="6"/>
      <c r="O8" s="6"/>
      <c r="P8" s="6"/>
      <c r="Q8" s="6"/>
    </row>
    <row r="9" customFormat="false" ht="15" hidden="false" customHeight="false" outlineLevel="0" collapsed="false">
      <c r="A9" s="2"/>
      <c r="B9" s="9" t="str">
        <f aca="false">IF(Sales!$B$9="","(not used)",Sales!$B$9)</f>
        <v>Contract fabrication (large accounts)</v>
      </c>
      <c r="C9" s="47" t="n">
        <f aca="false">Sales!J$23</f>
        <v>55000</v>
      </c>
      <c r="D9" s="47" t="n">
        <f aca="false">Sales!K$23</f>
        <v>55000</v>
      </c>
      <c r="E9" s="47" t="n">
        <f aca="false">Sales!L$23</f>
        <v>55000</v>
      </c>
      <c r="F9" s="47" t="n">
        <f aca="false">Sales!M$23</f>
        <v>55000</v>
      </c>
      <c r="G9" s="47" t="n">
        <f aca="false">Sales!N$23</f>
        <v>55000</v>
      </c>
      <c r="H9" s="47" t="n">
        <f aca="false">Sales!O$23</f>
        <v>55000</v>
      </c>
      <c r="I9" s="47" t="n">
        <f aca="false">Sales!P$23</f>
        <v>20000</v>
      </c>
      <c r="J9" s="47" t="n">
        <f aca="false">Sales!Q$23</f>
        <v>10000</v>
      </c>
      <c r="K9" s="47" t="n">
        <f aca="false">Sales!R$23</f>
        <v>55000</v>
      </c>
      <c r="L9" s="47" t="n">
        <f aca="false">Sales!S$23</f>
        <v>55000</v>
      </c>
      <c r="M9" s="47" t="n">
        <f aca="false">Sales!T$23</f>
        <v>55000</v>
      </c>
      <c r="N9" s="47" t="n">
        <f aca="false">Sales!U$23</f>
        <v>55000</v>
      </c>
      <c r="O9" s="47" t="n">
        <f aca="false">Sales!V$23</f>
        <v>55000</v>
      </c>
      <c r="P9" s="46" t="n">
        <f aca="false">SUM(C9:O9)</f>
        <v>635000</v>
      </c>
      <c r="Q9" s="85" t="n">
        <f aca="false">IF($P$19=0,0,P9/$P$19)</f>
        <v>0.711086226203807</v>
      </c>
    </row>
    <row r="10" customFormat="false" ht="15" hidden="false" customHeight="false" outlineLevel="0" collapsed="false">
      <c r="A10" s="2"/>
      <c r="B10" s="9" t="str">
        <f aca="false">IF(Sales!$B$10="","(not used)",Sales!$B$10)</f>
        <v>Repeat orders (smaller customers)</v>
      </c>
      <c r="C10" s="47" t="n">
        <f aca="false">Sales!J$24</f>
        <v>22000</v>
      </c>
      <c r="D10" s="47" t="n">
        <f aca="false">Sales!K$24</f>
        <v>22000</v>
      </c>
      <c r="E10" s="47" t="n">
        <f aca="false">Sales!L$24</f>
        <v>22000</v>
      </c>
      <c r="F10" s="47" t="n">
        <f aca="false">Sales!M$24</f>
        <v>22000</v>
      </c>
      <c r="G10" s="47" t="n">
        <f aca="false">Sales!N$24</f>
        <v>22000</v>
      </c>
      <c r="H10" s="47" t="n">
        <f aca="false">Sales!O$24</f>
        <v>22000</v>
      </c>
      <c r="I10" s="47" t="n">
        <f aca="false">Sales!P$24</f>
        <v>10000</v>
      </c>
      <c r="J10" s="47" t="n">
        <f aca="false">Sales!Q$24</f>
        <v>6000</v>
      </c>
      <c r="K10" s="47" t="n">
        <f aca="false">Sales!R$24</f>
        <v>22000</v>
      </c>
      <c r="L10" s="47" t="n">
        <f aca="false">Sales!S$24</f>
        <v>22000</v>
      </c>
      <c r="M10" s="47" t="n">
        <f aca="false">Sales!T$24</f>
        <v>22000</v>
      </c>
      <c r="N10" s="47" t="n">
        <f aca="false">Sales!U$24</f>
        <v>22000</v>
      </c>
      <c r="O10" s="47" t="n">
        <f aca="false">Sales!V$24</f>
        <v>22000</v>
      </c>
      <c r="P10" s="46" t="n">
        <f aca="false">SUM(C10:O10)</f>
        <v>258000</v>
      </c>
      <c r="Q10" s="85" t="n">
        <f aca="false">IF($P$19=0,0,P10/$P$19)</f>
        <v>0.288913773796193</v>
      </c>
    </row>
    <row r="11" customFormat="false" ht="15" hidden="false" customHeight="false" outlineLevel="0" collapsed="false">
      <c r="A11" s="2"/>
      <c r="B11" s="9" t="str">
        <f aca="false">IF(Sales!$B$11="","(not used)",Sales!$B$11)</f>
        <v>(not used)</v>
      </c>
      <c r="C11" s="47" t="n">
        <f aca="false">Sales!J$25</f>
        <v>0</v>
      </c>
      <c r="D11" s="47" t="n">
        <f aca="false">Sales!K$25</f>
        <v>0</v>
      </c>
      <c r="E11" s="47" t="n">
        <f aca="false">Sales!L$25</f>
        <v>0</v>
      </c>
      <c r="F11" s="47" t="n">
        <f aca="false">Sales!M$25</f>
        <v>0</v>
      </c>
      <c r="G11" s="47" t="n">
        <f aca="false">Sales!N$25</f>
        <v>0</v>
      </c>
      <c r="H11" s="47" t="n">
        <f aca="false">Sales!O$25</f>
        <v>0</v>
      </c>
      <c r="I11" s="47" t="n">
        <f aca="false">Sales!P$25</f>
        <v>0</v>
      </c>
      <c r="J11" s="47" t="n">
        <f aca="false">Sales!Q$25</f>
        <v>0</v>
      </c>
      <c r="K11" s="47" t="n">
        <f aca="false">Sales!R$25</f>
        <v>0</v>
      </c>
      <c r="L11" s="47" t="n">
        <f aca="false">Sales!S$25</f>
        <v>0</v>
      </c>
      <c r="M11" s="47" t="n">
        <f aca="false">Sales!T$25</f>
        <v>0</v>
      </c>
      <c r="N11" s="47" t="n">
        <f aca="false">Sales!U$25</f>
        <v>0</v>
      </c>
      <c r="O11" s="47" t="n">
        <f aca="false">Sales!V$25</f>
        <v>0</v>
      </c>
      <c r="P11" s="46" t="n">
        <f aca="false">SUM(C11:O11)</f>
        <v>0</v>
      </c>
      <c r="Q11" s="85" t="n">
        <f aca="false">IF($P$19=0,0,P11/$P$19)</f>
        <v>0</v>
      </c>
    </row>
    <row r="12" customFormat="false" ht="15" hidden="false" customHeight="false" outlineLevel="0" collapsed="false">
      <c r="A12" s="2"/>
      <c r="B12" s="9" t="str">
        <f aca="false">IF(Sales!$B$12="","(not used)",Sales!$B$12)</f>
        <v>(not used)</v>
      </c>
      <c r="C12" s="47" t="n">
        <f aca="false">Sales!J$26</f>
        <v>0</v>
      </c>
      <c r="D12" s="47" t="n">
        <f aca="false">Sales!K$26</f>
        <v>0</v>
      </c>
      <c r="E12" s="47" t="n">
        <f aca="false">Sales!L$26</f>
        <v>0</v>
      </c>
      <c r="F12" s="47" t="n">
        <f aca="false">Sales!M$26</f>
        <v>0</v>
      </c>
      <c r="G12" s="47" t="n">
        <f aca="false">Sales!N$26</f>
        <v>0</v>
      </c>
      <c r="H12" s="47" t="n">
        <f aca="false">Sales!O$26</f>
        <v>0</v>
      </c>
      <c r="I12" s="47" t="n">
        <f aca="false">Sales!P$26</f>
        <v>0</v>
      </c>
      <c r="J12" s="47" t="n">
        <f aca="false">Sales!Q$26</f>
        <v>0</v>
      </c>
      <c r="K12" s="47" t="n">
        <f aca="false">Sales!R$26</f>
        <v>0</v>
      </c>
      <c r="L12" s="47" t="n">
        <f aca="false">Sales!S$26</f>
        <v>0</v>
      </c>
      <c r="M12" s="47" t="n">
        <f aca="false">Sales!T$26</f>
        <v>0</v>
      </c>
      <c r="N12" s="47" t="n">
        <f aca="false">Sales!U$26</f>
        <v>0</v>
      </c>
      <c r="O12" s="47" t="n">
        <f aca="false">Sales!V$26</f>
        <v>0</v>
      </c>
      <c r="P12" s="46" t="n">
        <f aca="false">SUM(C12:O12)</f>
        <v>0</v>
      </c>
      <c r="Q12" s="85" t="n">
        <f aca="false">IF($P$19=0,0,P12/$P$19)</f>
        <v>0</v>
      </c>
    </row>
    <row r="13" customFormat="false" ht="15" hidden="false" customHeight="false" outlineLevel="0" collapsed="false">
      <c r="A13" s="2"/>
      <c r="B13" s="9" t="str">
        <f aca="false">IF(Sales!$B$13="","(not used)",Sales!$B$13)</f>
        <v>(not used)</v>
      </c>
      <c r="C13" s="47" t="n">
        <f aca="false">Sales!J$27</f>
        <v>0</v>
      </c>
      <c r="D13" s="47" t="n">
        <f aca="false">Sales!K$27</f>
        <v>0</v>
      </c>
      <c r="E13" s="47" t="n">
        <f aca="false">Sales!L$27</f>
        <v>0</v>
      </c>
      <c r="F13" s="47" t="n">
        <f aca="false">Sales!M$27</f>
        <v>0</v>
      </c>
      <c r="G13" s="47" t="n">
        <f aca="false">Sales!N$27</f>
        <v>0</v>
      </c>
      <c r="H13" s="47" t="n">
        <f aca="false">Sales!O$27</f>
        <v>0</v>
      </c>
      <c r="I13" s="47" t="n">
        <f aca="false">Sales!P$27</f>
        <v>0</v>
      </c>
      <c r="J13" s="47" t="n">
        <f aca="false">Sales!Q$27</f>
        <v>0</v>
      </c>
      <c r="K13" s="47" t="n">
        <f aca="false">Sales!R$27</f>
        <v>0</v>
      </c>
      <c r="L13" s="47" t="n">
        <f aca="false">Sales!S$27</f>
        <v>0</v>
      </c>
      <c r="M13" s="47" t="n">
        <f aca="false">Sales!T$27</f>
        <v>0</v>
      </c>
      <c r="N13" s="47" t="n">
        <f aca="false">Sales!U$27</f>
        <v>0</v>
      </c>
      <c r="O13" s="47" t="n">
        <f aca="false">Sales!V$27</f>
        <v>0</v>
      </c>
      <c r="P13" s="46" t="n">
        <f aca="false">SUM(C13:O13)</f>
        <v>0</v>
      </c>
      <c r="Q13" s="85" t="n">
        <f aca="false">IF($P$19=0,0,P13/$P$19)</f>
        <v>0</v>
      </c>
    </row>
    <row r="14" customFormat="false" ht="15" hidden="false" customHeight="false" outlineLevel="0" collapsed="false">
      <c r="A14" s="2"/>
      <c r="B14" s="9" t="str">
        <f aca="false">IF(Sales!$B$14="","(not used)",Sales!$B$14)</f>
        <v>(not used)</v>
      </c>
      <c r="C14" s="47" t="n">
        <f aca="false">Sales!J$28</f>
        <v>0</v>
      </c>
      <c r="D14" s="47" t="n">
        <f aca="false">Sales!K$28</f>
        <v>0</v>
      </c>
      <c r="E14" s="47" t="n">
        <f aca="false">Sales!L$28</f>
        <v>0</v>
      </c>
      <c r="F14" s="47" t="n">
        <f aca="false">Sales!M$28</f>
        <v>0</v>
      </c>
      <c r="G14" s="47" t="n">
        <f aca="false">Sales!N$28</f>
        <v>0</v>
      </c>
      <c r="H14" s="47" t="n">
        <f aca="false">Sales!O$28</f>
        <v>0</v>
      </c>
      <c r="I14" s="47" t="n">
        <f aca="false">Sales!P$28</f>
        <v>0</v>
      </c>
      <c r="J14" s="47" t="n">
        <f aca="false">Sales!Q$28</f>
        <v>0</v>
      </c>
      <c r="K14" s="47" t="n">
        <f aca="false">Sales!R$28</f>
        <v>0</v>
      </c>
      <c r="L14" s="47" t="n">
        <f aca="false">Sales!S$28</f>
        <v>0</v>
      </c>
      <c r="M14" s="47" t="n">
        <f aca="false">Sales!T$28</f>
        <v>0</v>
      </c>
      <c r="N14" s="47" t="n">
        <f aca="false">Sales!U$28</f>
        <v>0</v>
      </c>
      <c r="O14" s="47" t="n">
        <f aca="false">Sales!V$28</f>
        <v>0</v>
      </c>
      <c r="P14" s="46" t="n">
        <f aca="false">SUM(C14:O14)</f>
        <v>0</v>
      </c>
      <c r="Q14" s="85" t="n">
        <f aca="false">IF($P$19=0,0,P14/$P$19)</f>
        <v>0</v>
      </c>
    </row>
    <row r="15" customFormat="false" ht="15" hidden="false" customHeight="false" outlineLevel="0" collapsed="false">
      <c r="A15" s="2"/>
      <c r="B15" s="9" t="str">
        <f aca="false">IF(Sales!$B$15="","(not used)",Sales!$B$15)</f>
        <v>(not used)</v>
      </c>
      <c r="C15" s="47" t="n">
        <f aca="false">Sales!J$29</f>
        <v>0</v>
      </c>
      <c r="D15" s="47" t="n">
        <f aca="false">Sales!K$29</f>
        <v>0</v>
      </c>
      <c r="E15" s="47" t="n">
        <f aca="false">Sales!L$29</f>
        <v>0</v>
      </c>
      <c r="F15" s="47" t="n">
        <f aca="false">Sales!M$29</f>
        <v>0</v>
      </c>
      <c r="G15" s="47" t="n">
        <f aca="false">Sales!N$29</f>
        <v>0</v>
      </c>
      <c r="H15" s="47" t="n">
        <f aca="false">Sales!O$29</f>
        <v>0</v>
      </c>
      <c r="I15" s="47" t="n">
        <f aca="false">Sales!P$29</f>
        <v>0</v>
      </c>
      <c r="J15" s="47" t="n">
        <f aca="false">Sales!Q$29</f>
        <v>0</v>
      </c>
      <c r="K15" s="47" t="n">
        <f aca="false">Sales!R$29</f>
        <v>0</v>
      </c>
      <c r="L15" s="47" t="n">
        <f aca="false">Sales!S$29</f>
        <v>0</v>
      </c>
      <c r="M15" s="47" t="n">
        <f aca="false">Sales!T$29</f>
        <v>0</v>
      </c>
      <c r="N15" s="47" t="n">
        <f aca="false">Sales!U$29</f>
        <v>0</v>
      </c>
      <c r="O15" s="47" t="n">
        <f aca="false">Sales!V$29</f>
        <v>0</v>
      </c>
      <c r="P15" s="46" t="n">
        <f aca="false">SUM(C15:O15)</f>
        <v>0</v>
      </c>
      <c r="Q15" s="85" t="n">
        <f aca="false">IF($P$19=0,0,P15/$P$19)</f>
        <v>0</v>
      </c>
    </row>
    <row r="16" customFormat="false" ht="15" hidden="false" customHeight="false" outlineLevel="0" collapsed="false">
      <c r="A16" s="2"/>
      <c r="B16" s="9" t="str">
        <f aca="false">IF(Sales!$B$16="","(not used)",Sales!$B$16)</f>
        <v>(not used)</v>
      </c>
      <c r="C16" s="47" t="n">
        <f aca="false">Sales!J$30</f>
        <v>0</v>
      </c>
      <c r="D16" s="47" t="n">
        <f aca="false">Sales!K$30</f>
        <v>0</v>
      </c>
      <c r="E16" s="47" t="n">
        <f aca="false">Sales!L$30</f>
        <v>0</v>
      </c>
      <c r="F16" s="47" t="n">
        <f aca="false">Sales!M$30</f>
        <v>0</v>
      </c>
      <c r="G16" s="47" t="n">
        <f aca="false">Sales!N$30</f>
        <v>0</v>
      </c>
      <c r="H16" s="47" t="n">
        <f aca="false">Sales!O$30</f>
        <v>0</v>
      </c>
      <c r="I16" s="47" t="n">
        <f aca="false">Sales!P$30</f>
        <v>0</v>
      </c>
      <c r="J16" s="47" t="n">
        <f aca="false">Sales!Q$30</f>
        <v>0</v>
      </c>
      <c r="K16" s="47" t="n">
        <f aca="false">Sales!R$30</f>
        <v>0</v>
      </c>
      <c r="L16" s="47" t="n">
        <f aca="false">Sales!S$30</f>
        <v>0</v>
      </c>
      <c r="M16" s="47" t="n">
        <f aca="false">Sales!T$30</f>
        <v>0</v>
      </c>
      <c r="N16" s="47" t="n">
        <f aca="false">Sales!U$30</f>
        <v>0</v>
      </c>
      <c r="O16" s="47" t="n">
        <f aca="false">Sales!V$30</f>
        <v>0</v>
      </c>
      <c r="P16" s="46" t="n">
        <f aca="false">SUM(C16:O16)</f>
        <v>0</v>
      </c>
      <c r="Q16" s="85" t="n">
        <f aca="false">IF($P$19=0,0,P16/$P$19)</f>
        <v>0</v>
      </c>
    </row>
    <row r="17" customFormat="false" ht="15" hidden="false" customHeight="false" outlineLevel="0" collapsed="false">
      <c r="A17" s="2"/>
      <c r="B17" s="9" t="str">
        <f aca="false">IF(Sales!$B$17="","(not used)",Sales!$B$17)</f>
        <v>(not used)</v>
      </c>
      <c r="C17" s="47" t="n">
        <f aca="false">Sales!J$31</f>
        <v>0</v>
      </c>
      <c r="D17" s="47" t="n">
        <f aca="false">Sales!K$31</f>
        <v>0</v>
      </c>
      <c r="E17" s="47" t="n">
        <f aca="false">Sales!L$31</f>
        <v>0</v>
      </c>
      <c r="F17" s="47" t="n">
        <f aca="false">Sales!M$31</f>
        <v>0</v>
      </c>
      <c r="G17" s="47" t="n">
        <f aca="false">Sales!N$31</f>
        <v>0</v>
      </c>
      <c r="H17" s="47" t="n">
        <f aca="false">Sales!O$31</f>
        <v>0</v>
      </c>
      <c r="I17" s="47" t="n">
        <f aca="false">Sales!P$31</f>
        <v>0</v>
      </c>
      <c r="J17" s="47" t="n">
        <f aca="false">Sales!Q$31</f>
        <v>0</v>
      </c>
      <c r="K17" s="47" t="n">
        <f aca="false">Sales!R$31</f>
        <v>0</v>
      </c>
      <c r="L17" s="47" t="n">
        <f aca="false">Sales!S$31</f>
        <v>0</v>
      </c>
      <c r="M17" s="47" t="n">
        <f aca="false">Sales!T$31</f>
        <v>0</v>
      </c>
      <c r="N17" s="47" t="n">
        <f aca="false">Sales!U$31</f>
        <v>0</v>
      </c>
      <c r="O17" s="47" t="n">
        <f aca="false">Sales!V$31</f>
        <v>0</v>
      </c>
      <c r="P17" s="46" t="n">
        <f aca="false">SUM(C17:O17)</f>
        <v>0</v>
      </c>
      <c r="Q17" s="85" t="n">
        <f aca="false">IF($P$19=0,0,P17/$P$19)</f>
        <v>0</v>
      </c>
    </row>
    <row r="18" customFormat="false" ht="15" hidden="false" customHeight="false" outlineLevel="0" collapsed="false">
      <c r="A18" s="2"/>
      <c r="B18" s="9" t="str">
        <f aca="false">IF(Sales!$B$18="","(not used)",Sales!$B$18)</f>
        <v>(not used)</v>
      </c>
      <c r="C18" s="47" t="n">
        <f aca="false">Sales!J$32</f>
        <v>0</v>
      </c>
      <c r="D18" s="47" t="n">
        <f aca="false">Sales!K$32</f>
        <v>0</v>
      </c>
      <c r="E18" s="47" t="n">
        <f aca="false">Sales!L$32</f>
        <v>0</v>
      </c>
      <c r="F18" s="47" t="n">
        <f aca="false">Sales!M$32</f>
        <v>0</v>
      </c>
      <c r="G18" s="47" t="n">
        <f aca="false">Sales!N$32</f>
        <v>0</v>
      </c>
      <c r="H18" s="47" t="n">
        <f aca="false">Sales!O$32</f>
        <v>0</v>
      </c>
      <c r="I18" s="47" t="n">
        <f aca="false">Sales!P$32</f>
        <v>0</v>
      </c>
      <c r="J18" s="47" t="n">
        <f aca="false">Sales!Q$32</f>
        <v>0</v>
      </c>
      <c r="K18" s="47" t="n">
        <f aca="false">Sales!R$32</f>
        <v>0</v>
      </c>
      <c r="L18" s="47" t="n">
        <f aca="false">Sales!S$32</f>
        <v>0</v>
      </c>
      <c r="M18" s="47" t="n">
        <f aca="false">Sales!T$32</f>
        <v>0</v>
      </c>
      <c r="N18" s="47" t="n">
        <f aca="false">Sales!U$32</f>
        <v>0</v>
      </c>
      <c r="O18" s="47" t="n">
        <f aca="false">Sales!V$32</f>
        <v>0</v>
      </c>
      <c r="P18" s="46" t="n">
        <f aca="false">SUM(C18:O18)</f>
        <v>0</v>
      </c>
      <c r="Q18" s="85" t="n">
        <f aca="false">IF($P$19=0,0,P18/$P$19)</f>
        <v>0</v>
      </c>
    </row>
    <row r="19" customFormat="false" ht="15" hidden="false" customHeight="false" outlineLevel="0" collapsed="false">
      <c r="A19" s="2"/>
      <c r="B19" s="15" t="s">
        <v>219</v>
      </c>
      <c r="C19" s="48" t="n">
        <f aca="false">SUM(C9:C18)</f>
        <v>77000</v>
      </c>
      <c r="D19" s="48" t="n">
        <f aca="false">SUM(D9:D18)</f>
        <v>77000</v>
      </c>
      <c r="E19" s="48" t="n">
        <f aca="false">SUM(E9:E18)</f>
        <v>77000</v>
      </c>
      <c r="F19" s="48" t="n">
        <f aca="false">SUM(F9:F18)</f>
        <v>77000</v>
      </c>
      <c r="G19" s="48" t="n">
        <f aca="false">SUM(G9:G18)</f>
        <v>77000</v>
      </c>
      <c r="H19" s="48" t="n">
        <f aca="false">SUM(H9:H18)</f>
        <v>77000</v>
      </c>
      <c r="I19" s="48" t="n">
        <f aca="false">SUM(I9:I18)</f>
        <v>30000</v>
      </c>
      <c r="J19" s="48" t="n">
        <f aca="false">SUM(J9:J18)</f>
        <v>16000</v>
      </c>
      <c r="K19" s="48" t="n">
        <f aca="false">SUM(K9:K18)</f>
        <v>77000</v>
      </c>
      <c r="L19" s="48" t="n">
        <f aca="false">SUM(L9:L18)</f>
        <v>77000</v>
      </c>
      <c r="M19" s="48" t="n">
        <f aca="false">SUM(M9:M18)</f>
        <v>77000</v>
      </c>
      <c r="N19" s="48" t="n">
        <f aca="false">SUM(N9:N18)</f>
        <v>77000</v>
      </c>
      <c r="O19" s="48" t="n">
        <f aca="false">SUM(O9:O18)</f>
        <v>77000</v>
      </c>
      <c r="P19" s="48" t="n">
        <f aca="false">SUM(P9:P18)</f>
        <v>893000</v>
      </c>
      <c r="Q19" s="86" t="n">
        <f aca="false">IF($P$19=0,0,P19/$P$19)</f>
        <v>1</v>
      </c>
    </row>
    <row r="20" customFormat="false" ht="15" hidden="false" customHeight="false" outlineLevel="0" collapsed="false">
      <c r="A20" s="2"/>
      <c r="B20" s="2"/>
      <c r="C20" s="2"/>
      <c r="D20" s="2"/>
      <c r="E20" s="2"/>
      <c r="F20" s="2"/>
      <c r="G20" s="2"/>
      <c r="H20" s="2"/>
      <c r="I20" s="2"/>
      <c r="J20" s="2"/>
      <c r="K20" s="2"/>
      <c r="L20" s="2"/>
      <c r="M20" s="2"/>
      <c r="N20" s="2"/>
      <c r="O20" s="2"/>
      <c r="P20" s="2"/>
      <c r="Q20" s="2"/>
    </row>
    <row r="21" customFormat="false" ht="15" hidden="false" customHeight="false" outlineLevel="0" collapsed="false">
      <c r="A21" s="5" t="s">
        <v>360</v>
      </c>
      <c r="B21" s="6"/>
      <c r="C21" s="6"/>
      <c r="D21" s="6"/>
      <c r="E21" s="6"/>
      <c r="F21" s="6"/>
      <c r="G21" s="6"/>
      <c r="H21" s="6"/>
      <c r="I21" s="6"/>
      <c r="J21" s="6"/>
      <c r="K21" s="6"/>
      <c r="L21" s="6"/>
      <c r="M21" s="6"/>
      <c r="N21" s="6"/>
      <c r="O21" s="6"/>
      <c r="P21" s="6"/>
      <c r="Q21" s="6"/>
    </row>
    <row r="22" customFormat="false" ht="15" hidden="false" customHeight="false" outlineLevel="0" collapsed="false">
      <c r="A22" s="2"/>
      <c r="B22" s="9" t="str">
        <f aca="false">IF('Direct Costs'!$B$9="","(not used)",'Direct Costs'!$B$9)</f>
        <v>Steel and materials</v>
      </c>
      <c r="C22" s="47" t="n">
        <f aca="false">'Direct Costs'!J$23</f>
        <v>34650</v>
      </c>
      <c r="D22" s="47" t="n">
        <f aca="false">'Direct Costs'!K$23</f>
        <v>34650</v>
      </c>
      <c r="E22" s="47" t="n">
        <f aca="false">'Direct Costs'!L$23</f>
        <v>34650</v>
      </c>
      <c r="F22" s="47" t="n">
        <f aca="false">'Direct Costs'!M$23</f>
        <v>34650</v>
      </c>
      <c r="G22" s="47" t="n">
        <f aca="false">'Direct Costs'!N$23</f>
        <v>34650</v>
      </c>
      <c r="H22" s="47" t="n">
        <f aca="false">'Direct Costs'!O$23</f>
        <v>34650</v>
      </c>
      <c r="I22" s="47" t="n">
        <f aca="false">'Direct Costs'!P$23</f>
        <v>13500</v>
      </c>
      <c r="J22" s="47" t="n">
        <f aca="false">'Direct Costs'!Q$23</f>
        <v>7200</v>
      </c>
      <c r="K22" s="47" t="n">
        <f aca="false">'Direct Costs'!R$23</f>
        <v>34650</v>
      </c>
      <c r="L22" s="47" t="n">
        <f aca="false">'Direct Costs'!S$23</f>
        <v>34650</v>
      </c>
      <c r="M22" s="47" t="n">
        <f aca="false">'Direct Costs'!T$23</f>
        <v>34650</v>
      </c>
      <c r="N22" s="47" t="n">
        <f aca="false">'Direct Costs'!U$23</f>
        <v>34650</v>
      </c>
      <c r="O22" s="47" t="n">
        <f aca="false">'Direct Costs'!V$23</f>
        <v>34650</v>
      </c>
      <c r="P22" s="46" t="n">
        <f aca="false">SUM(C22:O22)</f>
        <v>401850</v>
      </c>
      <c r="Q22" s="85" t="n">
        <f aca="false">IF($P$19=0,0,P22/$P$19)</f>
        <v>0.45</v>
      </c>
    </row>
    <row r="23" customFormat="false" ht="15" hidden="false" customHeight="false" outlineLevel="0" collapsed="false">
      <c r="A23" s="2"/>
      <c r="B23" s="9" t="str">
        <f aca="false">IF('Direct Costs'!$B$10="","(not used)",'Direct Costs'!$B$10)</f>
        <v>Subcontract, coatings and carriage</v>
      </c>
      <c r="C23" s="47" t="n">
        <f aca="false">'Direct Costs'!J$24</f>
        <v>11550</v>
      </c>
      <c r="D23" s="47" t="n">
        <f aca="false">'Direct Costs'!K$24</f>
        <v>11550</v>
      </c>
      <c r="E23" s="47" t="n">
        <f aca="false">'Direct Costs'!L$24</f>
        <v>11550</v>
      </c>
      <c r="F23" s="47" t="n">
        <f aca="false">'Direct Costs'!M$24</f>
        <v>11550</v>
      </c>
      <c r="G23" s="47" t="n">
        <f aca="false">'Direct Costs'!N$24</f>
        <v>11550</v>
      </c>
      <c r="H23" s="47" t="n">
        <f aca="false">'Direct Costs'!O$24</f>
        <v>11550</v>
      </c>
      <c r="I23" s="47" t="n">
        <f aca="false">'Direct Costs'!P$24</f>
        <v>4500</v>
      </c>
      <c r="J23" s="47" t="n">
        <f aca="false">'Direct Costs'!Q$24</f>
        <v>2400</v>
      </c>
      <c r="K23" s="47" t="n">
        <f aca="false">'Direct Costs'!R$24</f>
        <v>11550</v>
      </c>
      <c r="L23" s="47" t="n">
        <f aca="false">'Direct Costs'!S$24</f>
        <v>11550</v>
      </c>
      <c r="M23" s="47" t="n">
        <f aca="false">'Direct Costs'!T$24</f>
        <v>11550</v>
      </c>
      <c r="N23" s="47" t="n">
        <f aca="false">'Direct Costs'!U$24</f>
        <v>11550</v>
      </c>
      <c r="O23" s="47" t="n">
        <f aca="false">'Direct Costs'!V$24</f>
        <v>11550</v>
      </c>
      <c r="P23" s="46" t="n">
        <f aca="false">SUM(C23:O23)</f>
        <v>133950</v>
      </c>
      <c r="Q23" s="85" t="n">
        <f aca="false">IF($P$19=0,0,P23/$P$19)</f>
        <v>0.15</v>
      </c>
    </row>
    <row r="24" customFormat="false" ht="15" hidden="false" customHeight="false" outlineLevel="0" collapsed="false">
      <c r="A24" s="2"/>
      <c r="B24" s="9" t="str">
        <f aca="false">IF('Direct Costs'!$B$11="","(not used)",'Direct Costs'!$B$11)</f>
        <v>(not used)</v>
      </c>
      <c r="C24" s="47" t="n">
        <f aca="false">'Direct Costs'!J$25</f>
        <v>0</v>
      </c>
      <c r="D24" s="47" t="n">
        <f aca="false">'Direct Costs'!K$25</f>
        <v>0</v>
      </c>
      <c r="E24" s="47" t="n">
        <f aca="false">'Direct Costs'!L$25</f>
        <v>0</v>
      </c>
      <c r="F24" s="47" t="n">
        <f aca="false">'Direct Costs'!M$25</f>
        <v>0</v>
      </c>
      <c r="G24" s="47" t="n">
        <f aca="false">'Direct Costs'!N$25</f>
        <v>0</v>
      </c>
      <c r="H24" s="47" t="n">
        <f aca="false">'Direct Costs'!O$25</f>
        <v>0</v>
      </c>
      <c r="I24" s="47" t="n">
        <f aca="false">'Direct Costs'!P$25</f>
        <v>0</v>
      </c>
      <c r="J24" s="47" t="n">
        <f aca="false">'Direct Costs'!Q$25</f>
        <v>0</v>
      </c>
      <c r="K24" s="47" t="n">
        <f aca="false">'Direct Costs'!R$25</f>
        <v>0</v>
      </c>
      <c r="L24" s="47" t="n">
        <f aca="false">'Direct Costs'!S$25</f>
        <v>0</v>
      </c>
      <c r="M24" s="47" t="n">
        <f aca="false">'Direct Costs'!T$25</f>
        <v>0</v>
      </c>
      <c r="N24" s="47" t="n">
        <f aca="false">'Direct Costs'!U$25</f>
        <v>0</v>
      </c>
      <c r="O24" s="47" t="n">
        <f aca="false">'Direct Costs'!V$25</f>
        <v>0</v>
      </c>
      <c r="P24" s="46" t="n">
        <f aca="false">SUM(C24:O24)</f>
        <v>0</v>
      </c>
      <c r="Q24" s="85" t="n">
        <f aca="false">IF($P$19=0,0,P24/$P$19)</f>
        <v>0</v>
      </c>
    </row>
    <row r="25" customFormat="false" ht="15" hidden="false" customHeight="false" outlineLevel="0" collapsed="false">
      <c r="A25" s="2"/>
      <c r="B25" s="9" t="str">
        <f aca="false">IF('Direct Costs'!$B$12="","(not used)",'Direct Costs'!$B$12)</f>
        <v>(not used)</v>
      </c>
      <c r="C25" s="47" t="n">
        <f aca="false">'Direct Costs'!J$26</f>
        <v>0</v>
      </c>
      <c r="D25" s="47" t="n">
        <f aca="false">'Direct Costs'!K$26</f>
        <v>0</v>
      </c>
      <c r="E25" s="47" t="n">
        <f aca="false">'Direct Costs'!L$26</f>
        <v>0</v>
      </c>
      <c r="F25" s="47" t="n">
        <f aca="false">'Direct Costs'!M$26</f>
        <v>0</v>
      </c>
      <c r="G25" s="47" t="n">
        <f aca="false">'Direct Costs'!N$26</f>
        <v>0</v>
      </c>
      <c r="H25" s="47" t="n">
        <f aca="false">'Direct Costs'!O$26</f>
        <v>0</v>
      </c>
      <c r="I25" s="47" t="n">
        <f aca="false">'Direct Costs'!P$26</f>
        <v>0</v>
      </c>
      <c r="J25" s="47" t="n">
        <f aca="false">'Direct Costs'!Q$26</f>
        <v>0</v>
      </c>
      <c r="K25" s="47" t="n">
        <f aca="false">'Direct Costs'!R$26</f>
        <v>0</v>
      </c>
      <c r="L25" s="47" t="n">
        <f aca="false">'Direct Costs'!S$26</f>
        <v>0</v>
      </c>
      <c r="M25" s="47" t="n">
        <f aca="false">'Direct Costs'!T$26</f>
        <v>0</v>
      </c>
      <c r="N25" s="47" t="n">
        <f aca="false">'Direct Costs'!U$26</f>
        <v>0</v>
      </c>
      <c r="O25" s="47" t="n">
        <f aca="false">'Direct Costs'!V$26</f>
        <v>0</v>
      </c>
      <c r="P25" s="46" t="n">
        <f aca="false">SUM(C25:O25)</f>
        <v>0</v>
      </c>
      <c r="Q25" s="85" t="n">
        <f aca="false">IF($P$19=0,0,P25/$P$19)</f>
        <v>0</v>
      </c>
    </row>
    <row r="26" customFormat="false" ht="15" hidden="false" customHeight="false" outlineLevel="0" collapsed="false">
      <c r="A26" s="2"/>
      <c r="B26" s="9" t="str">
        <f aca="false">IF('Direct Costs'!$B$13="","(not used)",'Direct Costs'!$B$13)</f>
        <v>(not used)</v>
      </c>
      <c r="C26" s="47" t="n">
        <f aca="false">'Direct Costs'!J$27</f>
        <v>0</v>
      </c>
      <c r="D26" s="47" t="n">
        <f aca="false">'Direct Costs'!K$27</f>
        <v>0</v>
      </c>
      <c r="E26" s="47" t="n">
        <f aca="false">'Direct Costs'!L$27</f>
        <v>0</v>
      </c>
      <c r="F26" s="47" t="n">
        <f aca="false">'Direct Costs'!M$27</f>
        <v>0</v>
      </c>
      <c r="G26" s="47" t="n">
        <f aca="false">'Direct Costs'!N$27</f>
        <v>0</v>
      </c>
      <c r="H26" s="47" t="n">
        <f aca="false">'Direct Costs'!O$27</f>
        <v>0</v>
      </c>
      <c r="I26" s="47" t="n">
        <f aca="false">'Direct Costs'!P$27</f>
        <v>0</v>
      </c>
      <c r="J26" s="47" t="n">
        <f aca="false">'Direct Costs'!Q$27</f>
        <v>0</v>
      </c>
      <c r="K26" s="47" t="n">
        <f aca="false">'Direct Costs'!R$27</f>
        <v>0</v>
      </c>
      <c r="L26" s="47" t="n">
        <f aca="false">'Direct Costs'!S$27</f>
        <v>0</v>
      </c>
      <c r="M26" s="47" t="n">
        <f aca="false">'Direct Costs'!T$27</f>
        <v>0</v>
      </c>
      <c r="N26" s="47" t="n">
        <f aca="false">'Direct Costs'!U$27</f>
        <v>0</v>
      </c>
      <c r="O26" s="47" t="n">
        <f aca="false">'Direct Costs'!V$27</f>
        <v>0</v>
      </c>
      <c r="P26" s="46" t="n">
        <f aca="false">SUM(C26:O26)</f>
        <v>0</v>
      </c>
      <c r="Q26" s="85" t="n">
        <f aca="false">IF($P$19=0,0,P26/$P$19)</f>
        <v>0</v>
      </c>
    </row>
    <row r="27" customFormat="false" ht="15" hidden="false" customHeight="false" outlineLevel="0" collapsed="false">
      <c r="A27" s="2"/>
      <c r="B27" s="9" t="str">
        <f aca="false">IF('Direct Costs'!$B$14="","(not used)",'Direct Costs'!$B$14)</f>
        <v>(not used)</v>
      </c>
      <c r="C27" s="47" t="n">
        <f aca="false">'Direct Costs'!J$28</f>
        <v>0</v>
      </c>
      <c r="D27" s="47" t="n">
        <f aca="false">'Direct Costs'!K$28</f>
        <v>0</v>
      </c>
      <c r="E27" s="47" t="n">
        <f aca="false">'Direct Costs'!L$28</f>
        <v>0</v>
      </c>
      <c r="F27" s="47" t="n">
        <f aca="false">'Direct Costs'!M$28</f>
        <v>0</v>
      </c>
      <c r="G27" s="47" t="n">
        <f aca="false">'Direct Costs'!N$28</f>
        <v>0</v>
      </c>
      <c r="H27" s="47" t="n">
        <f aca="false">'Direct Costs'!O$28</f>
        <v>0</v>
      </c>
      <c r="I27" s="47" t="n">
        <f aca="false">'Direct Costs'!P$28</f>
        <v>0</v>
      </c>
      <c r="J27" s="47" t="n">
        <f aca="false">'Direct Costs'!Q$28</f>
        <v>0</v>
      </c>
      <c r="K27" s="47" t="n">
        <f aca="false">'Direct Costs'!R$28</f>
        <v>0</v>
      </c>
      <c r="L27" s="47" t="n">
        <f aca="false">'Direct Costs'!S$28</f>
        <v>0</v>
      </c>
      <c r="M27" s="47" t="n">
        <f aca="false">'Direct Costs'!T$28</f>
        <v>0</v>
      </c>
      <c r="N27" s="47" t="n">
        <f aca="false">'Direct Costs'!U$28</f>
        <v>0</v>
      </c>
      <c r="O27" s="47" t="n">
        <f aca="false">'Direct Costs'!V$28</f>
        <v>0</v>
      </c>
      <c r="P27" s="46" t="n">
        <f aca="false">SUM(C27:O27)</f>
        <v>0</v>
      </c>
      <c r="Q27" s="85" t="n">
        <f aca="false">IF($P$19=0,0,P27/$P$19)</f>
        <v>0</v>
      </c>
    </row>
    <row r="28" customFormat="false" ht="15" hidden="false" customHeight="false" outlineLevel="0" collapsed="false">
      <c r="A28" s="2"/>
      <c r="B28" s="9" t="str">
        <f aca="false">IF('Direct Costs'!$B$15="","(not used)",'Direct Costs'!$B$15)</f>
        <v>(not used)</v>
      </c>
      <c r="C28" s="47" t="n">
        <f aca="false">'Direct Costs'!J$29</f>
        <v>0</v>
      </c>
      <c r="D28" s="47" t="n">
        <f aca="false">'Direct Costs'!K$29</f>
        <v>0</v>
      </c>
      <c r="E28" s="47" t="n">
        <f aca="false">'Direct Costs'!L$29</f>
        <v>0</v>
      </c>
      <c r="F28" s="47" t="n">
        <f aca="false">'Direct Costs'!M$29</f>
        <v>0</v>
      </c>
      <c r="G28" s="47" t="n">
        <f aca="false">'Direct Costs'!N$29</f>
        <v>0</v>
      </c>
      <c r="H28" s="47" t="n">
        <f aca="false">'Direct Costs'!O$29</f>
        <v>0</v>
      </c>
      <c r="I28" s="47" t="n">
        <f aca="false">'Direct Costs'!P$29</f>
        <v>0</v>
      </c>
      <c r="J28" s="47" t="n">
        <f aca="false">'Direct Costs'!Q$29</f>
        <v>0</v>
      </c>
      <c r="K28" s="47" t="n">
        <f aca="false">'Direct Costs'!R$29</f>
        <v>0</v>
      </c>
      <c r="L28" s="47" t="n">
        <f aca="false">'Direct Costs'!S$29</f>
        <v>0</v>
      </c>
      <c r="M28" s="47" t="n">
        <f aca="false">'Direct Costs'!T$29</f>
        <v>0</v>
      </c>
      <c r="N28" s="47" t="n">
        <f aca="false">'Direct Costs'!U$29</f>
        <v>0</v>
      </c>
      <c r="O28" s="47" t="n">
        <f aca="false">'Direct Costs'!V$29</f>
        <v>0</v>
      </c>
      <c r="P28" s="46" t="n">
        <f aca="false">SUM(C28:O28)</f>
        <v>0</v>
      </c>
      <c r="Q28" s="85" t="n">
        <f aca="false">IF($P$19=0,0,P28/$P$19)</f>
        <v>0</v>
      </c>
    </row>
    <row r="29" customFormat="false" ht="15" hidden="false" customHeight="false" outlineLevel="0" collapsed="false">
      <c r="A29" s="2"/>
      <c r="B29" s="9" t="str">
        <f aca="false">IF('Direct Costs'!$B$16="","(not used)",'Direct Costs'!$B$16)</f>
        <v>(not used)</v>
      </c>
      <c r="C29" s="47" t="n">
        <f aca="false">'Direct Costs'!J$30</f>
        <v>0</v>
      </c>
      <c r="D29" s="47" t="n">
        <f aca="false">'Direct Costs'!K$30</f>
        <v>0</v>
      </c>
      <c r="E29" s="47" t="n">
        <f aca="false">'Direct Costs'!L$30</f>
        <v>0</v>
      </c>
      <c r="F29" s="47" t="n">
        <f aca="false">'Direct Costs'!M$30</f>
        <v>0</v>
      </c>
      <c r="G29" s="47" t="n">
        <f aca="false">'Direct Costs'!N$30</f>
        <v>0</v>
      </c>
      <c r="H29" s="47" t="n">
        <f aca="false">'Direct Costs'!O$30</f>
        <v>0</v>
      </c>
      <c r="I29" s="47" t="n">
        <f aca="false">'Direct Costs'!P$30</f>
        <v>0</v>
      </c>
      <c r="J29" s="47" t="n">
        <f aca="false">'Direct Costs'!Q$30</f>
        <v>0</v>
      </c>
      <c r="K29" s="47" t="n">
        <f aca="false">'Direct Costs'!R$30</f>
        <v>0</v>
      </c>
      <c r="L29" s="47" t="n">
        <f aca="false">'Direct Costs'!S$30</f>
        <v>0</v>
      </c>
      <c r="M29" s="47" t="n">
        <f aca="false">'Direct Costs'!T$30</f>
        <v>0</v>
      </c>
      <c r="N29" s="47" t="n">
        <f aca="false">'Direct Costs'!U$30</f>
        <v>0</v>
      </c>
      <c r="O29" s="47" t="n">
        <f aca="false">'Direct Costs'!V$30</f>
        <v>0</v>
      </c>
      <c r="P29" s="46" t="n">
        <f aca="false">SUM(C29:O29)</f>
        <v>0</v>
      </c>
      <c r="Q29" s="85" t="n">
        <f aca="false">IF($P$19=0,0,P29/$P$19)</f>
        <v>0</v>
      </c>
    </row>
    <row r="30" customFormat="false" ht="15" hidden="false" customHeight="false" outlineLevel="0" collapsed="false">
      <c r="A30" s="2"/>
      <c r="B30" s="9" t="str">
        <f aca="false">IF('Direct Costs'!$B$17="","(not used)",'Direct Costs'!$B$17)</f>
        <v>(not used)</v>
      </c>
      <c r="C30" s="47" t="n">
        <f aca="false">'Direct Costs'!J$31</f>
        <v>0</v>
      </c>
      <c r="D30" s="47" t="n">
        <f aca="false">'Direct Costs'!K$31</f>
        <v>0</v>
      </c>
      <c r="E30" s="47" t="n">
        <f aca="false">'Direct Costs'!L$31</f>
        <v>0</v>
      </c>
      <c r="F30" s="47" t="n">
        <f aca="false">'Direct Costs'!M$31</f>
        <v>0</v>
      </c>
      <c r="G30" s="47" t="n">
        <f aca="false">'Direct Costs'!N$31</f>
        <v>0</v>
      </c>
      <c r="H30" s="47" t="n">
        <f aca="false">'Direct Costs'!O$31</f>
        <v>0</v>
      </c>
      <c r="I30" s="47" t="n">
        <f aca="false">'Direct Costs'!P$31</f>
        <v>0</v>
      </c>
      <c r="J30" s="47" t="n">
        <f aca="false">'Direct Costs'!Q$31</f>
        <v>0</v>
      </c>
      <c r="K30" s="47" t="n">
        <f aca="false">'Direct Costs'!R$31</f>
        <v>0</v>
      </c>
      <c r="L30" s="47" t="n">
        <f aca="false">'Direct Costs'!S$31</f>
        <v>0</v>
      </c>
      <c r="M30" s="47" t="n">
        <f aca="false">'Direct Costs'!T$31</f>
        <v>0</v>
      </c>
      <c r="N30" s="47" t="n">
        <f aca="false">'Direct Costs'!U$31</f>
        <v>0</v>
      </c>
      <c r="O30" s="47" t="n">
        <f aca="false">'Direct Costs'!V$31</f>
        <v>0</v>
      </c>
      <c r="P30" s="46" t="n">
        <f aca="false">SUM(C30:O30)</f>
        <v>0</v>
      </c>
      <c r="Q30" s="85" t="n">
        <f aca="false">IF($P$19=0,0,P30/$P$19)</f>
        <v>0</v>
      </c>
    </row>
    <row r="31" customFormat="false" ht="15" hidden="false" customHeight="false" outlineLevel="0" collapsed="false">
      <c r="A31" s="2"/>
      <c r="B31" s="9" t="str">
        <f aca="false">IF('Direct Costs'!$B$18="","(not used)",'Direct Costs'!$B$18)</f>
        <v>(not used)</v>
      </c>
      <c r="C31" s="47" t="n">
        <f aca="false">'Direct Costs'!J$32</f>
        <v>0</v>
      </c>
      <c r="D31" s="47" t="n">
        <f aca="false">'Direct Costs'!K$32</f>
        <v>0</v>
      </c>
      <c r="E31" s="47" t="n">
        <f aca="false">'Direct Costs'!L$32</f>
        <v>0</v>
      </c>
      <c r="F31" s="47" t="n">
        <f aca="false">'Direct Costs'!M$32</f>
        <v>0</v>
      </c>
      <c r="G31" s="47" t="n">
        <f aca="false">'Direct Costs'!N$32</f>
        <v>0</v>
      </c>
      <c r="H31" s="47" t="n">
        <f aca="false">'Direct Costs'!O$32</f>
        <v>0</v>
      </c>
      <c r="I31" s="47" t="n">
        <f aca="false">'Direct Costs'!P$32</f>
        <v>0</v>
      </c>
      <c r="J31" s="47" t="n">
        <f aca="false">'Direct Costs'!Q$32</f>
        <v>0</v>
      </c>
      <c r="K31" s="47" t="n">
        <f aca="false">'Direct Costs'!R$32</f>
        <v>0</v>
      </c>
      <c r="L31" s="47" t="n">
        <f aca="false">'Direct Costs'!S$32</f>
        <v>0</v>
      </c>
      <c r="M31" s="47" t="n">
        <f aca="false">'Direct Costs'!T$32</f>
        <v>0</v>
      </c>
      <c r="N31" s="47" t="n">
        <f aca="false">'Direct Costs'!U$32</f>
        <v>0</v>
      </c>
      <c r="O31" s="47" t="n">
        <f aca="false">'Direct Costs'!V$32</f>
        <v>0</v>
      </c>
      <c r="P31" s="46" t="n">
        <f aca="false">SUM(C31:O31)</f>
        <v>0</v>
      </c>
      <c r="Q31" s="85" t="n">
        <f aca="false">IF($P$19=0,0,P31/$P$19)</f>
        <v>0</v>
      </c>
    </row>
    <row r="32" customFormat="false" ht="15" hidden="false" customHeight="false" outlineLevel="0" collapsed="false">
      <c r="A32" s="2"/>
      <c r="B32" s="15" t="s">
        <v>361</v>
      </c>
      <c r="C32" s="48" t="n">
        <f aca="false">SUM(C22:C31)</f>
        <v>46200</v>
      </c>
      <c r="D32" s="48" t="n">
        <f aca="false">SUM(D22:D31)</f>
        <v>46200</v>
      </c>
      <c r="E32" s="48" t="n">
        <f aca="false">SUM(E22:E31)</f>
        <v>46200</v>
      </c>
      <c r="F32" s="48" t="n">
        <f aca="false">SUM(F22:F31)</f>
        <v>46200</v>
      </c>
      <c r="G32" s="48" t="n">
        <f aca="false">SUM(G22:G31)</f>
        <v>46200</v>
      </c>
      <c r="H32" s="48" t="n">
        <f aca="false">SUM(H22:H31)</f>
        <v>46200</v>
      </c>
      <c r="I32" s="48" t="n">
        <f aca="false">SUM(I22:I31)</f>
        <v>18000</v>
      </c>
      <c r="J32" s="48" t="n">
        <f aca="false">SUM(J22:J31)</f>
        <v>9600</v>
      </c>
      <c r="K32" s="48" t="n">
        <f aca="false">SUM(K22:K31)</f>
        <v>46200</v>
      </c>
      <c r="L32" s="48" t="n">
        <f aca="false">SUM(L22:L31)</f>
        <v>46200</v>
      </c>
      <c r="M32" s="48" t="n">
        <f aca="false">SUM(M22:M31)</f>
        <v>46200</v>
      </c>
      <c r="N32" s="48" t="n">
        <f aca="false">SUM(N22:N31)</f>
        <v>46200</v>
      </c>
      <c r="O32" s="48" t="n">
        <f aca="false">SUM(O22:O31)</f>
        <v>46200</v>
      </c>
      <c r="P32" s="48" t="n">
        <f aca="false">SUM(P22:P31)</f>
        <v>535800</v>
      </c>
      <c r="Q32" s="86" t="n">
        <f aca="false">IF($P$19=0,0,P32/$P$19)</f>
        <v>0.6</v>
      </c>
    </row>
    <row r="33" customFormat="false" ht="15" hidden="false" customHeight="false" outlineLevel="0" collapsed="false">
      <c r="A33" s="2"/>
      <c r="B33" s="2"/>
      <c r="C33" s="2"/>
      <c r="D33" s="2"/>
      <c r="E33" s="2"/>
      <c r="F33" s="2"/>
      <c r="G33" s="2"/>
      <c r="H33" s="2"/>
      <c r="I33" s="2"/>
      <c r="J33" s="2"/>
      <c r="K33" s="2"/>
      <c r="L33" s="2"/>
      <c r="M33" s="2"/>
      <c r="N33" s="2"/>
      <c r="O33" s="2"/>
      <c r="P33" s="2"/>
      <c r="Q33" s="2"/>
    </row>
    <row r="34" customFormat="false" ht="15" hidden="false" customHeight="false" outlineLevel="0" collapsed="false">
      <c r="A34" s="2"/>
      <c r="B34" s="37" t="s">
        <v>362</v>
      </c>
      <c r="C34" s="52" t="n">
        <f aca="false">C19-C32</f>
        <v>30800</v>
      </c>
      <c r="D34" s="52" t="n">
        <f aca="false">D19-D32</f>
        <v>30800</v>
      </c>
      <c r="E34" s="52" t="n">
        <f aca="false">E19-E32</f>
        <v>30800</v>
      </c>
      <c r="F34" s="52" t="n">
        <f aca="false">F19-F32</f>
        <v>30800</v>
      </c>
      <c r="G34" s="52" t="n">
        <f aca="false">G19-G32</f>
        <v>30800</v>
      </c>
      <c r="H34" s="52" t="n">
        <f aca="false">H19-H32</f>
        <v>30800</v>
      </c>
      <c r="I34" s="52" t="n">
        <f aca="false">I19-I32</f>
        <v>12000</v>
      </c>
      <c r="J34" s="52" t="n">
        <f aca="false">J19-J32</f>
        <v>6400</v>
      </c>
      <c r="K34" s="52" t="n">
        <f aca="false">K19-K32</f>
        <v>30800</v>
      </c>
      <c r="L34" s="52" t="n">
        <f aca="false">L19-L32</f>
        <v>30800</v>
      </c>
      <c r="M34" s="52" t="n">
        <f aca="false">M19-M32</f>
        <v>30800</v>
      </c>
      <c r="N34" s="52" t="n">
        <f aca="false">N19-N32</f>
        <v>30800</v>
      </c>
      <c r="O34" s="52" t="n">
        <f aca="false">O19-O32</f>
        <v>30800</v>
      </c>
      <c r="P34" s="52" t="n">
        <f aca="false">P19-P32</f>
        <v>357200</v>
      </c>
      <c r="Q34" s="2"/>
    </row>
    <row r="35" customFormat="false" ht="15" hidden="false" customHeight="false" outlineLevel="0" collapsed="false">
      <c r="A35" s="2"/>
      <c r="B35" s="9" t="s">
        <v>363</v>
      </c>
      <c r="C35" s="85" t="n">
        <f aca="false">IF(C19=0,0,C34/C19)</f>
        <v>0.4</v>
      </c>
      <c r="D35" s="85" t="n">
        <f aca="false">IF(D19=0,0,D34/D19)</f>
        <v>0.4</v>
      </c>
      <c r="E35" s="85" t="n">
        <f aca="false">IF(E19=0,0,E34/E19)</f>
        <v>0.4</v>
      </c>
      <c r="F35" s="85" t="n">
        <f aca="false">IF(F19=0,0,F34/F19)</f>
        <v>0.4</v>
      </c>
      <c r="G35" s="85" t="n">
        <f aca="false">IF(G19=0,0,G34/G19)</f>
        <v>0.4</v>
      </c>
      <c r="H35" s="85" t="n">
        <f aca="false">IF(H19=0,0,H34/H19)</f>
        <v>0.4</v>
      </c>
      <c r="I35" s="85" t="n">
        <f aca="false">IF(I19=0,0,I34/I19)</f>
        <v>0.4</v>
      </c>
      <c r="J35" s="85" t="n">
        <f aca="false">IF(J19=0,0,J34/J19)</f>
        <v>0.4</v>
      </c>
      <c r="K35" s="85" t="n">
        <f aca="false">IF(K19=0,0,K34/K19)</f>
        <v>0.4</v>
      </c>
      <c r="L35" s="85" t="n">
        <f aca="false">IF(L19=0,0,L34/L19)</f>
        <v>0.4</v>
      </c>
      <c r="M35" s="85" t="n">
        <f aca="false">IF(M19=0,0,M34/M19)</f>
        <v>0.4</v>
      </c>
      <c r="N35" s="85" t="n">
        <f aca="false">IF(N19=0,0,N34/N19)</f>
        <v>0.4</v>
      </c>
      <c r="O35" s="85" t="n">
        <f aca="false">IF(O19=0,0,O34/O19)</f>
        <v>0.4</v>
      </c>
      <c r="P35" s="85" t="n">
        <f aca="false">IF(P19=0,0,P34/P19)</f>
        <v>0.4</v>
      </c>
      <c r="Q35" s="2"/>
    </row>
    <row r="36" customFormat="false" ht="15" hidden="false" customHeight="false" outlineLevel="0" collapsed="false">
      <c r="A36" s="2"/>
      <c r="B36" s="2"/>
      <c r="C36" s="2"/>
      <c r="D36" s="2"/>
      <c r="E36" s="2"/>
      <c r="F36" s="2"/>
      <c r="G36" s="2"/>
      <c r="H36" s="2"/>
      <c r="I36" s="2"/>
      <c r="J36" s="2"/>
      <c r="K36" s="2"/>
      <c r="L36" s="2"/>
      <c r="M36" s="2"/>
      <c r="N36" s="2"/>
      <c r="O36" s="2"/>
      <c r="P36" s="2"/>
      <c r="Q36" s="2"/>
    </row>
    <row r="37" customFormat="false" ht="15" hidden="false" customHeight="false" outlineLevel="0" collapsed="false">
      <c r="A37" s="5" t="s">
        <v>364</v>
      </c>
      <c r="B37" s="6"/>
      <c r="C37" s="6"/>
      <c r="D37" s="6"/>
      <c r="E37" s="6"/>
      <c r="F37" s="6"/>
      <c r="G37" s="6"/>
      <c r="H37" s="6"/>
      <c r="I37" s="6"/>
      <c r="J37" s="6"/>
      <c r="K37" s="6"/>
      <c r="L37" s="6"/>
      <c r="M37" s="6"/>
      <c r="N37" s="6"/>
      <c r="O37" s="6"/>
      <c r="P37" s="6"/>
      <c r="Q37" s="6"/>
    </row>
    <row r="38" customFormat="false" ht="15" hidden="false" customHeight="false" outlineLevel="0" collapsed="false">
      <c r="A38" s="2"/>
      <c r="B38" s="9" t="str">
        <f aca="false">Overheads!$B$65</f>
        <v>Premises (rent, rates, service charge)</v>
      </c>
      <c r="C38" s="47" t="n">
        <f aca="false">Overheads!J$65</f>
        <v>0</v>
      </c>
      <c r="D38" s="47" t="n">
        <f aca="false">Overheads!K$65</f>
        <v>3500</v>
      </c>
      <c r="E38" s="47" t="n">
        <f aca="false">Overheads!L$65</f>
        <v>0</v>
      </c>
      <c r="F38" s="47" t="n">
        <f aca="false">Overheads!M$65</f>
        <v>0</v>
      </c>
      <c r="G38" s="47" t="n">
        <f aca="false">Overheads!N$65</f>
        <v>0</v>
      </c>
      <c r="H38" s="47" t="n">
        <f aca="false">Overheads!O$65</f>
        <v>3500</v>
      </c>
      <c r="I38" s="47" t="n">
        <f aca="false">Overheads!P$65</f>
        <v>30000</v>
      </c>
      <c r="J38" s="47" t="n">
        <f aca="false">Overheads!Q$65</f>
        <v>0</v>
      </c>
      <c r="K38" s="47" t="n">
        <f aca="false">Overheads!R$65</f>
        <v>0</v>
      </c>
      <c r="L38" s="47" t="n">
        <f aca="false">Overheads!S$65</f>
        <v>3500</v>
      </c>
      <c r="M38" s="47" t="n">
        <f aca="false">Overheads!T$65</f>
        <v>0</v>
      </c>
      <c r="N38" s="47" t="n">
        <f aca="false">Overheads!U$65</f>
        <v>0</v>
      </c>
      <c r="O38" s="47" t="n">
        <f aca="false">Overheads!V$65</f>
        <v>0</v>
      </c>
      <c r="P38" s="46" t="n">
        <f aca="false">SUM(C38:O38)</f>
        <v>40500</v>
      </c>
      <c r="Q38" s="85" t="n">
        <f aca="false">IF($P$19=0,0,P38/$P$19)</f>
        <v>0.0453527435610302</v>
      </c>
    </row>
    <row r="39" customFormat="false" ht="15" hidden="false" customHeight="false" outlineLevel="0" collapsed="false">
      <c r="A39" s="2"/>
      <c r="B39" s="9" t="str">
        <f aca="false">Overheads!$B$66</f>
        <v>Utilities (gas, electric, water)</v>
      </c>
      <c r="C39" s="47" t="n">
        <f aca="false">Overheads!J$66</f>
        <v>0</v>
      </c>
      <c r="D39" s="47" t="n">
        <f aca="false">Overheads!K$66</f>
        <v>6000</v>
      </c>
      <c r="E39" s="47" t="n">
        <f aca="false">Overheads!L$66</f>
        <v>0</v>
      </c>
      <c r="F39" s="47" t="n">
        <f aca="false">Overheads!M$66</f>
        <v>0</v>
      </c>
      <c r="G39" s="47" t="n">
        <f aca="false">Overheads!N$66</f>
        <v>0</v>
      </c>
      <c r="H39" s="47" t="n">
        <f aca="false">Overheads!O$66</f>
        <v>0</v>
      </c>
      <c r="I39" s="47" t="n">
        <f aca="false">Overheads!P$66</f>
        <v>6000</v>
      </c>
      <c r="J39" s="47" t="n">
        <f aca="false">Overheads!Q$66</f>
        <v>0</v>
      </c>
      <c r="K39" s="47" t="n">
        <f aca="false">Overheads!R$66</f>
        <v>0</v>
      </c>
      <c r="L39" s="47" t="n">
        <f aca="false">Overheads!S$66</f>
        <v>0</v>
      </c>
      <c r="M39" s="47" t="n">
        <f aca="false">Overheads!T$66</f>
        <v>6000</v>
      </c>
      <c r="N39" s="47" t="n">
        <f aca="false">Overheads!U$66</f>
        <v>0</v>
      </c>
      <c r="O39" s="47" t="n">
        <f aca="false">Overheads!V$66</f>
        <v>0</v>
      </c>
      <c r="P39" s="46" t="n">
        <f aca="false">SUM(C39:O39)</f>
        <v>18000</v>
      </c>
      <c r="Q39" s="85" t="n">
        <f aca="false">IF($P$19=0,0,P39/$P$19)</f>
        <v>0.0201567749160134</v>
      </c>
    </row>
    <row r="40" customFormat="false" ht="15" hidden="false" customHeight="false" outlineLevel="0" collapsed="false">
      <c r="A40" s="2"/>
      <c r="B40" s="9" t="str">
        <f aca="false">Overheads!$B$67</f>
        <v>Insurance</v>
      </c>
      <c r="C40" s="47" t="n">
        <f aca="false">Overheads!J$67</f>
        <v>0</v>
      </c>
      <c r="D40" s="47" t="n">
        <f aca="false">Overheads!K$67</f>
        <v>0</v>
      </c>
      <c r="E40" s="47" t="n">
        <f aca="false">Overheads!L$67</f>
        <v>0</v>
      </c>
      <c r="F40" s="47" t="n">
        <f aca="false">Overheads!M$67</f>
        <v>2500</v>
      </c>
      <c r="G40" s="47" t="n">
        <f aca="false">Overheads!N$67</f>
        <v>0</v>
      </c>
      <c r="H40" s="47" t="n">
        <f aca="false">Overheads!O$67</f>
        <v>0</v>
      </c>
      <c r="I40" s="47" t="n">
        <f aca="false">Overheads!P$67</f>
        <v>0</v>
      </c>
      <c r="J40" s="47" t="n">
        <f aca="false">Overheads!Q$67</f>
        <v>2500</v>
      </c>
      <c r="K40" s="47" t="n">
        <f aca="false">Overheads!R$67</f>
        <v>0</v>
      </c>
      <c r="L40" s="47" t="n">
        <f aca="false">Overheads!S$67</f>
        <v>0</v>
      </c>
      <c r="M40" s="47" t="n">
        <f aca="false">Overheads!T$67</f>
        <v>0</v>
      </c>
      <c r="N40" s="47" t="n">
        <f aca="false">Overheads!U$67</f>
        <v>0</v>
      </c>
      <c r="O40" s="47" t="n">
        <f aca="false">Overheads!V$67</f>
        <v>2500</v>
      </c>
      <c r="P40" s="46" t="n">
        <f aca="false">SUM(C40:O40)</f>
        <v>7500</v>
      </c>
      <c r="Q40" s="85" t="n">
        <f aca="false">IF($P$19=0,0,P40/$P$19)</f>
        <v>0.0083986562150056</v>
      </c>
    </row>
    <row r="41" customFormat="false" ht="15" hidden="false" customHeight="false" outlineLevel="0" collapsed="false">
      <c r="A41" s="2"/>
      <c r="B41" s="9" t="str">
        <f aca="false">Overheads!$B$68</f>
        <v>IT &amp; software</v>
      </c>
      <c r="C41" s="47" t="n">
        <f aca="false">Overheads!J$68</f>
        <v>1500</v>
      </c>
      <c r="D41" s="47" t="n">
        <f aca="false">Overheads!K$68</f>
        <v>0</v>
      </c>
      <c r="E41" s="47" t="n">
        <f aca="false">Overheads!L$68</f>
        <v>0</v>
      </c>
      <c r="F41" s="47" t="n">
        <f aca="false">Overheads!M$68</f>
        <v>0</v>
      </c>
      <c r="G41" s="47" t="n">
        <f aca="false">Overheads!N$68</f>
        <v>1500</v>
      </c>
      <c r="H41" s="47" t="n">
        <f aca="false">Overheads!O$68</f>
        <v>0</v>
      </c>
      <c r="I41" s="47" t="n">
        <f aca="false">Overheads!P$68</f>
        <v>0</v>
      </c>
      <c r="J41" s="47" t="n">
        <f aca="false">Overheads!Q$68</f>
        <v>0</v>
      </c>
      <c r="K41" s="47" t="n">
        <f aca="false">Overheads!R$68</f>
        <v>0</v>
      </c>
      <c r="L41" s="47" t="n">
        <f aca="false">Overheads!S$68</f>
        <v>1500</v>
      </c>
      <c r="M41" s="47" t="n">
        <f aca="false">Overheads!T$68</f>
        <v>0</v>
      </c>
      <c r="N41" s="47" t="n">
        <f aca="false">Overheads!U$68</f>
        <v>0</v>
      </c>
      <c r="O41" s="47" t="n">
        <f aca="false">Overheads!V$68</f>
        <v>0</v>
      </c>
      <c r="P41" s="46" t="n">
        <f aca="false">SUM(C41:O41)</f>
        <v>4500</v>
      </c>
      <c r="Q41" s="85" t="n">
        <f aca="false">IF($P$19=0,0,P41/$P$19)</f>
        <v>0.00503919372900336</v>
      </c>
    </row>
    <row r="42" customFormat="false" ht="15" hidden="false" customHeight="false" outlineLevel="0" collapsed="false">
      <c r="A42" s="2"/>
      <c r="B42" s="9" t="str">
        <f aca="false">Overheads!$B$69</f>
        <v>Telephone &amp; internet</v>
      </c>
      <c r="C42" s="47" t="n">
        <f aca="false">Overheads!J$69</f>
        <v>0</v>
      </c>
      <c r="D42" s="47" t="n">
        <f aca="false">Overheads!K$69</f>
        <v>600</v>
      </c>
      <c r="E42" s="47" t="n">
        <f aca="false">Overheads!L$69</f>
        <v>0</v>
      </c>
      <c r="F42" s="47" t="n">
        <f aca="false">Overheads!M$69</f>
        <v>0</v>
      </c>
      <c r="G42" s="47" t="n">
        <f aca="false">Overheads!N$69</f>
        <v>0</v>
      </c>
      <c r="H42" s="47" t="n">
        <f aca="false">Overheads!O$69</f>
        <v>600</v>
      </c>
      <c r="I42" s="47" t="n">
        <f aca="false">Overheads!P$69</f>
        <v>0</v>
      </c>
      <c r="J42" s="47" t="n">
        <f aca="false">Overheads!Q$69</f>
        <v>0</v>
      </c>
      <c r="K42" s="47" t="n">
        <f aca="false">Overheads!R$69</f>
        <v>0</v>
      </c>
      <c r="L42" s="47" t="n">
        <f aca="false">Overheads!S$69</f>
        <v>0</v>
      </c>
      <c r="M42" s="47" t="n">
        <f aca="false">Overheads!T$69</f>
        <v>600</v>
      </c>
      <c r="N42" s="47" t="n">
        <f aca="false">Overheads!U$69</f>
        <v>0</v>
      </c>
      <c r="O42" s="47" t="n">
        <f aca="false">Overheads!V$69</f>
        <v>0</v>
      </c>
      <c r="P42" s="46" t="n">
        <f aca="false">SUM(C42:O42)</f>
        <v>1800</v>
      </c>
      <c r="Q42" s="85" t="n">
        <f aca="false">IF($P$19=0,0,P42/$P$19)</f>
        <v>0.00201567749160134</v>
      </c>
    </row>
    <row r="43" customFormat="false" ht="15" hidden="false" customHeight="false" outlineLevel="0" collapsed="false">
      <c r="A43" s="2"/>
      <c r="B43" s="9" t="str">
        <f aca="false">Overheads!$B$70</f>
        <v>Marketing &amp; advertising</v>
      </c>
      <c r="C43" s="47" t="n">
        <f aca="false">Overheads!J$70</f>
        <v>0</v>
      </c>
      <c r="D43" s="47" t="n">
        <f aca="false">Overheads!K$70</f>
        <v>0</v>
      </c>
      <c r="E43" s="47" t="n">
        <f aca="false">Overheads!L$70</f>
        <v>0</v>
      </c>
      <c r="F43" s="47" t="n">
        <f aca="false">Overheads!M$70</f>
        <v>1500</v>
      </c>
      <c r="G43" s="47" t="n">
        <f aca="false">Overheads!N$70</f>
        <v>0</v>
      </c>
      <c r="H43" s="47" t="n">
        <f aca="false">Overheads!O$70</f>
        <v>0</v>
      </c>
      <c r="I43" s="47" t="n">
        <f aca="false">Overheads!P$70</f>
        <v>0</v>
      </c>
      <c r="J43" s="47" t="n">
        <f aca="false">Overheads!Q$70</f>
        <v>1500</v>
      </c>
      <c r="K43" s="47" t="n">
        <f aca="false">Overheads!R$70</f>
        <v>0</v>
      </c>
      <c r="L43" s="47" t="n">
        <f aca="false">Overheads!S$70</f>
        <v>0</v>
      </c>
      <c r="M43" s="47" t="n">
        <f aca="false">Overheads!T$70</f>
        <v>0</v>
      </c>
      <c r="N43" s="47" t="n">
        <f aca="false">Overheads!U$70</f>
        <v>0</v>
      </c>
      <c r="O43" s="47" t="n">
        <f aca="false">Overheads!V$70</f>
        <v>1500</v>
      </c>
      <c r="P43" s="46" t="n">
        <f aca="false">SUM(C43:O43)</f>
        <v>4500</v>
      </c>
      <c r="Q43" s="85" t="n">
        <f aca="false">IF($P$19=0,0,P43/$P$19)</f>
        <v>0.00503919372900336</v>
      </c>
    </row>
    <row r="44" customFormat="false" ht="15" hidden="false" customHeight="false" outlineLevel="0" collapsed="false">
      <c r="A44" s="2"/>
      <c r="B44" s="9" t="str">
        <f aca="false">Overheads!$B$71</f>
        <v>Professional fees</v>
      </c>
      <c r="C44" s="47" t="n">
        <f aca="false">Overheads!J$71</f>
        <v>0</v>
      </c>
      <c r="D44" s="47" t="n">
        <f aca="false">Overheads!K$71</f>
        <v>0</v>
      </c>
      <c r="E44" s="47" t="n">
        <f aca="false">Overheads!L$71</f>
        <v>0</v>
      </c>
      <c r="F44" s="47" t="n">
        <f aca="false">Overheads!M$71</f>
        <v>2000</v>
      </c>
      <c r="G44" s="47" t="n">
        <f aca="false">Overheads!N$71</f>
        <v>0</v>
      </c>
      <c r="H44" s="47" t="n">
        <f aca="false">Overheads!O$71</f>
        <v>0</v>
      </c>
      <c r="I44" s="47" t="n">
        <f aca="false">Overheads!P$71</f>
        <v>0</v>
      </c>
      <c r="J44" s="47" t="n">
        <f aca="false">Overheads!Q$71</f>
        <v>2000</v>
      </c>
      <c r="K44" s="47" t="n">
        <f aca="false">Overheads!R$71</f>
        <v>0</v>
      </c>
      <c r="L44" s="47" t="n">
        <f aca="false">Overheads!S$71</f>
        <v>0</v>
      </c>
      <c r="M44" s="47" t="n">
        <f aca="false">Overheads!T$71</f>
        <v>0</v>
      </c>
      <c r="N44" s="47" t="n">
        <f aca="false">Overheads!U$71</f>
        <v>2000</v>
      </c>
      <c r="O44" s="47" t="n">
        <f aca="false">Overheads!V$71</f>
        <v>0</v>
      </c>
      <c r="P44" s="46" t="n">
        <f aca="false">SUM(C44:O44)</f>
        <v>6000</v>
      </c>
      <c r="Q44" s="85" t="n">
        <f aca="false">IF($P$19=0,0,P44/$P$19)</f>
        <v>0.00671892497200448</v>
      </c>
    </row>
    <row r="45" customFormat="false" ht="15" hidden="false" customHeight="false" outlineLevel="0" collapsed="false">
      <c r="A45" s="2"/>
      <c r="B45" s="9" t="str">
        <f aca="false">Overheads!$B$72</f>
        <v>Motor &amp; travel</v>
      </c>
      <c r="C45" s="47" t="n">
        <f aca="false">Overheads!J$72</f>
        <v>1800</v>
      </c>
      <c r="D45" s="47" t="n">
        <f aca="false">Overheads!K$72</f>
        <v>0</v>
      </c>
      <c r="E45" s="47" t="n">
        <f aca="false">Overheads!L$72</f>
        <v>0</v>
      </c>
      <c r="F45" s="47" t="n">
        <f aca="false">Overheads!M$72</f>
        <v>0</v>
      </c>
      <c r="G45" s="47" t="n">
        <f aca="false">Overheads!N$72</f>
        <v>0</v>
      </c>
      <c r="H45" s="47" t="n">
        <f aca="false">Overheads!O$72</f>
        <v>1800</v>
      </c>
      <c r="I45" s="47" t="n">
        <f aca="false">Overheads!P$72</f>
        <v>0</v>
      </c>
      <c r="J45" s="47" t="n">
        <f aca="false">Overheads!Q$72</f>
        <v>0</v>
      </c>
      <c r="K45" s="47" t="n">
        <f aca="false">Overheads!R$72</f>
        <v>0</v>
      </c>
      <c r="L45" s="47" t="n">
        <f aca="false">Overheads!S$72</f>
        <v>1800</v>
      </c>
      <c r="M45" s="47" t="n">
        <f aca="false">Overheads!T$72</f>
        <v>0</v>
      </c>
      <c r="N45" s="47" t="n">
        <f aca="false">Overheads!U$72</f>
        <v>0</v>
      </c>
      <c r="O45" s="47" t="n">
        <f aca="false">Overheads!V$72</f>
        <v>0</v>
      </c>
      <c r="P45" s="46" t="n">
        <f aca="false">SUM(C45:O45)</f>
        <v>5400</v>
      </c>
      <c r="Q45" s="85" t="n">
        <f aca="false">IF($P$19=0,0,P45/$P$19)</f>
        <v>0.00604703247480403</v>
      </c>
    </row>
    <row r="46" customFormat="false" ht="15" hidden="false" customHeight="false" outlineLevel="0" collapsed="false">
      <c r="A46" s="2"/>
      <c r="B46" s="9" t="str">
        <f aca="false">Overheads!$B$73</f>
        <v>Bank charges &amp; interest</v>
      </c>
      <c r="C46" s="47" t="n">
        <f aca="false">Overheads!J$73</f>
        <v>0</v>
      </c>
      <c r="D46" s="47" t="n">
        <f aca="false">Overheads!K$73</f>
        <v>0</v>
      </c>
      <c r="E46" s="47" t="n">
        <f aca="false">Overheads!L$73</f>
        <v>0</v>
      </c>
      <c r="F46" s="47" t="n">
        <f aca="false">Overheads!M$73</f>
        <v>400</v>
      </c>
      <c r="G46" s="47" t="n">
        <f aca="false">Overheads!N$73</f>
        <v>0</v>
      </c>
      <c r="H46" s="47" t="n">
        <f aca="false">Overheads!O$73</f>
        <v>0</v>
      </c>
      <c r="I46" s="47" t="n">
        <f aca="false">Overheads!P$73</f>
        <v>0</v>
      </c>
      <c r="J46" s="47" t="n">
        <f aca="false">Overheads!Q$73</f>
        <v>0</v>
      </c>
      <c r="K46" s="47" t="n">
        <f aca="false">Overheads!R$73</f>
        <v>400</v>
      </c>
      <c r="L46" s="47" t="n">
        <f aca="false">Overheads!S$73</f>
        <v>0</v>
      </c>
      <c r="M46" s="47" t="n">
        <f aca="false">Overheads!T$73</f>
        <v>0</v>
      </c>
      <c r="N46" s="47" t="n">
        <f aca="false">Overheads!U$73</f>
        <v>0</v>
      </c>
      <c r="O46" s="47" t="n">
        <f aca="false">Overheads!V$73</f>
        <v>400</v>
      </c>
      <c r="P46" s="46" t="n">
        <f aca="false">SUM(C46:O46)</f>
        <v>1200</v>
      </c>
      <c r="Q46" s="85" t="n">
        <f aca="false">IF($P$19=0,0,P46/$P$19)</f>
        <v>0.0013437849944009</v>
      </c>
    </row>
    <row r="47" customFormat="false" ht="15" hidden="false" customHeight="false" outlineLevel="0" collapsed="false">
      <c r="A47" s="2"/>
      <c r="B47" s="9" t="str">
        <f aca="false">Overheads!$B$74</f>
        <v>Other overheads</v>
      </c>
      <c r="C47" s="47" t="n">
        <f aca="false">Overheads!J$74</f>
        <v>0</v>
      </c>
      <c r="D47" s="47" t="n">
        <f aca="false">Overheads!K$74</f>
        <v>0</v>
      </c>
      <c r="E47" s="47" t="n">
        <f aca="false">Overheads!L$74</f>
        <v>3000</v>
      </c>
      <c r="F47" s="47" t="n">
        <f aca="false">Overheads!M$74</f>
        <v>0</v>
      </c>
      <c r="G47" s="47" t="n">
        <f aca="false">Overheads!N$74</f>
        <v>0</v>
      </c>
      <c r="H47" s="47" t="n">
        <f aca="false">Overheads!O$74</f>
        <v>0</v>
      </c>
      <c r="I47" s="47" t="n">
        <f aca="false">Overheads!P$74</f>
        <v>3000</v>
      </c>
      <c r="J47" s="47" t="n">
        <f aca="false">Overheads!Q$74</f>
        <v>0</v>
      </c>
      <c r="K47" s="47" t="n">
        <f aca="false">Overheads!R$74</f>
        <v>0</v>
      </c>
      <c r="L47" s="47" t="n">
        <f aca="false">Overheads!S$74</f>
        <v>0</v>
      </c>
      <c r="M47" s="47" t="n">
        <f aca="false">Overheads!T$74</f>
        <v>0</v>
      </c>
      <c r="N47" s="47" t="n">
        <f aca="false">Overheads!U$74</f>
        <v>3000</v>
      </c>
      <c r="O47" s="47" t="n">
        <f aca="false">Overheads!V$74</f>
        <v>0</v>
      </c>
      <c r="P47" s="46" t="n">
        <f aca="false">SUM(C47:O47)</f>
        <v>9000</v>
      </c>
      <c r="Q47" s="85" t="n">
        <f aca="false">IF($P$19=0,0,P47/$P$19)</f>
        <v>0.0100783874580067</v>
      </c>
    </row>
    <row r="48" customFormat="false" ht="15" hidden="false" customHeight="false" outlineLevel="0" collapsed="false">
      <c r="A48" s="2"/>
      <c r="B48" s="9" t="str">
        <f aca="false">"Staff – "&amp;'Payroll &amp; Tax'!$B$32</f>
        <v>Staff – Wages (net pay)</v>
      </c>
      <c r="C48" s="47" t="n">
        <f aca="false">'Payroll &amp; Tax'!J$32</f>
        <v>0</v>
      </c>
      <c r="D48" s="47" t="n">
        <f aca="false">'Payroll &amp; Tax'!K$32</f>
        <v>0</v>
      </c>
      <c r="E48" s="47" t="n">
        <f aca="false">'Payroll &amp; Tax'!L$32</f>
        <v>47000</v>
      </c>
      <c r="F48" s="47" t="n">
        <f aca="false">'Payroll &amp; Tax'!M$32</f>
        <v>0</v>
      </c>
      <c r="G48" s="47" t="n">
        <f aca="false">'Payroll &amp; Tax'!N$32</f>
        <v>0</v>
      </c>
      <c r="H48" s="47" t="n">
        <f aca="false">'Payroll &amp; Tax'!O$32</f>
        <v>47000</v>
      </c>
      <c r="I48" s="47" t="n">
        <f aca="false">'Payroll &amp; Tax'!P$32</f>
        <v>0</v>
      </c>
      <c r="J48" s="47" t="n">
        <f aca="false">'Payroll &amp; Tax'!Q$32</f>
        <v>0</v>
      </c>
      <c r="K48" s="47" t="n">
        <f aca="false">'Payroll &amp; Tax'!R$32</f>
        <v>0</v>
      </c>
      <c r="L48" s="47" t="n">
        <f aca="false">'Payroll &amp; Tax'!S$32</f>
        <v>0</v>
      </c>
      <c r="M48" s="47" t="n">
        <f aca="false">'Payroll &amp; Tax'!T$32</f>
        <v>0</v>
      </c>
      <c r="N48" s="47" t="n">
        <f aca="false">'Payroll &amp; Tax'!U$32</f>
        <v>47000</v>
      </c>
      <c r="O48" s="47" t="n">
        <f aca="false">'Payroll &amp; Tax'!V$32</f>
        <v>0</v>
      </c>
      <c r="P48" s="46" t="n">
        <f aca="false">SUM(C48:O48)</f>
        <v>141000</v>
      </c>
      <c r="Q48" s="85" t="n">
        <f aca="false">IF($P$19=0,0,P48/$P$19)</f>
        <v>0.157894736842105</v>
      </c>
    </row>
    <row r="49" customFormat="false" ht="15" hidden="false" customHeight="false" outlineLevel="0" collapsed="false">
      <c r="A49" s="2"/>
      <c r="B49" s="9" t="str">
        <f aca="false">"Staff – "&amp;'Payroll &amp; Tax'!$B$33</f>
        <v>Staff – PAYE &amp; NI</v>
      </c>
      <c r="C49" s="47" t="n">
        <f aca="false">'Payroll &amp; Tax'!J$33</f>
        <v>0</v>
      </c>
      <c r="D49" s="47" t="n">
        <f aca="false">'Payroll &amp; Tax'!K$33</f>
        <v>0</v>
      </c>
      <c r="E49" s="47" t="n">
        <f aca="false">'Payroll &amp; Tax'!L$33</f>
        <v>19000</v>
      </c>
      <c r="F49" s="47" t="n">
        <f aca="false">'Payroll &amp; Tax'!M$33</f>
        <v>0</v>
      </c>
      <c r="G49" s="47" t="n">
        <f aca="false">'Payroll &amp; Tax'!N$33</f>
        <v>0</v>
      </c>
      <c r="H49" s="47" t="n">
        <f aca="false">'Payroll &amp; Tax'!O$33</f>
        <v>0</v>
      </c>
      <c r="I49" s="47" t="n">
        <f aca="false">'Payroll &amp; Tax'!P$33</f>
        <v>19000</v>
      </c>
      <c r="J49" s="47" t="n">
        <f aca="false">'Payroll &amp; Tax'!Q$33</f>
        <v>0</v>
      </c>
      <c r="K49" s="47" t="n">
        <f aca="false">'Payroll &amp; Tax'!R$33</f>
        <v>0</v>
      </c>
      <c r="L49" s="47" t="n">
        <f aca="false">'Payroll &amp; Tax'!S$33</f>
        <v>0</v>
      </c>
      <c r="M49" s="47" t="n">
        <f aca="false">'Payroll &amp; Tax'!T$33</f>
        <v>19000</v>
      </c>
      <c r="N49" s="47" t="n">
        <f aca="false">'Payroll &amp; Tax'!U$33</f>
        <v>0</v>
      </c>
      <c r="O49" s="47" t="n">
        <f aca="false">'Payroll &amp; Tax'!V$33</f>
        <v>0</v>
      </c>
      <c r="P49" s="46" t="n">
        <f aca="false">SUM(C49:O49)</f>
        <v>57000</v>
      </c>
      <c r="Q49" s="85" t="n">
        <f aca="false">IF($P$19=0,0,P49/$P$19)</f>
        <v>0.0638297872340426</v>
      </c>
    </row>
    <row r="50" customFormat="false" ht="15" hidden="false" customHeight="false" outlineLevel="0" collapsed="false">
      <c r="A50" s="2"/>
      <c r="B50" s="9" t="str">
        <f aca="false">"Staff – "&amp;'Payroll &amp; Tax'!$B$34</f>
        <v>Staff – Pension</v>
      </c>
      <c r="C50" s="47" t="n">
        <f aca="false">'Payroll &amp; Tax'!J$34</f>
        <v>0</v>
      </c>
      <c r="D50" s="47" t="n">
        <f aca="false">'Payroll &amp; Tax'!K$34</f>
        <v>0</v>
      </c>
      <c r="E50" s="47" t="n">
        <f aca="false">'Payroll &amp; Tax'!L$34</f>
        <v>3000</v>
      </c>
      <c r="F50" s="47" t="n">
        <f aca="false">'Payroll &amp; Tax'!M$34</f>
        <v>0</v>
      </c>
      <c r="G50" s="47" t="n">
        <f aca="false">'Payroll &amp; Tax'!N$34</f>
        <v>0</v>
      </c>
      <c r="H50" s="47" t="n">
        <f aca="false">'Payroll &amp; Tax'!O$34</f>
        <v>0</v>
      </c>
      <c r="I50" s="47" t="n">
        <f aca="false">'Payroll &amp; Tax'!P$34</f>
        <v>3000</v>
      </c>
      <c r="J50" s="47" t="n">
        <f aca="false">'Payroll &amp; Tax'!Q$34</f>
        <v>0</v>
      </c>
      <c r="K50" s="47" t="n">
        <f aca="false">'Payroll &amp; Tax'!R$34</f>
        <v>0</v>
      </c>
      <c r="L50" s="47" t="n">
        <f aca="false">'Payroll &amp; Tax'!S$34</f>
        <v>0</v>
      </c>
      <c r="M50" s="47" t="n">
        <f aca="false">'Payroll &amp; Tax'!T$34</f>
        <v>3000</v>
      </c>
      <c r="N50" s="47" t="n">
        <f aca="false">'Payroll &amp; Tax'!U$34</f>
        <v>0</v>
      </c>
      <c r="O50" s="47" t="n">
        <f aca="false">'Payroll &amp; Tax'!V$34</f>
        <v>0</v>
      </c>
      <c r="P50" s="46" t="n">
        <f aca="false">SUM(C50:O50)</f>
        <v>9000</v>
      </c>
      <c r="Q50" s="85" t="n">
        <f aca="false">IF($P$19=0,0,P50/$P$19)</f>
        <v>0.0100783874580067</v>
      </c>
    </row>
    <row r="51" customFormat="false" ht="15" hidden="false" customHeight="false" outlineLevel="0" collapsed="false">
      <c r="A51" s="2"/>
      <c r="B51" s="15" t="s">
        <v>365</v>
      </c>
      <c r="C51" s="48" t="n">
        <f aca="false">SUM(C38:C50)</f>
        <v>3300</v>
      </c>
      <c r="D51" s="48" t="n">
        <f aca="false">SUM(D38:D50)</f>
        <v>10100</v>
      </c>
      <c r="E51" s="48" t="n">
        <f aca="false">SUM(E38:E50)</f>
        <v>72000</v>
      </c>
      <c r="F51" s="48" t="n">
        <f aca="false">SUM(F38:F50)</f>
        <v>6400</v>
      </c>
      <c r="G51" s="48" t="n">
        <f aca="false">SUM(G38:G50)</f>
        <v>1500</v>
      </c>
      <c r="H51" s="48" t="n">
        <f aca="false">SUM(H38:H50)</f>
        <v>52900</v>
      </c>
      <c r="I51" s="48" t="n">
        <f aca="false">SUM(I38:I50)</f>
        <v>61000</v>
      </c>
      <c r="J51" s="48" t="n">
        <f aca="false">SUM(J38:J50)</f>
        <v>6000</v>
      </c>
      <c r="K51" s="48" t="n">
        <f aca="false">SUM(K38:K50)</f>
        <v>400</v>
      </c>
      <c r="L51" s="48" t="n">
        <f aca="false">SUM(L38:L50)</f>
        <v>6800</v>
      </c>
      <c r="M51" s="48" t="n">
        <f aca="false">SUM(M38:M50)</f>
        <v>28600</v>
      </c>
      <c r="N51" s="48" t="n">
        <f aca="false">SUM(N38:N50)</f>
        <v>52000</v>
      </c>
      <c r="O51" s="48" t="n">
        <f aca="false">SUM(O38:O50)</f>
        <v>4400</v>
      </c>
      <c r="P51" s="48" t="n">
        <f aca="false">SUM(P38:P50)</f>
        <v>305400</v>
      </c>
      <c r="Q51" s="86" t="n">
        <f aca="false">IF($P$19=0,0,P51/$P$19)</f>
        <v>0.341993281075028</v>
      </c>
    </row>
    <row r="52" customFormat="false" ht="15" hidden="false" customHeight="false" outlineLevel="0" collapsed="false">
      <c r="A52" s="2"/>
      <c r="B52" s="2"/>
      <c r="C52" s="2"/>
      <c r="D52" s="2"/>
      <c r="E52" s="2"/>
      <c r="F52" s="2"/>
      <c r="G52" s="2"/>
      <c r="H52" s="2"/>
      <c r="I52" s="2"/>
      <c r="J52" s="2"/>
      <c r="K52" s="2"/>
      <c r="L52" s="2"/>
      <c r="M52" s="2"/>
      <c r="N52" s="2"/>
      <c r="O52" s="2"/>
      <c r="P52" s="2"/>
      <c r="Q52" s="2"/>
    </row>
    <row r="53" customFormat="false" ht="15" hidden="false" customHeight="false" outlineLevel="0" collapsed="false">
      <c r="A53" s="2"/>
      <c r="B53" s="37" t="s">
        <v>366</v>
      </c>
      <c r="C53" s="52" t="n">
        <f aca="false">C34-C51</f>
        <v>27500</v>
      </c>
      <c r="D53" s="52" t="n">
        <f aca="false">D34-D51</f>
        <v>20700</v>
      </c>
      <c r="E53" s="52" t="n">
        <f aca="false">E34-E51</f>
        <v>-41200</v>
      </c>
      <c r="F53" s="52" t="n">
        <f aca="false">F34-F51</f>
        <v>24400</v>
      </c>
      <c r="G53" s="52" t="n">
        <f aca="false">G34-G51</f>
        <v>29300</v>
      </c>
      <c r="H53" s="52" t="n">
        <f aca="false">H34-H51</f>
        <v>-22100</v>
      </c>
      <c r="I53" s="52" t="n">
        <f aca="false">I34-I51</f>
        <v>-49000</v>
      </c>
      <c r="J53" s="52" t="n">
        <f aca="false">J34-J51</f>
        <v>400</v>
      </c>
      <c r="K53" s="52" t="n">
        <f aca="false">K34-K51</f>
        <v>30400</v>
      </c>
      <c r="L53" s="52" t="n">
        <f aca="false">L34-L51</f>
        <v>24000</v>
      </c>
      <c r="M53" s="52" t="n">
        <f aca="false">M34-M51</f>
        <v>2200</v>
      </c>
      <c r="N53" s="52" t="n">
        <f aca="false">N34-N51</f>
        <v>-21200</v>
      </c>
      <c r="O53" s="52" t="n">
        <f aca="false">O34-O51</f>
        <v>26400</v>
      </c>
      <c r="P53" s="52" t="n">
        <f aca="false">P34-P51</f>
        <v>51800</v>
      </c>
      <c r="Q53" s="2"/>
    </row>
    <row r="54" customFormat="false" ht="15" hidden="false" customHeight="false" outlineLevel="0" collapsed="false">
      <c r="A54" s="2"/>
      <c r="B54" s="9" t="s">
        <v>367</v>
      </c>
      <c r="C54" s="85" t="n">
        <f aca="false">IF(C19=0,0,C53/C19)</f>
        <v>0.357142857142857</v>
      </c>
      <c r="D54" s="85" t="n">
        <f aca="false">IF(D19=0,0,D53/D19)</f>
        <v>0.268831168831169</v>
      </c>
      <c r="E54" s="85" t="n">
        <f aca="false">IF(E19=0,0,E53/E19)</f>
        <v>-0.535064935064935</v>
      </c>
      <c r="F54" s="85" t="n">
        <f aca="false">IF(F19=0,0,F53/F19)</f>
        <v>0.316883116883117</v>
      </c>
      <c r="G54" s="85" t="n">
        <f aca="false">IF(G19=0,0,G53/G19)</f>
        <v>0.380519480519481</v>
      </c>
      <c r="H54" s="85" t="n">
        <f aca="false">IF(H19=0,0,H53/H19)</f>
        <v>-0.287012987012987</v>
      </c>
      <c r="I54" s="85" t="n">
        <f aca="false">IF(I19=0,0,I53/I19)</f>
        <v>-1.63333333333333</v>
      </c>
      <c r="J54" s="85" t="n">
        <f aca="false">IF(J19=0,0,J53/J19)</f>
        <v>0.025</v>
      </c>
      <c r="K54" s="85" t="n">
        <f aca="false">IF(K19=0,0,K53/K19)</f>
        <v>0.394805194805195</v>
      </c>
      <c r="L54" s="85" t="n">
        <f aca="false">IF(L19=0,0,L53/L19)</f>
        <v>0.311688311688312</v>
      </c>
      <c r="M54" s="85" t="n">
        <f aca="false">IF(M19=0,0,M53/M19)</f>
        <v>0.0285714285714286</v>
      </c>
      <c r="N54" s="85" t="n">
        <f aca="false">IF(N19=0,0,N53/N19)</f>
        <v>-0.275324675324675</v>
      </c>
      <c r="O54" s="85" t="n">
        <f aca="false">IF(O19=0,0,O53/O19)</f>
        <v>0.342857142857143</v>
      </c>
      <c r="P54" s="85" t="n">
        <f aca="false">IF(P19=0,0,P53/P19)</f>
        <v>0.058006718924972</v>
      </c>
      <c r="Q54" s="2"/>
    </row>
    <row r="55" customFormat="false" ht="15" hidden="false" customHeight="false" outlineLevel="0" collapsed="false">
      <c r="A55" s="2"/>
      <c r="B55" s="2"/>
      <c r="C55" s="2"/>
      <c r="D55" s="2"/>
      <c r="E55" s="2"/>
      <c r="F55" s="2"/>
      <c r="G55" s="2"/>
      <c r="H55" s="2"/>
      <c r="I55" s="2"/>
      <c r="J55" s="2"/>
      <c r="K55" s="2"/>
      <c r="L55" s="2"/>
      <c r="M55" s="2"/>
      <c r="N55" s="2"/>
      <c r="O55" s="2"/>
      <c r="P55" s="2"/>
      <c r="Q55" s="2"/>
    </row>
    <row r="56" customFormat="false" ht="15" hidden="false" customHeight="false" outlineLevel="0" collapsed="false">
      <c r="A56" s="2"/>
      <c r="B56" s="15" t="str">
        <f aca="false">"Stress scenario: "&amp;Scenarios!$C$5&amp;" – change in operating profit (approx.)"</f>
        <v>Stress scenario: Base case – change in operating profit (approx.)</v>
      </c>
      <c r="C56" s="46" t="n">
        <f aca="false">N(Scenarios!$J$11)*C19-N(Scenarios!$J$14)*C32-N(Scenarios!$J$11)*(1+N(Scenarios!$J$14))*INDEX('Direct Costs'!$J$61:$W$61,1)-N(Scenarios!$J$14)*SUM(C38:C47)-N(Scenarios!$J$15)*SUM(C48:C50)</f>
        <v>0</v>
      </c>
      <c r="D56" s="46" t="n">
        <f aca="false">N(Scenarios!$J$11)*D19-N(Scenarios!$J$14)*D32-N(Scenarios!$J$11)*(1+N(Scenarios!$J$14))*INDEX('Direct Costs'!$J$61:$W$61,2)-N(Scenarios!$J$14)*SUM(D38:D47)-N(Scenarios!$J$15)*SUM(D48:D50)</f>
        <v>0</v>
      </c>
      <c r="E56" s="46" t="n">
        <f aca="false">N(Scenarios!$J$11)*E19-N(Scenarios!$J$14)*E32-N(Scenarios!$J$11)*(1+N(Scenarios!$J$14))*INDEX('Direct Costs'!$J$61:$W$61,3)-N(Scenarios!$J$14)*SUM(E38:E47)-N(Scenarios!$J$15)*SUM(E48:E50)</f>
        <v>0</v>
      </c>
      <c r="F56" s="46" t="n">
        <f aca="false">N(Scenarios!$J$11)*F19-N(Scenarios!$J$14)*F32-N(Scenarios!$J$11)*(1+N(Scenarios!$J$14))*INDEX('Direct Costs'!$J$61:$W$61,4)-N(Scenarios!$J$14)*SUM(F38:F47)-N(Scenarios!$J$15)*SUM(F48:F50)</f>
        <v>0</v>
      </c>
      <c r="G56" s="46" t="n">
        <f aca="false">N(Scenarios!$J$11)*G19-N(Scenarios!$J$14)*G32-N(Scenarios!$J$11)*(1+N(Scenarios!$J$14))*INDEX('Direct Costs'!$J$61:$W$61,5)-N(Scenarios!$J$14)*SUM(G38:G47)-N(Scenarios!$J$15)*SUM(G48:G50)</f>
        <v>0</v>
      </c>
      <c r="H56" s="46" t="n">
        <f aca="false">N(Scenarios!$J$11)*H19-N(Scenarios!$J$14)*H32-N(Scenarios!$J$11)*(1+N(Scenarios!$J$14))*INDEX('Direct Costs'!$J$61:$W$61,6)-N(Scenarios!$J$14)*SUM(H38:H47)-N(Scenarios!$J$15)*SUM(H48:H50)</f>
        <v>0</v>
      </c>
      <c r="I56" s="46" t="n">
        <f aca="false">N(Scenarios!$J$11)*I19-N(Scenarios!$J$14)*I32-N(Scenarios!$J$11)*(1+N(Scenarios!$J$14))*INDEX('Direct Costs'!$J$61:$W$61,7)-N(Scenarios!$J$14)*SUM(I38:I47)-N(Scenarios!$J$15)*SUM(I48:I50)</f>
        <v>0</v>
      </c>
      <c r="J56" s="46" t="n">
        <f aca="false">N(Scenarios!$J$11)*J19-N(Scenarios!$J$14)*J32-N(Scenarios!$J$11)*(1+N(Scenarios!$J$14))*INDEX('Direct Costs'!$J$61:$W$61,8)-N(Scenarios!$J$14)*SUM(J38:J47)-N(Scenarios!$J$15)*SUM(J48:J50)</f>
        <v>0</v>
      </c>
      <c r="K56" s="46" t="n">
        <f aca="false">N(Scenarios!$J$11)*K19-N(Scenarios!$J$14)*K32-N(Scenarios!$J$11)*(1+N(Scenarios!$J$14))*INDEX('Direct Costs'!$J$61:$W$61,9)-N(Scenarios!$J$14)*SUM(K38:K47)-N(Scenarios!$J$15)*SUM(K48:K50)</f>
        <v>0</v>
      </c>
      <c r="L56" s="46" t="n">
        <f aca="false">N(Scenarios!$J$11)*L19-N(Scenarios!$J$14)*L32-N(Scenarios!$J$11)*(1+N(Scenarios!$J$14))*INDEX('Direct Costs'!$J$61:$W$61,10)-N(Scenarios!$J$14)*SUM(L38:L47)-N(Scenarios!$J$15)*SUM(L48:L50)</f>
        <v>0</v>
      </c>
      <c r="M56" s="46" t="n">
        <f aca="false">N(Scenarios!$J$11)*M19-N(Scenarios!$J$14)*M32-N(Scenarios!$J$11)*(1+N(Scenarios!$J$14))*INDEX('Direct Costs'!$J$61:$W$61,11)-N(Scenarios!$J$14)*SUM(M38:M47)-N(Scenarios!$J$15)*SUM(M48:M50)</f>
        <v>0</v>
      </c>
      <c r="N56" s="46" t="n">
        <f aca="false">N(Scenarios!$J$11)*N19-N(Scenarios!$J$14)*N32-N(Scenarios!$J$11)*(1+N(Scenarios!$J$14))*INDEX('Direct Costs'!$J$61:$W$61,12)-N(Scenarios!$J$14)*SUM(N38:N47)-N(Scenarios!$J$15)*SUM(N48:N50)</f>
        <v>0</v>
      </c>
      <c r="O56" s="46" t="n">
        <f aca="false">N(Scenarios!$J$11)*O19-N(Scenarios!$J$14)*O32-N(Scenarios!$J$11)*(1+N(Scenarios!$J$14))*INDEX('Direct Costs'!$J$61:$W$61,13)-N(Scenarios!$J$14)*SUM(O38:O47)-N(Scenarios!$J$15)*SUM(O48:O50)</f>
        <v>0</v>
      </c>
      <c r="P56" s="46" t="n">
        <f aca="false">N(Scenarios!$J$11)*P19-N(Scenarios!$J$14)*P32-N(Scenarios!$J$11)*(1+N(Scenarios!$J$14))*INDEX('Direct Costs'!$J$61:$W$61,14)-N(Scenarios!$J$14)*SUM(P38:P47)-N(Scenarios!$J$15)*SUM(P48:P50)</f>
        <v>0</v>
      </c>
      <c r="Q56" s="2"/>
    </row>
    <row r="57" customFormat="false" ht="15" hidden="false" customHeight="false" outlineLevel="0" collapsed="false">
      <c r="A57" s="2"/>
      <c r="B57" s="37" t="s">
        <v>368</v>
      </c>
      <c r="C57" s="52" t="n">
        <f aca="false">C53+C56</f>
        <v>27500</v>
      </c>
      <c r="D57" s="52" t="n">
        <f aca="false">D53+D56</f>
        <v>20700</v>
      </c>
      <c r="E57" s="52" t="n">
        <f aca="false">E53+E56</f>
        <v>-41200</v>
      </c>
      <c r="F57" s="52" t="n">
        <f aca="false">F53+F56</f>
        <v>24400</v>
      </c>
      <c r="G57" s="52" t="n">
        <f aca="false">G53+G56</f>
        <v>29300</v>
      </c>
      <c r="H57" s="52" t="n">
        <f aca="false">H53+H56</f>
        <v>-22100</v>
      </c>
      <c r="I57" s="52" t="n">
        <f aca="false">I53+I56</f>
        <v>-49000</v>
      </c>
      <c r="J57" s="52" t="n">
        <f aca="false">J53+J56</f>
        <v>400</v>
      </c>
      <c r="K57" s="52" t="n">
        <f aca="false">K53+K56</f>
        <v>30400</v>
      </c>
      <c r="L57" s="52" t="n">
        <f aca="false">L53+L56</f>
        <v>24000</v>
      </c>
      <c r="M57" s="52" t="n">
        <f aca="false">M53+M56</f>
        <v>2200</v>
      </c>
      <c r="N57" s="52" t="n">
        <f aca="false">N53+N56</f>
        <v>-21200</v>
      </c>
      <c r="O57" s="52" t="n">
        <f aca="false">O53+O56</f>
        <v>26400</v>
      </c>
      <c r="P57" s="52" t="n">
        <f aca="false">P53+P56</f>
        <v>51800</v>
      </c>
      <c r="Q57" s="2"/>
    </row>
    <row r="58" customFormat="false" ht="15" hidden="false" customHeight="false" outlineLevel="0" collapsed="false">
      <c r="A58" s="2"/>
      <c r="B58" s="2"/>
      <c r="C58" s="2"/>
      <c r="D58" s="2"/>
      <c r="E58" s="2"/>
      <c r="F58" s="2"/>
      <c r="G58" s="2"/>
      <c r="H58" s="2"/>
      <c r="I58" s="2"/>
      <c r="J58" s="2"/>
      <c r="K58" s="2"/>
      <c r="L58" s="2"/>
      <c r="M58" s="2"/>
      <c r="N58" s="2"/>
      <c r="O58" s="2"/>
      <c r="P58" s="2"/>
      <c r="Q58" s="2"/>
    </row>
    <row r="59" customFormat="false" ht="15" hidden="false" customHeight="false" outlineLevel="0" collapsed="false">
      <c r="A59" s="2"/>
      <c r="B59" s="21" t="s">
        <v>369</v>
      </c>
      <c r="C59" s="2"/>
      <c r="D59" s="2"/>
      <c r="E59" s="2"/>
      <c r="F59" s="2"/>
      <c r="G59" s="2"/>
      <c r="H59" s="2"/>
      <c r="I59" s="2"/>
      <c r="J59" s="2"/>
      <c r="K59" s="2"/>
      <c r="L59" s="2"/>
      <c r="M59" s="2"/>
      <c r="N59" s="2"/>
      <c r="O59" s="2"/>
      <c r="P59" s="2"/>
      <c r="Q59" s="2"/>
    </row>
    <row r="60" customFormat="false" ht="15" hidden="false" customHeight="false" outlineLevel="0" collapsed="false">
      <c r="A60" s="2"/>
      <c r="B60" s="21" t="s">
        <v>370</v>
      </c>
      <c r="C60" s="2"/>
      <c r="D60" s="2"/>
      <c r="E60" s="2"/>
      <c r="F60" s="2"/>
      <c r="G60" s="2"/>
      <c r="H60" s="2"/>
      <c r="I60" s="2"/>
      <c r="J60" s="2"/>
      <c r="K60" s="2"/>
      <c r="L60" s="2"/>
      <c r="M60" s="2"/>
      <c r="N60" s="2"/>
      <c r="O60" s="2"/>
      <c r="P60" s="2"/>
      <c r="Q60" s="2"/>
    </row>
    <row r="61" customFormat="false" ht="15" hidden="false" customHeight="false" outlineLevel="0" collapsed="false">
      <c r="A61" s="2"/>
      <c r="B61" s="21" t="s">
        <v>371</v>
      </c>
      <c r="C61" s="2"/>
      <c r="D61" s="2"/>
      <c r="E61" s="2"/>
      <c r="F61" s="2"/>
      <c r="G61" s="2"/>
      <c r="H61" s="2"/>
      <c r="I61" s="2"/>
      <c r="J61" s="2"/>
      <c r="K61" s="2"/>
      <c r="L61" s="2"/>
      <c r="M61" s="2"/>
      <c r="N61" s="2"/>
      <c r="O61" s="2"/>
      <c r="P61" s="2"/>
      <c r="Q61" s="2"/>
    </row>
    <row r="62" customFormat="false" ht="15" hidden="false" customHeight="false" outlineLevel="0" collapsed="false">
      <c r="A62" s="2"/>
      <c r="B62" s="21" t="s">
        <v>372</v>
      </c>
      <c r="C62" s="2"/>
      <c r="D62" s="2"/>
      <c r="E62" s="2"/>
      <c r="F62" s="2"/>
      <c r="G62" s="2"/>
      <c r="H62" s="2"/>
      <c r="I62" s="2"/>
      <c r="J62" s="2"/>
      <c r="K62" s="2"/>
      <c r="L62" s="2"/>
      <c r="M62" s="2"/>
      <c r="N62" s="2"/>
      <c r="O62" s="2"/>
      <c r="P62" s="2"/>
      <c r="Q62" s="2"/>
    </row>
  </sheetData>
  <sheetProtection sheet="true" formatCells="false" formatColumns="false" formatRows="false"/>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P7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4"/>
    <col collapsed="false" customWidth="true" hidden="false" outlineLevel="0" max="7" min="3" style="1" width="11"/>
    <col collapsed="false" customWidth="true" hidden="false" outlineLevel="0" max="8" min="8" style="1" width="12"/>
    <col collapsed="false" customWidth="true" hidden="false" outlineLevel="0" max="9" min="9" style="1" width="13"/>
    <col collapsed="false" customWidth="true" hidden="false" outlineLevel="0" max="10" min="10" style="1" width="12"/>
    <col collapsed="false" customWidth="true" hidden="false" outlineLevel="0" max="12" min="11" style="1" width="9"/>
    <col collapsed="false" customWidth="true" hidden="false" outlineLevel="0" max="25" min="13" style="1" width="11"/>
    <col collapsed="false" customWidth="true" hidden="false" outlineLevel="0" max="26" min="26" style="1" width="12"/>
    <col collapsed="false" customWidth="true" hidden="false" outlineLevel="0" max="27" min="27" style="1" width="13"/>
    <col collapsed="false" customWidth="true" hidden="false" outlineLevel="0" max="28" min="28" style="1" width="30"/>
    <col collapsed="false" customWidth="true" hidden="true" outlineLevel="0" max="29" min="29" style="1" width="3"/>
    <col collapsed="false" customWidth="true" hidden="true" outlineLevel="0" max="42" min="30" style="1" width="10"/>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customFormat="false" ht="15" hidden="false" customHeight="false" outlineLevel="0" collapsed="false">
      <c r="A2" s="4" t="s">
        <v>373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row>
    <row r="3" customFormat="false" ht="15" hidden="false" customHeight="false" outlineLevel="0" collapsed="false">
      <c r="A3" s="21" t="s">
        <v>374</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row>
    <row r="5" customFormat="false" ht="15" hidden="false" customHeight="false" outlineLevel="0" collapsed="false">
      <c r="A5" s="2"/>
      <c r="B5" s="2"/>
      <c r="C5" s="2"/>
      <c r="D5" s="2"/>
      <c r="E5" s="2"/>
      <c r="F5" s="2"/>
      <c r="G5" s="2"/>
      <c r="H5" s="2"/>
      <c r="I5" s="2"/>
      <c r="J5" s="2"/>
      <c r="K5" s="2"/>
      <c r="L5" s="2"/>
      <c r="M5" s="42" t="str">
        <f aca="false">"Week "&amp;Lists!C$20</f>
        <v>Week 1</v>
      </c>
      <c r="N5" s="42" t="str">
        <f aca="false">"Week "&amp;Lists!D$20</f>
        <v>Week 2</v>
      </c>
      <c r="O5" s="42" t="str">
        <f aca="false">"Week "&amp;Lists!E$20</f>
        <v>Week 3</v>
      </c>
      <c r="P5" s="42" t="str">
        <f aca="false">"Week "&amp;Lists!F$20</f>
        <v>Week 4</v>
      </c>
      <c r="Q5" s="42" t="str">
        <f aca="false">"Week "&amp;Lists!G$20</f>
        <v>Week 5</v>
      </c>
      <c r="R5" s="42" t="str">
        <f aca="false">"Week "&amp;Lists!H$20</f>
        <v>Week 6</v>
      </c>
      <c r="S5" s="42" t="str">
        <f aca="false">"Week "&amp;Lists!I$20</f>
        <v>Week 7</v>
      </c>
      <c r="T5" s="42" t="str">
        <f aca="false">"Week "&amp;Lists!J$20</f>
        <v>Week 8</v>
      </c>
      <c r="U5" s="42" t="str">
        <f aca="false">"Week "&amp;Lists!K$20</f>
        <v>Week 9</v>
      </c>
      <c r="V5" s="42" t="str">
        <f aca="false">"Week "&amp;Lists!L$20</f>
        <v>Week 10</v>
      </c>
      <c r="W5" s="42" t="str">
        <f aca="false">"Week "&amp;Lists!M$20</f>
        <v>Week 11</v>
      </c>
      <c r="X5" s="42" t="str">
        <f aca="false">"Week "&amp;Lists!N$20</f>
        <v>Week 12</v>
      </c>
      <c r="Y5" s="42" t="str">
        <f aca="false">"Week "&amp;Lists!O$20</f>
        <v>Week 13</v>
      </c>
      <c r="Z5" s="42" t="s">
        <v>253</v>
      </c>
      <c r="AA5" s="2"/>
      <c r="AB5" s="2"/>
      <c r="AC5" s="2"/>
      <c r="AD5" s="2"/>
      <c r="AE5" s="2"/>
      <c r="AF5" s="2"/>
      <c r="AG5" s="2"/>
      <c r="AH5" s="2"/>
      <c r="AI5" s="2"/>
      <c r="AJ5" s="2"/>
      <c r="AK5" s="2"/>
      <c r="AL5" s="2"/>
      <c r="AM5" s="2"/>
      <c r="AN5" s="2"/>
      <c r="AO5" s="2"/>
      <c r="AP5" s="2"/>
    </row>
    <row r="6" customFormat="false" ht="15" hidden="false" customHeight="false" outlineLevel="0" collapsed="false">
      <c r="A6" s="2"/>
      <c r="B6" s="2"/>
      <c r="C6" s="2"/>
      <c r="D6" s="2"/>
      <c r="E6" s="2"/>
      <c r="F6" s="2"/>
      <c r="G6" s="2"/>
      <c r="H6" s="2"/>
      <c r="I6" s="2"/>
      <c r="J6" s="2"/>
      <c r="K6" s="2"/>
      <c r="L6" s="2"/>
      <c r="M6" s="45" t="n">
        <f aca="false">Lists!C$21</f>
        <v>46339</v>
      </c>
      <c r="N6" s="45" t="n">
        <f aca="false">Lists!D$21</f>
        <v>46346</v>
      </c>
      <c r="O6" s="45" t="n">
        <f aca="false">Lists!E$21</f>
        <v>46353</v>
      </c>
      <c r="P6" s="45" t="n">
        <f aca="false">Lists!F$21</f>
        <v>46360</v>
      </c>
      <c r="Q6" s="45" t="n">
        <f aca="false">Lists!G$21</f>
        <v>46367</v>
      </c>
      <c r="R6" s="45" t="n">
        <f aca="false">Lists!H$21</f>
        <v>46374</v>
      </c>
      <c r="S6" s="45" t="n">
        <f aca="false">Lists!I$21</f>
        <v>46381</v>
      </c>
      <c r="T6" s="45" t="n">
        <f aca="false">Lists!J$21</f>
        <v>46388</v>
      </c>
      <c r="U6" s="45" t="n">
        <f aca="false">Lists!K$21</f>
        <v>46395</v>
      </c>
      <c r="V6" s="45" t="n">
        <f aca="false">Lists!L$21</f>
        <v>46402</v>
      </c>
      <c r="W6" s="45" t="n">
        <f aca="false">Lists!M$21</f>
        <v>46409</v>
      </c>
      <c r="X6" s="45" t="n">
        <f aca="false">Lists!N$21</f>
        <v>46416</v>
      </c>
      <c r="Y6" s="45" t="n">
        <f aca="false">Lists!O$21</f>
        <v>46423</v>
      </c>
      <c r="Z6" s="42" t="s">
        <v>254</v>
      </c>
      <c r="AA6" s="2"/>
      <c r="AB6" s="2"/>
      <c r="AC6" s="2"/>
      <c r="AD6" s="2"/>
      <c r="AE6" s="2"/>
      <c r="AF6" s="2"/>
      <c r="AG6" s="2"/>
      <c r="AH6" s="2"/>
      <c r="AI6" s="2"/>
      <c r="AJ6" s="2"/>
      <c r="AK6" s="2"/>
      <c r="AL6" s="2"/>
      <c r="AM6" s="2"/>
      <c r="AN6" s="2"/>
      <c r="AO6" s="2"/>
      <c r="AP6" s="2"/>
    </row>
    <row r="7" customFormat="false" ht="15" hidden="false" customHeight="false" outlineLevel="0" collapsed="false">
      <c r="A7" s="5" t="s">
        <v>375</v>
      </c>
      <c r="B7" s="6"/>
      <c r="C7" s="6"/>
      <c r="D7" s="6"/>
      <c r="E7" s="6"/>
      <c r="F7" s="6"/>
      <c r="G7" s="6"/>
      <c r="H7" s="6"/>
      <c r="I7" s="6"/>
      <c r="J7" s="6"/>
      <c r="K7" s="6"/>
      <c r="L7" s="6"/>
      <c r="M7" s="6"/>
      <c r="N7" s="6"/>
      <c r="O7" s="6"/>
      <c r="P7" s="6"/>
      <c r="Q7" s="6"/>
      <c r="R7" s="6"/>
      <c r="S7" s="6"/>
      <c r="T7" s="6"/>
      <c r="U7" s="6"/>
      <c r="V7" s="6"/>
      <c r="W7" s="6"/>
      <c r="X7" s="6"/>
      <c r="Y7" s="6"/>
      <c r="Z7" s="6"/>
      <c r="AA7" s="6"/>
      <c r="AB7" s="6"/>
      <c r="AC7" s="2"/>
      <c r="AD7" s="63" t="s">
        <v>376</v>
      </c>
      <c r="AE7" s="2"/>
      <c r="AF7" s="2"/>
      <c r="AG7" s="2"/>
      <c r="AH7" s="2"/>
      <c r="AI7" s="2"/>
      <c r="AJ7" s="2"/>
      <c r="AK7" s="2"/>
      <c r="AL7" s="2"/>
      <c r="AM7" s="2"/>
      <c r="AN7" s="2"/>
      <c r="AO7" s="2"/>
      <c r="AP7" s="2"/>
    </row>
    <row r="8" customFormat="false" ht="54" hidden="false" customHeight="true" outlineLevel="0" collapsed="false">
      <c r="A8" s="56" t="s">
        <v>377</v>
      </c>
      <c r="B8" s="56" t="s">
        <v>378</v>
      </c>
      <c r="C8" s="56" t="s">
        <v>379</v>
      </c>
      <c r="D8" s="56" t="s">
        <v>380</v>
      </c>
      <c r="E8" s="56" t="s">
        <v>381</v>
      </c>
      <c r="F8" s="56" t="s">
        <v>382</v>
      </c>
      <c r="G8" s="56" t="s">
        <v>383</v>
      </c>
      <c r="H8" s="56" t="s">
        <v>384</v>
      </c>
      <c r="I8" s="56" t="s">
        <v>385</v>
      </c>
      <c r="J8" s="56" t="s">
        <v>386</v>
      </c>
      <c r="K8" s="56" t="s">
        <v>387</v>
      </c>
      <c r="L8" s="56" t="s">
        <v>388</v>
      </c>
      <c r="M8" s="56" t="s">
        <v>389</v>
      </c>
      <c r="N8" s="56" t="s">
        <v>389</v>
      </c>
      <c r="O8" s="56" t="s">
        <v>389</v>
      </c>
      <c r="P8" s="56" t="s">
        <v>389</v>
      </c>
      <c r="Q8" s="56" t="s">
        <v>389</v>
      </c>
      <c r="R8" s="56" t="s">
        <v>389</v>
      </c>
      <c r="S8" s="56" t="s">
        <v>389</v>
      </c>
      <c r="T8" s="56" t="s">
        <v>389</v>
      </c>
      <c r="U8" s="56" t="s">
        <v>389</v>
      </c>
      <c r="V8" s="56" t="s">
        <v>389</v>
      </c>
      <c r="W8" s="56" t="s">
        <v>389</v>
      </c>
      <c r="X8" s="56" t="s">
        <v>389</v>
      </c>
      <c r="Y8" s="56" t="s">
        <v>389</v>
      </c>
      <c r="Z8" s="56" t="s">
        <v>390</v>
      </c>
      <c r="AA8" s="56" t="s">
        <v>391</v>
      </c>
      <c r="AB8" s="56" t="s">
        <v>392</v>
      </c>
      <c r="AC8" s="2"/>
      <c r="AD8" s="56" t="s">
        <v>393</v>
      </c>
      <c r="AE8" s="56" t="s">
        <v>394</v>
      </c>
      <c r="AF8" s="56" t="s">
        <v>395</v>
      </c>
      <c r="AG8" s="56" t="s">
        <v>396</v>
      </c>
      <c r="AH8" s="56" t="s">
        <v>397</v>
      </c>
      <c r="AI8" s="56" t="s">
        <v>398</v>
      </c>
      <c r="AJ8" s="56" t="s">
        <v>399</v>
      </c>
      <c r="AK8" s="56" t="s">
        <v>400</v>
      </c>
      <c r="AL8" s="56" t="s">
        <v>401</v>
      </c>
      <c r="AM8" s="56" t="s">
        <v>402</v>
      </c>
      <c r="AN8" s="56" t="s">
        <v>403</v>
      </c>
      <c r="AO8" s="56" t="s">
        <v>404</v>
      </c>
      <c r="AP8" s="56" t="s">
        <v>405</v>
      </c>
    </row>
    <row r="9" customFormat="false" ht="15" hidden="false" customHeight="false" outlineLevel="0" collapsed="false">
      <c r="A9" s="87" t="n">
        <v>1</v>
      </c>
      <c r="B9" s="55" t="s">
        <v>406</v>
      </c>
      <c r="C9" s="88" t="n">
        <v>125000</v>
      </c>
      <c r="D9" s="88" t="n">
        <v>95000</v>
      </c>
      <c r="E9" s="88" t="n">
        <v>10000</v>
      </c>
      <c r="F9" s="88"/>
      <c r="G9" s="88"/>
      <c r="H9" s="89" t="n">
        <f aca="false">SUM(C9:G9)</f>
        <v>230000</v>
      </c>
      <c r="I9" s="58" t="s">
        <v>407</v>
      </c>
      <c r="J9" s="90"/>
      <c r="K9" s="91"/>
      <c r="L9" s="80" t="n">
        <v>90</v>
      </c>
      <c r="M9" s="53" t="n">
        <f aca="false">IF($H9=0,0,IF($AP9="X",0,IF($AP9="S",$H9/$AO9*(MIN($AO9,MAX(0,INT((Lists!C$21-N($J9))/7)+1))-MIN($AO9,MAX(0,INT((Lists!C$22-N($J9))/7)+1))),IF($AP9="D",$H9*MAX(0,MIN(Lists!C$21,N($J9)+$AO9)-MAX(Lists!C$22,N($J9)))/$AO9,IF($AP9="M",$H9/$AO9*(IF(Lists!C$21&lt;$J9,0,MIN($AO9,(((YEAR(Lists!C$21)-YEAR($J9))*12+MONTH(Lists!C$21)-MONTH($J9))-(EDATE($J9,((YEAR(Lists!C$21)-YEAR($J9))*12+MONTH(Lists!C$21)-MONTH($J9)))&gt;Lists!C$21)+1)))-IF(Lists!C$22&lt;$J9,0,MIN($AO9,(((YEAR(Lists!C$22)-YEAR($J9))*12+MONTH(Lists!C$22)-MONTH($J9))-(EDATE($J9,((YEAR(Lists!C$22)-YEAR($J9))*12+MONTH(Lists!C$22)-MONTH($J9)))&gt;Lists!C$22)+1)))),IF($AP9="F",IF(N($K9)&lt;=0,0,MIN(MAX(0,$H9),N($K9)*IF(Lists!C$21&lt;$J9,0,(((YEAR(Lists!C$21)-YEAR($J9))*12+MONTH(Lists!C$21)-MONTH($J9))-(EDATE($J9,((YEAR(Lists!C$21)-YEAR($J9))*12+MONTH(Lists!C$21)-MONTH($J9)))&gt;Lists!C$21)+1)))-MIN(MAX(0,$H9),N($K9)*IF(Lists!C$22&lt;$J9,0,(((YEAR(Lists!C$22)-YEAR($J9))*12+MONTH(Lists!C$22)-MONTH($J9))-(EDATE($J9,((YEAR(Lists!C$22)-YEAR($J9))*12+MONTH(Lists!C$22)-MONTH($J9)))&gt;Lists!C$22)+1)))),N($C9)*IF($AE9-$AD9&lt;1,($AD9&gt;Lists!C$22)*($AD9&lt;=Lists!C$21),MAX(0,MIN(Lists!C$21,$AE9)-MAX(Lists!C$22,$AD9))/($AE9-$AD9))+N($D9)*IF($AG9-$AF9&lt;1,($AF9&gt;Lists!C$22)*($AF9&lt;=Lists!C$21),MAX(0,MIN(Lists!C$21,$AG9)-MAX(Lists!C$22,$AF9))/($AG9-$AF9))+N($E9)*IF($AI9-$AH9&lt;1,($AH9&gt;Lists!C$22)*($AH9&lt;=Lists!C$21),MAX(0,MIN(Lists!C$21,$AI9)-MAX(Lists!C$22,$AH9))/($AI9-$AH9))+N($F9)*IF($AK9-$AJ9&lt;1,($AJ9&gt;Lists!C$22)*($AJ9&lt;=Lists!C$21),MAX(0,MIN(Lists!C$21,$AK9)-MAX(Lists!C$22,$AJ9))/($AK9-$AJ9))+N($G9)*IF($AM9-$AL9&lt;1,($AL9&gt;Lists!C$22)*($AL9&lt;=Lists!C$21),MAX(0,MIN(Lists!C$21,$AM9)-MAX(Lists!C$22,$AL9))/($AM9-$AL9))))))))</f>
        <v>1379.31034482759</v>
      </c>
      <c r="N9" s="53" t="n">
        <f aca="false">IF($H9=0,0,IF($AP9="X",0,IF($AP9="S",$H9/$AO9*(MIN($AO9,MAX(0,INT((Lists!D$21-N($J9))/7)+1))-MIN($AO9,MAX(0,INT((Lists!D$22-N($J9))/7)+1))),IF($AP9="D",$H9*MAX(0,MIN(Lists!D$21,N($J9)+$AO9)-MAX(Lists!D$22,N($J9)))/$AO9,IF($AP9="M",$H9/$AO9*(IF(Lists!D$21&lt;$J9,0,MIN($AO9,(((YEAR(Lists!D$21)-YEAR($J9))*12+MONTH(Lists!D$21)-MONTH($J9))-(EDATE($J9,((YEAR(Lists!D$21)-YEAR($J9))*12+MONTH(Lists!D$21)-MONTH($J9)))&gt;Lists!D$21)+1)))-IF(Lists!D$22&lt;$J9,0,MIN($AO9,(((YEAR(Lists!D$22)-YEAR($J9))*12+MONTH(Lists!D$22)-MONTH($J9))-(EDATE($J9,((YEAR(Lists!D$22)-YEAR($J9))*12+MONTH(Lists!D$22)-MONTH($J9)))&gt;Lists!D$22)+1)))),IF($AP9="F",IF(N($K9)&lt;=0,0,MIN(MAX(0,$H9),N($K9)*IF(Lists!D$21&lt;$J9,0,(((YEAR(Lists!D$21)-YEAR($J9))*12+MONTH(Lists!D$21)-MONTH($J9))-(EDATE($J9,((YEAR(Lists!D$21)-YEAR($J9))*12+MONTH(Lists!D$21)-MONTH($J9)))&gt;Lists!D$21)+1)))-MIN(MAX(0,$H9),N($K9)*IF(Lists!D$22&lt;$J9,0,(((YEAR(Lists!D$22)-YEAR($J9))*12+MONTH(Lists!D$22)-MONTH($J9))-(EDATE($J9,((YEAR(Lists!D$22)-YEAR($J9))*12+MONTH(Lists!D$22)-MONTH($J9)))&gt;Lists!D$22)+1)))),N($C9)*IF($AE9-$AD9&lt;1,($AD9&gt;Lists!D$22)*($AD9&lt;=Lists!D$21),MAX(0,MIN(Lists!D$21,$AE9)-MAX(Lists!D$22,$AD9))/($AE9-$AD9))+N($D9)*IF($AG9-$AF9&lt;1,($AF9&gt;Lists!D$22)*($AF9&lt;=Lists!D$21),MAX(0,MIN(Lists!D$21,$AG9)-MAX(Lists!D$22,$AF9))/($AG9-$AF9))+N($E9)*IF($AI9-$AH9&lt;1,($AH9&gt;Lists!D$22)*($AH9&lt;=Lists!D$21),MAX(0,MIN(Lists!D$21,$AI9)-MAX(Lists!D$22,$AH9))/($AI9-$AH9))+N($F9)*IF($AK9-$AJ9&lt;1,($AJ9&gt;Lists!D$22)*($AJ9&lt;=Lists!D$21),MAX(0,MIN(Lists!D$21,$AK9)-MAX(Lists!D$22,$AJ9))/($AK9-$AJ9))+N($G9)*IF($AM9-$AL9&lt;1,($AL9&gt;Lists!D$22)*($AL9&lt;=Lists!D$21),MAX(0,MIN(Lists!D$21,$AM9)-MAX(Lists!D$22,$AL9))/($AM9-$AL9))))))))</f>
        <v>2413.79310344828</v>
      </c>
      <c r="O9" s="53" t="n">
        <f aca="false">IF($H9=0,0,IF($AP9="X",0,IF($AP9="S",$H9/$AO9*(MIN($AO9,MAX(0,INT((Lists!E$21-N($J9))/7)+1))-MIN($AO9,MAX(0,INT((Lists!E$22-N($J9))/7)+1))),IF($AP9="D",$H9*MAX(0,MIN(Lists!E$21,N($J9)+$AO9)-MAX(Lists!E$22,N($J9)))/$AO9,IF($AP9="M",$H9/$AO9*(IF(Lists!E$21&lt;$J9,0,MIN($AO9,(((YEAR(Lists!E$21)-YEAR($J9))*12+MONTH(Lists!E$21)-MONTH($J9))-(EDATE($J9,((YEAR(Lists!E$21)-YEAR($J9))*12+MONTH(Lists!E$21)-MONTH($J9)))&gt;Lists!E$21)+1)))-IF(Lists!E$22&lt;$J9,0,MIN($AO9,(((YEAR(Lists!E$22)-YEAR($J9))*12+MONTH(Lists!E$22)-MONTH($J9))-(EDATE($J9,((YEAR(Lists!E$22)-YEAR($J9))*12+MONTH(Lists!E$22)-MONTH($J9)))&gt;Lists!E$22)+1)))),IF($AP9="F",IF(N($K9)&lt;=0,0,MIN(MAX(0,$H9),N($K9)*IF(Lists!E$21&lt;$J9,0,(((YEAR(Lists!E$21)-YEAR($J9))*12+MONTH(Lists!E$21)-MONTH($J9))-(EDATE($J9,((YEAR(Lists!E$21)-YEAR($J9))*12+MONTH(Lists!E$21)-MONTH($J9)))&gt;Lists!E$21)+1)))-MIN(MAX(0,$H9),N($K9)*IF(Lists!E$22&lt;$J9,0,(((YEAR(Lists!E$22)-YEAR($J9))*12+MONTH(Lists!E$22)-MONTH($J9))-(EDATE($J9,((YEAR(Lists!E$22)-YEAR($J9))*12+MONTH(Lists!E$22)-MONTH($J9)))&gt;Lists!E$22)+1)))),N($C9)*IF($AE9-$AD9&lt;1,($AD9&gt;Lists!E$22)*($AD9&lt;=Lists!E$21),MAX(0,MIN(Lists!E$21,$AE9)-MAX(Lists!E$22,$AD9))/($AE9-$AD9))+N($D9)*IF($AG9-$AF9&lt;1,($AF9&gt;Lists!E$22)*($AF9&lt;=Lists!E$21),MAX(0,MIN(Lists!E$21,$AG9)-MAX(Lists!E$22,$AF9))/($AG9-$AF9))+N($E9)*IF($AI9-$AH9&lt;1,($AH9&gt;Lists!E$22)*($AH9&lt;=Lists!E$21),MAX(0,MIN(Lists!E$21,$AI9)-MAX(Lists!E$22,$AH9))/($AI9-$AH9))+N($F9)*IF($AK9-$AJ9&lt;1,($AJ9&gt;Lists!E$22)*($AJ9&lt;=Lists!E$21),MAX(0,MIN(Lists!E$21,$AK9)-MAX(Lists!E$22,$AJ9))/($AK9-$AJ9))+N($G9)*IF($AM9-$AL9&lt;1,($AL9&gt;Lists!E$22)*($AL9&lt;=Lists!E$21),MAX(0,MIN(Lists!E$21,$AM9)-MAX(Lists!E$22,$AL9))/($AM9-$AL9))))))))</f>
        <v>2413.79310344828</v>
      </c>
      <c r="P9" s="53" t="n">
        <f aca="false">IF($H9=0,0,IF($AP9="X",0,IF($AP9="S",$H9/$AO9*(MIN($AO9,MAX(0,INT((Lists!F$21-N($J9))/7)+1))-MIN($AO9,MAX(0,INT((Lists!F$22-N($J9))/7)+1))),IF($AP9="D",$H9*MAX(0,MIN(Lists!F$21,N($J9)+$AO9)-MAX(Lists!F$22,N($J9)))/$AO9,IF($AP9="M",$H9/$AO9*(IF(Lists!F$21&lt;$J9,0,MIN($AO9,(((YEAR(Lists!F$21)-YEAR($J9))*12+MONTH(Lists!F$21)-MONTH($J9))-(EDATE($J9,((YEAR(Lists!F$21)-YEAR($J9))*12+MONTH(Lists!F$21)-MONTH($J9)))&gt;Lists!F$21)+1)))-IF(Lists!F$22&lt;$J9,0,MIN($AO9,(((YEAR(Lists!F$22)-YEAR($J9))*12+MONTH(Lists!F$22)-MONTH($J9))-(EDATE($J9,((YEAR(Lists!F$22)-YEAR($J9))*12+MONTH(Lists!F$22)-MONTH($J9)))&gt;Lists!F$22)+1)))),IF($AP9="F",IF(N($K9)&lt;=0,0,MIN(MAX(0,$H9),N($K9)*IF(Lists!F$21&lt;$J9,0,(((YEAR(Lists!F$21)-YEAR($J9))*12+MONTH(Lists!F$21)-MONTH($J9))-(EDATE($J9,((YEAR(Lists!F$21)-YEAR($J9))*12+MONTH(Lists!F$21)-MONTH($J9)))&gt;Lists!F$21)+1)))-MIN(MAX(0,$H9),N($K9)*IF(Lists!F$22&lt;$J9,0,(((YEAR(Lists!F$22)-YEAR($J9))*12+MONTH(Lists!F$22)-MONTH($J9))-(EDATE($J9,((YEAR(Lists!F$22)-YEAR($J9))*12+MONTH(Lists!F$22)-MONTH($J9)))&gt;Lists!F$22)+1)))),N($C9)*IF($AE9-$AD9&lt;1,($AD9&gt;Lists!F$22)*($AD9&lt;=Lists!F$21),MAX(0,MIN(Lists!F$21,$AE9)-MAX(Lists!F$22,$AD9))/($AE9-$AD9))+N($D9)*IF($AG9-$AF9&lt;1,($AF9&gt;Lists!F$22)*($AF9&lt;=Lists!F$21),MAX(0,MIN(Lists!F$21,$AG9)-MAX(Lists!F$22,$AF9))/($AG9-$AF9))+N($E9)*IF($AI9-$AH9&lt;1,($AH9&gt;Lists!F$22)*($AH9&lt;=Lists!F$21),MAX(0,MIN(Lists!F$21,$AI9)-MAX(Lists!F$22,$AH9))/($AI9-$AH9))+N($F9)*IF($AK9-$AJ9&lt;1,($AJ9&gt;Lists!F$22)*($AJ9&lt;=Lists!F$21),MAX(0,MIN(Lists!F$21,$AK9)-MAX(Lists!F$22,$AJ9))/($AK9-$AJ9))+N($G9)*IF($AM9-$AL9&lt;1,($AL9&gt;Lists!F$22)*($AL9&lt;=Lists!F$21),MAX(0,MIN(Lists!F$21,$AM9)-MAX(Lists!F$22,$AL9))/($AM9-$AL9))))))))</f>
        <v>2413.79310344828</v>
      </c>
      <c r="Q9" s="53" t="n">
        <f aca="false">IF($H9=0,0,IF($AP9="X",0,IF($AP9="S",$H9/$AO9*(MIN($AO9,MAX(0,INT((Lists!G$21-N($J9))/7)+1))-MIN($AO9,MAX(0,INT((Lists!G$22-N($J9))/7)+1))),IF($AP9="D",$H9*MAX(0,MIN(Lists!G$21,N($J9)+$AO9)-MAX(Lists!G$22,N($J9)))/$AO9,IF($AP9="M",$H9/$AO9*(IF(Lists!G$21&lt;$J9,0,MIN($AO9,(((YEAR(Lists!G$21)-YEAR($J9))*12+MONTH(Lists!G$21)-MONTH($J9))-(EDATE($J9,((YEAR(Lists!G$21)-YEAR($J9))*12+MONTH(Lists!G$21)-MONTH($J9)))&gt;Lists!G$21)+1)))-IF(Lists!G$22&lt;$J9,0,MIN($AO9,(((YEAR(Lists!G$22)-YEAR($J9))*12+MONTH(Lists!G$22)-MONTH($J9))-(EDATE($J9,((YEAR(Lists!G$22)-YEAR($J9))*12+MONTH(Lists!G$22)-MONTH($J9)))&gt;Lists!G$22)+1)))),IF($AP9="F",IF(N($K9)&lt;=0,0,MIN(MAX(0,$H9),N($K9)*IF(Lists!G$21&lt;$J9,0,(((YEAR(Lists!G$21)-YEAR($J9))*12+MONTH(Lists!G$21)-MONTH($J9))-(EDATE($J9,((YEAR(Lists!G$21)-YEAR($J9))*12+MONTH(Lists!G$21)-MONTH($J9)))&gt;Lists!G$21)+1)))-MIN(MAX(0,$H9),N($K9)*IF(Lists!G$22&lt;$J9,0,(((YEAR(Lists!G$22)-YEAR($J9))*12+MONTH(Lists!G$22)-MONTH($J9))-(EDATE($J9,((YEAR(Lists!G$22)-YEAR($J9))*12+MONTH(Lists!G$22)-MONTH($J9)))&gt;Lists!G$22)+1)))),N($C9)*IF($AE9-$AD9&lt;1,($AD9&gt;Lists!G$22)*($AD9&lt;=Lists!G$21),MAX(0,MIN(Lists!G$21,$AE9)-MAX(Lists!G$22,$AD9))/($AE9-$AD9))+N($D9)*IF($AG9-$AF9&lt;1,($AF9&gt;Lists!G$22)*($AF9&lt;=Lists!G$21),MAX(0,MIN(Lists!G$21,$AG9)-MAX(Lists!G$22,$AF9))/($AG9-$AF9))+N($E9)*IF($AI9-$AH9&lt;1,($AH9&gt;Lists!G$22)*($AH9&lt;=Lists!G$21),MAX(0,MIN(Lists!G$21,$AI9)-MAX(Lists!G$22,$AH9))/($AI9-$AH9))+N($F9)*IF($AK9-$AJ9&lt;1,($AJ9&gt;Lists!G$22)*($AJ9&lt;=Lists!G$21),MAX(0,MIN(Lists!G$21,$AK9)-MAX(Lists!G$22,$AJ9))/($AK9-$AJ9))+N($G9)*IF($AM9-$AL9&lt;1,($AL9&gt;Lists!G$22)*($AL9&lt;=Lists!G$21),MAX(0,MIN(Lists!G$21,$AM9)-MAX(Lists!G$22,$AL9))/($AM9-$AL9))))))))</f>
        <v>7931.03448275862</v>
      </c>
      <c r="R9" s="53" t="n">
        <f aca="false">IF($H9=0,0,IF($AP9="X",0,IF($AP9="S",$H9/$AO9*(MIN($AO9,MAX(0,INT((Lists!H$21-N($J9))/7)+1))-MIN($AO9,MAX(0,INT((Lists!H$22-N($J9))/7)+1))),IF($AP9="D",$H9*MAX(0,MIN(Lists!H$21,N($J9)+$AO9)-MAX(Lists!H$22,N($J9)))/$AO9,IF($AP9="M",$H9/$AO9*(IF(Lists!H$21&lt;$J9,0,MIN($AO9,(((YEAR(Lists!H$21)-YEAR($J9))*12+MONTH(Lists!H$21)-MONTH($J9))-(EDATE($J9,((YEAR(Lists!H$21)-YEAR($J9))*12+MONTH(Lists!H$21)-MONTH($J9)))&gt;Lists!H$21)+1)))-IF(Lists!H$22&lt;$J9,0,MIN($AO9,(((YEAR(Lists!H$22)-YEAR($J9))*12+MONTH(Lists!H$22)-MONTH($J9))-(EDATE($J9,((YEAR(Lists!H$22)-YEAR($J9))*12+MONTH(Lists!H$22)-MONTH($J9)))&gt;Lists!H$22)+1)))),IF($AP9="F",IF(N($K9)&lt;=0,0,MIN(MAX(0,$H9),N($K9)*IF(Lists!H$21&lt;$J9,0,(((YEAR(Lists!H$21)-YEAR($J9))*12+MONTH(Lists!H$21)-MONTH($J9))-(EDATE($J9,((YEAR(Lists!H$21)-YEAR($J9))*12+MONTH(Lists!H$21)-MONTH($J9)))&gt;Lists!H$21)+1)))-MIN(MAX(0,$H9),N($K9)*IF(Lists!H$22&lt;$J9,0,(((YEAR(Lists!H$22)-YEAR($J9))*12+MONTH(Lists!H$22)-MONTH($J9))-(EDATE($J9,((YEAR(Lists!H$22)-YEAR($J9))*12+MONTH(Lists!H$22)-MONTH($J9)))&gt;Lists!H$22)+1)))),N($C9)*IF($AE9-$AD9&lt;1,($AD9&gt;Lists!H$22)*($AD9&lt;=Lists!H$21),MAX(0,MIN(Lists!H$21,$AE9)-MAX(Lists!H$22,$AD9))/($AE9-$AD9))+N($D9)*IF($AG9-$AF9&lt;1,($AF9&gt;Lists!H$22)*($AF9&lt;=Lists!H$21),MAX(0,MIN(Lists!H$21,$AG9)-MAX(Lists!H$22,$AF9))/($AG9-$AF9))+N($E9)*IF($AI9-$AH9&lt;1,($AH9&gt;Lists!H$22)*($AH9&lt;=Lists!H$21),MAX(0,MIN(Lists!H$21,$AI9)-MAX(Lists!H$22,$AH9))/($AI9-$AH9))+N($F9)*IF($AK9-$AJ9&lt;1,($AJ9&gt;Lists!H$22)*($AJ9&lt;=Lists!H$21),MAX(0,MIN(Lists!H$21,$AK9)-MAX(Lists!H$22,$AJ9))/($AK9-$AJ9))+N($G9)*IF($AM9-$AL9&lt;1,($AL9&gt;Lists!H$22)*($AL9&lt;=Lists!H$21),MAX(0,MIN(Lists!H$21,$AM9)-MAX(Lists!H$22,$AL9))/($AM9-$AL9))))))))</f>
        <v>22931.0344827586</v>
      </c>
      <c r="S9" s="53" t="n">
        <f aca="false">IF($H9=0,0,IF($AP9="X",0,IF($AP9="S",$H9/$AO9*(MIN($AO9,MAX(0,INT((Lists!I$21-N($J9))/7)+1))-MIN($AO9,MAX(0,INT((Lists!I$22-N($J9))/7)+1))),IF($AP9="D",$H9*MAX(0,MIN(Lists!I$21,N($J9)+$AO9)-MAX(Lists!I$22,N($J9)))/$AO9,IF($AP9="M",$H9/$AO9*(IF(Lists!I$21&lt;$J9,0,MIN($AO9,(((YEAR(Lists!I$21)-YEAR($J9))*12+MONTH(Lists!I$21)-MONTH($J9))-(EDATE($J9,((YEAR(Lists!I$21)-YEAR($J9))*12+MONTH(Lists!I$21)-MONTH($J9)))&gt;Lists!I$21)+1)))-IF(Lists!I$22&lt;$J9,0,MIN($AO9,(((YEAR(Lists!I$22)-YEAR($J9))*12+MONTH(Lists!I$22)-MONTH($J9))-(EDATE($J9,((YEAR(Lists!I$22)-YEAR($J9))*12+MONTH(Lists!I$22)-MONTH($J9)))&gt;Lists!I$22)+1)))),IF($AP9="F",IF(N($K9)&lt;=0,0,MIN(MAX(0,$H9),N($K9)*IF(Lists!I$21&lt;$J9,0,(((YEAR(Lists!I$21)-YEAR($J9))*12+MONTH(Lists!I$21)-MONTH($J9))-(EDATE($J9,((YEAR(Lists!I$21)-YEAR($J9))*12+MONTH(Lists!I$21)-MONTH($J9)))&gt;Lists!I$21)+1)))-MIN(MAX(0,$H9),N($K9)*IF(Lists!I$22&lt;$J9,0,(((YEAR(Lists!I$22)-YEAR($J9))*12+MONTH(Lists!I$22)-MONTH($J9))-(EDATE($J9,((YEAR(Lists!I$22)-YEAR($J9))*12+MONTH(Lists!I$22)-MONTH($J9)))&gt;Lists!I$22)+1)))),N($C9)*IF($AE9-$AD9&lt;1,($AD9&gt;Lists!I$22)*($AD9&lt;=Lists!I$21),MAX(0,MIN(Lists!I$21,$AE9)-MAX(Lists!I$22,$AD9))/($AE9-$AD9))+N($D9)*IF($AG9-$AF9&lt;1,($AF9&gt;Lists!I$22)*($AF9&lt;=Lists!I$21),MAX(0,MIN(Lists!I$21,$AG9)-MAX(Lists!I$22,$AF9))/($AG9-$AF9))+N($E9)*IF($AI9-$AH9&lt;1,($AH9&gt;Lists!I$22)*($AH9&lt;=Lists!I$21),MAX(0,MIN(Lists!I$21,$AI9)-MAX(Lists!I$22,$AH9))/($AI9-$AH9))+N($F9)*IF($AK9-$AJ9&lt;1,($AJ9&gt;Lists!I$22)*($AJ9&lt;=Lists!I$21),MAX(0,MIN(Lists!I$21,$AK9)-MAX(Lists!I$22,$AJ9))/($AK9-$AJ9))+N($G9)*IF($AM9-$AL9&lt;1,($AL9&gt;Lists!I$22)*($AL9&lt;=Lists!I$21),MAX(0,MIN(Lists!I$21,$AM9)-MAX(Lists!I$22,$AL9))/($AM9-$AL9))))))))</f>
        <v>22931.0344827586</v>
      </c>
      <c r="T9" s="53" t="n">
        <f aca="false">IF($H9=0,0,IF($AP9="X",0,IF($AP9="S",$H9/$AO9*(MIN($AO9,MAX(0,INT((Lists!J$21-N($J9))/7)+1))-MIN($AO9,MAX(0,INT((Lists!J$22-N($J9))/7)+1))),IF($AP9="D",$H9*MAX(0,MIN(Lists!J$21,N($J9)+$AO9)-MAX(Lists!J$22,N($J9)))/$AO9,IF($AP9="M",$H9/$AO9*(IF(Lists!J$21&lt;$J9,0,MIN($AO9,(((YEAR(Lists!J$21)-YEAR($J9))*12+MONTH(Lists!J$21)-MONTH($J9))-(EDATE($J9,((YEAR(Lists!J$21)-YEAR($J9))*12+MONTH(Lists!J$21)-MONTH($J9)))&gt;Lists!J$21)+1)))-IF(Lists!J$22&lt;$J9,0,MIN($AO9,(((YEAR(Lists!J$22)-YEAR($J9))*12+MONTH(Lists!J$22)-MONTH($J9))-(EDATE($J9,((YEAR(Lists!J$22)-YEAR($J9))*12+MONTH(Lists!J$22)-MONTH($J9)))&gt;Lists!J$22)+1)))),IF($AP9="F",IF(N($K9)&lt;=0,0,MIN(MAX(0,$H9),N($K9)*IF(Lists!J$21&lt;$J9,0,(((YEAR(Lists!J$21)-YEAR($J9))*12+MONTH(Lists!J$21)-MONTH($J9))-(EDATE($J9,((YEAR(Lists!J$21)-YEAR($J9))*12+MONTH(Lists!J$21)-MONTH($J9)))&gt;Lists!J$21)+1)))-MIN(MAX(0,$H9),N($K9)*IF(Lists!J$22&lt;$J9,0,(((YEAR(Lists!J$22)-YEAR($J9))*12+MONTH(Lists!J$22)-MONTH($J9))-(EDATE($J9,((YEAR(Lists!J$22)-YEAR($J9))*12+MONTH(Lists!J$22)-MONTH($J9)))&gt;Lists!J$22)+1)))),N($C9)*IF($AE9-$AD9&lt;1,($AD9&gt;Lists!J$22)*($AD9&lt;=Lists!J$21),MAX(0,MIN(Lists!J$21,$AE9)-MAX(Lists!J$22,$AD9))/($AE9-$AD9))+N($D9)*IF($AG9-$AF9&lt;1,($AF9&gt;Lists!J$22)*($AF9&lt;=Lists!J$21),MAX(0,MIN(Lists!J$21,$AG9)-MAX(Lists!J$22,$AF9))/($AG9-$AF9))+N($E9)*IF($AI9-$AH9&lt;1,($AH9&gt;Lists!J$22)*($AH9&lt;=Lists!J$21),MAX(0,MIN(Lists!J$21,$AI9)-MAX(Lists!J$22,$AH9))/($AI9-$AH9))+N($F9)*IF($AK9-$AJ9&lt;1,($AJ9&gt;Lists!J$22)*($AJ9&lt;=Lists!J$21),MAX(0,MIN(Lists!J$21,$AK9)-MAX(Lists!J$22,$AJ9))/($AK9-$AJ9))+N($G9)*IF($AM9-$AL9&lt;1,($AL9&gt;Lists!J$22)*($AL9&lt;=Lists!J$21),MAX(0,MIN(Lists!J$21,$AM9)-MAX(Lists!J$22,$AL9))/($AM9-$AL9))))))))</f>
        <v>22931.0344827586</v>
      </c>
      <c r="U9" s="53" t="n">
        <f aca="false">IF($H9=0,0,IF($AP9="X",0,IF($AP9="S",$H9/$AO9*(MIN($AO9,MAX(0,INT((Lists!K$21-N($J9))/7)+1))-MIN($AO9,MAX(0,INT((Lists!K$22-N($J9))/7)+1))),IF($AP9="D",$H9*MAX(0,MIN(Lists!K$21,N($J9)+$AO9)-MAX(Lists!K$22,N($J9)))/$AO9,IF($AP9="M",$H9/$AO9*(IF(Lists!K$21&lt;$J9,0,MIN($AO9,(((YEAR(Lists!K$21)-YEAR($J9))*12+MONTH(Lists!K$21)-MONTH($J9))-(EDATE($J9,((YEAR(Lists!K$21)-YEAR($J9))*12+MONTH(Lists!K$21)-MONTH($J9)))&gt;Lists!K$21)+1)))-IF(Lists!K$22&lt;$J9,0,MIN($AO9,(((YEAR(Lists!K$22)-YEAR($J9))*12+MONTH(Lists!K$22)-MONTH($J9))-(EDATE($J9,((YEAR(Lists!K$22)-YEAR($J9))*12+MONTH(Lists!K$22)-MONTH($J9)))&gt;Lists!K$22)+1)))),IF($AP9="F",IF(N($K9)&lt;=0,0,MIN(MAX(0,$H9),N($K9)*IF(Lists!K$21&lt;$J9,0,(((YEAR(Lists!K$21)-YEAR($J9))*12+MONTH(Lists!K$21)-MONTH($J9))-(EDATE($J9,((YEAR(Lists!K$21)-YEAR($J9))*12+MONTH(Lists!K$21)-MONTH($J9)))&gt;Lists!K$21)+1)))-MIN(MAX(0,$H9),N($K9)*IF(Lists!K$22&lt;$J9,0,(((YEAR(Lists!K$22)-YEAR($J9))*12+MONTH(Lists!K$22)-MONTH($J9))-(EDATE($J9,((YEAR(Lists!K$22)-YEAR($J9))*12+MONTH(Lists!K$22)-MONTH($J9)))&gt;Lists!K$22)+1)))),N($C9)*IF($AE9-$AD9&lt;1,($AD9&gt;Lists!K$22)*($AD9&lt;=Lists!K$21),MAX(0,MIN(Lists!K$21,$AE9)-MAX(Lists!K$22,$AD9))/($AE9-$AD9))+N($D9)*IF($AG9-$AF9&lt;1,($AF9&gt;Lists!K$22)*($AF9&lt;=Lists!K$21),MAX(0,MIN(Lists!K$21,$AG9)-MAX(Lists!K$22,$AF9))/($AG9-$AF9))+N($E9)*IF($AI9-$AH9&lt;1,($AH9&gt;Lists!K$22)*($AH9&lt;=Lists!K$21),MAX(0,MIN(Lists!K$21,$AI9)-MAX(Lists!K$22,$AH9))/($AI9-$AH9))+N($F9)*IF($AK9-$AJ9&lt;1,($AJ9&gt;Lists!K$22)*($AJ9&lt;=Lists!K$21),MAX(0,MIN(Lists!K$21,$AK9)-MAX(Lists!K$22,$AJ9))/($AK9-$AJ9))+N($G9)*IF($AM9-$AL9&lt;1,($AL9&gt;Lists!K$22)*($AL9&lt;=Lists!K$21),MAX(0,MIN(Lists!K$21,$AM9)-MAX(Lists!K$22,$AL9))/($AM9-$AL9))))))))</f>
        <v>19655.1724137931</v>
      </c>
      <c r="V9" s="53" t="n">
        <f aca="false">IF($H9=0,0,IF($AP9="X",0,IF($AP9="S",$H9/$AO9*(MIN($AO9,MAX(0,INT((Lists!L$21-N($J9))/7)+1))-MIN($AO9,MAX(0,INT((Lists!L$22-N($J9))/7)+1))),IF($AP9="D",$H9*MAX(0,MIN(Lists!L$21,N($J9)+$AO9)-MAX(Lists!L$22,N($J9)))/$AO9,IF($AP9="M",$H9/$AO9*(IF(Lists!L$21&lt;$J9,0,MIN($AO9,(((YEAR(Lists!L$21)-YEAR($J9))*12+MONTH(Lists!L$21)-MONTH($J9))-(EDATE($J9,((YEAR(Lists!L$21)-YEAR($J9))*12+MONTH(Lists!L$21)-MONTH($J9)))&gt;Lists!L$21)+1)))-IF(Lists!L$22&lt;$J9,0,MIN($AO9,(((YEAR(Lists!L$22)-YEAR($J9))*12+MONTH(Lists!L$22)-MONTH($J9))-(EDATE($J9,((YEAR(Lists!L$22)-YEAR($J9))*12+MONTH(Lists!L$22)-MONTH($J9)))&gt;Lists!L$22)+1)))),IF($AP9="F",IF(N($K9)&lt;=0,0,MIN(MAX(0,$H9),N($K9)*IF(Lists!L$21&lt;$J9,0,(((YEAR(Lists!L$21)-YEAR($J9))*12+MONTH(Lists!L$21)-MONTH($J9))-(EDATE($J9,((YEAR(Lists!L$21)-YEAR($J9))*12+MONTH(Lists!L$21)-MONTH($J9)))&gt;Lists!L$21)+1)))-MIN(MAX(0,$H9),N($K9)*IF(Lists!L$22&lt;$J9,0,(((YEAR(Lists!L$22)-YEAR($J9))*12+MONTH(Lists!L$22)-MONTH($J9))-(EDATE($J9,((YEAR(Lists!L$22)-YEAR($J9))*12+MONTH(Lists!L$22)-MONTH($J9)))&gt;Lists!L$22)+1)))),N($C9)*IF($AE9-$AD9&lt;1,($AD9&gt;Lists!L$22)*($AD9&lt;=Lists!L$21),MAX(0,MIN(Lists!L$21,$AE9)-MAX(Lists!L$22,$AD9))/($AE9-$AD9))+N($D9)*IF($AG9-$AF9&lt;1,($AF9&gt;Lists!L$22)*($AF9&lt;=Lists!L$21),MAX(0,MIN(Lists!L$21,$AG9)-MAX(Lists!L$22,$AF9))/($AG9-$AF9))+N($E9)*IF($AI9-$AH9&lt;1,($AH9&gt;Lists!L$22)*($AH9&lt;=Lists!L$21),MAX(0,MIN(Lists!L$21,$AI9)-MAX(Lists!L$22,$AH9))/($AI9-$AH9))+N($F9)*IF($AK9-$AJ9&lt;1,($AJ9&gt;Lists!L$22)*($AJ9&lt;=Lists!L$21),MAX(0,MIN(Lists!L$21,$AK9)-MAX(Lists!L$22,$AJ9))/($AK9-$AJ9))+N($G9)*IF($AM9-$AL9&lt;1,($AL9&gt;Lists!L$22)*($AL9&lt;=Lists!L$21),MAX(0,MIN(Lists!L$21,$AM9)-MAX(Lists!L$22,$AL9))/($AM9-$AL9))))))))</f>
        <v>29166.6666666667</v>
      </c>
      <c r="W9" s="53" t="n">
        <f aca="false">IF($H9=0,0,IF($AP9="X",0,IF($AP9="S",$H9/$AO9*(MIN($AO9,MAX(0,INT((Lists!M$21-N($J9))/7)+1))-MIN($AO9,MAX(0,INT((Lists!M$22-N($J9))/7)+1))),IF($AP9="D",$H9*MAX(0,MIN(Lists!M$21,N($J9)+$AO9)-MAX(Lists!M$22,N($J9)))/$AO9,IF($AP9="M",$H9/$AO9*(IF(Lists!M$21&lt;$J9,0,MIN($AO9,(((YEAR(Lists!M$21)-YEAR($J9))*12+MONTH(Lists!M$21)-MONTH($J9))-(EDATE($J9,((YEAR(Lists!M$21)-YEAR($J9))*12+MONTH(Lists!M$21)-MONTH($J9)))&gt;Lists!M$21)+1)))-IF(Lists!M$22&lt;$J9,0,MIN($AO9,(((YEAR(Lists!M$22)-YEAR($J9))*12+MONTH(Lists!M$22)-MONTH($J9))-(EDATE($J9,((YEAR(Lists!M$22)-YEAR($J9))*12+MONTH(Lists!M$22)-MONTH($J9)))&gt;Lists!M$22)+1)))),IF($AP9="F",IF(N($K9)&lt;=0,0,MIN(MAX(0,$H9),N($K9)*IF(Lists!M$21&lt;$J9,0,(((YEAR(Lists!M$21)-YEAR($J9))*12+MONTH(Lists!M$21)-MONTH($J9))-(EDATE($J9,((YEAR(Lists!M$21)-YEAR($J9))*12+MONTH(Lists!M$21)-MONTH($J9)))&gt;Lists!M$21)+1)))-MIN(MAX(0,$H9),N($K9)*IF(Lists!M$22&lt;$J9,0,(((YEAR(Lists!M$22)-YEAR($J9))*12+MONTH(Lists!M$22)-MONTH($J9))-(EDATE($J9,((YEAR(Lists!M$22)-YEAR($J9))*12+MONTH(Lists!M$22)-MONTH($J9)))&gt;Lists!M$22)+1)))),N($C9)*IF($AE9-$AD9&lt;1,($AD9&gt;Lists!M$22)*($AD9&lt;=Lists!M$21),MAX(0,MIN(Lists!M$21,$AE9)-MAX(Lists!M$22,$AD9))/($AE9-$AD9))+N($D9)*IF($AG9-$AF9&lt;1,($AF9&gt;Lists!M$22)*($AF9&lt;=Lists!M$21),MAX(0,MIN(Lists!M$21,$AG9)-MAX(Lists!M$22,$AF9))/($AG9-$AF9))+N($E9)*IF($AI9-$AH9&lt;1,($AH9&gt;Lists!M$22)*($AH9&lt;=Lists!M$21),MAX(0,MIN(Lists!M$21,$AI9)-MAX(Lists!M$22,$AH9))/($AI9-$AH9))+N($F9)*IF($AK9-$AJ9&lt;1,($AJ9&gt;Lists!M$22)*($AJ9&lt;=Lists!M$21),MAX(0,MIN(Lists!M$21,$AK9)-MAX(Lists!M$22,$AJ9))/($AK9-$AJ9))+N($G9)*IF($AM9-$AL9&lt;1,($AL9&gt;Lists!M$22)*($AL9&lt;=Lists!M$21),MAX(0,MIN(Lists!M$21,$AM9)-MAX(Lists!M$22,$AL9))/($AM9-$AL9))))))))</f>
        <v>29166.6666666667</v>
      </c>
      <c r="X9" s="53" t="n">
        <f aca="false">IF($H9=0,0,IF($AP9="X",0,IF($AP9="S",$H9/$AO9*(MIN($AO9,MAX(0,INT((Lists!N$21-N($J9))/7)+1))-MIN($AO9,MAX(0,INT((Lists!N$22-N($J9))/7)+1))),IF($AP9="D",$H9*MAX(0,MIN(Lists!N$21,N($J9)+$AO9)-MAX(Lists!N$22,N($J9)))/$AO9,IF($AP9="M",$H9/$AO9*(IF(Lists!N$21&lt;$J9,0,MIN($AO9,(((YEAR(Lists!N$21)-YEAR($J9))*12+MONTH(Lists!N$21)-MONTH($J9))-(EDATE($J9,((YEAR(Lists!N$21)-YEAR($J9))*12+MONTH(Lists!N$21)-MONTH($J9)))&gt;Lists!N$21)+1)))-IF(Lists!N$22&lt;$J9,0,MIN($AO9,(((YEAR(Lists!N$22)-YEAR($J9))*12+MONTH(Lists!N$22)-MONTH($J9))-(EDATE($J9,((YEAR(Lists!N$22)-YEAR($J9))*12+MONTH(Lists!N$22)-MONTH($J9)))&gt;Lists!N$22)+1)))),IF($AP9="F",IF(N($K9)&lt;=0,0,MIN(MAX(0,$H9),N($K9)*IF(Lists!N$21&lt;$J9,0,(((YEAR(Lists!N$21)-YEAR($J9))*12+MONTH(Lists!N$21)-MONTH($J9))-(EDATE($J9,((YEAR(Lists!N$21)-YEAR($J9))*12+MONTH(Lists!N$21)-MONTH($J9)))&gt;Lists!N$21)+1)))-MIN(MAX(0,$H9),N($K9)*IF(Lists!N$22&lt;$J9,0,(((YEAR(Lists!N$22)-YEAR($J9))*12+MONTH(Lists!N$22)-MONTH($J9))-(EDATE($J9,((YEAR(Lists!N$22)-YEAR($J9))*12+MONTH(Lists!N$22)-MONTH($J9)))&gt;Lists!N$22)+1)))),N($C9)*IF($AE9-$AD9&lt;1,($AD9&gt;Lists!N$22)*($AD9&lt;=Lists!N$21),MAX(0,MIN(Lists!N$21,$AE9)-MAX(Lists!N$22,$AD9))/($AE9-$AD9))+N($D9)*IF($AG9-$AF9&lt;1,($AF9&gt;Lists!N$22)*($AF9&lt;=Lists!N$21),MAX(0,MIN(Lists!N$21,$AG9)-MAX(Lists!N$22,$AF9))/($AG9-$AF9))+N($E9)*IF($AI9-$AH9&lt;1,($AH9&gt;Lists!N$22)*($AH9&lt;=Lists!N$21),MAX(0,MIN(Lists!N$21,$AI9)-MAX(Lists!N$22,$AH9))/($AI9-$AH9))+N($F9)*IF($AK9-$AJ9&lt;1,($AJ9&gt;Lists!N$22)*($AJ9&lt;=Lists!N$21),MAX(0,MIN(Lists!N$21,$AK9)-MAX(Lists!N$22,$AJ9))/($AK9-$AJ9))+N($G9)*IF($AM9-$AL9&lt;1,($AL9&gt;Lists!N$22)*($AL9&lt;=Lists!N$21),MAX(0,MIN(Lists!N$21,$AM9)-MAX(Lists!N$22,$AL9))/($AM9-$AL9))))))))</f>
        <v>29166.6666666667</v>
      </c>
      <c r="Y9" s="53" t="n">
        <f aca="false">IF($H9=0,0,IF($AP9="X",0,IF($AP9="S",$H9/$AO9*(MIN($AO9,MAX(0,INT((Lists!O$21-N($J9))/7)+1))-MIN($AO9,MAX(0,INT((Lists!O$22-N($J9))/7)+1))),IF($AP9="D",$H9*MAX(0,MIN(Lists!O$21,N($J9)+$AO9)-MAX(Lists!O$22,N($J9)))/$AO9,IF($AP9="M",$H9/$AO9*(IF(Lists!O$21&lt;$J9,0,MIN($AO9,(((YEAR(Lists!O$21)-YEAR($J9))*12+MONTH(Lists!O$21)-MONTH($J9))-(EDATE($J9,((YEAR(Lists!O$21)-YEAR($J9))*12+MONTH(Lists!O$21)-MONTH($J9)))&gt;Lists!O$21)+1)))-IF(Lists!O$22&lt;$J9,0,MIN($AO9,(((YEAR(Lists!O$22)-YEAR($J9))*12+MONTH(Lists!O$22)-MONTH($J9))-(EDATE($J9,((YEAR(Lists!O$22)-YEAR($J9))*12+MONTH(Lists!O$22)-MONTH($J9)))&gt;Lists!O$22)+1)))),IF($AP9="F",IF(N($K9)&lt;=0,0,MIN(MAX(0,$H9),N($K9)*IF(Lists!O$21&lt;$J9,0,(((YEAR(Lists!O$21)-YEAR($J9))*12+MONTH(Lists!O$21)-MONTH($J9))-(EDATE($J9,((YEAR(Lists!O$21)-YEAR($J9))*12+MONTH(Lists!O$21)-MONTH($J9)))&gt;Lists!O$21)+1)))-MIN(MAX(0,$H9),N($K9)*IF(Lists!O$22&lt;$J9,0,(((YEAR(Lists!O$22)-YEAR($J9))*12+MONTH(Lists!O$22)-MONTH($J9))-(EDATE($J9,((YEAR(Lists!O$22)-YEAR($J9))*12+MONTH(Lists!O$22)-MONTH($J9)))&gt;Lists!O$22)+1)))),N($C9)*IF($AE9-$AD9&lt;1,($AD9&gt;Lists!O$22)*($AD9&lt;=Lists!O$21),MAX(0,MIN(Lists!O$21,$AE9)-MAX(Lists!O$22,$AD9))/($AE9-$AD9))+N($D9)*IF($AG9-$AF9&lt;1,($AF9&gt;Lists!O$22)*($AF9&lt;=Lists!O$21),MAX(0,MIN(Lists!O$21,$AG9)-MAX(Lists!O$22,$AF9))/($AG9-$AF9))+N($E9)*IF($AI9-$AH9&lt;1,($AH9&gt;Lists!O$22)*($AH9&lt;=Lists!O$21),MAX(0,MIN(Lists!O$21,$AI9)-MAX(Lists!O$22,$AH9))/($AI9-$AH9))+N($F9)*IF($AK9-$AJ9&lt;1,($AJ9&gt;Lists!O$22)*($AJ9&lt;=Lists!O$21),MAX(0,MIN(Lists!O$21,$AK9)-MAX(Lists!O$22,$AJ9))/($AK9-$AJ9))+N($G9)*IF($AM9-$AL9&lt;1,($AL9&gt;Lists!O$22)*($AL9&lt;=Lists!O$21),MAX(0,MIN(Lists!O$21,$AM9)-MAX(Lists!O$22,$AL9))/($AM9-$AL9))))))))</f>
        <v>29166.6666666667</v>
      </c>
      <c r="Z9" s="46" t="n">
        <f aca="false">SUM(M9:Y9)</f>
        <v>221666.666666667</v>
      </c>
      <c r="AA9" s="92" t="n">
        <f aca="false">H9-Z9</f>
        <v>8333.33333333334</v>
      </c>
      <c r="AB9" s="55"/>
      <c r="AC9" s="2"/>
      <c r="AD9" s="93" t="n">
        <f aca="false">Setup!$D$10+MAX(0,$AN9-30)</f>
        <v>46395</v>
      </c>
      <c r="AE9" s="93" t="n">
        <f aca="false">Setup!$D$10+IF($AN9-30&lt;0,MAX(Setup!$D$22,$AN9-0),$AN9-0)</f>
        <v>46425</v>
      </c>
      <c r="AF9" s="93" t="n">
        <f aca="false">Setup!$D$10+MAX(0,$AN9-60)</f>
        <v>46365</v>
      </c>
      <c r="AG9" s="93" t="n">
        <f aca="false">Setup!$D$10+IF($AN9-60&lt;0,MAX(Setup!$D$22,$AN9-31),$AN9-31)</f>
        <v>46394</v>
      </c>
      <c r="AH9" s="93" t="n">
        <f aca="false">Setup!$D$10+MAX(0,$AN9-90)</f>
        <v>46335</v>
      </c>
      <c r="AI9" s="93" t="n">
        <f aca="false">Setup!$D$10+IF($AN9-90&lt;0,MAX(Setup!$D$22,$AN9-61),$AN9-61)</f>
        <v>46364</v>
      </c>
      <c r="AJ9" s="93" t="n">
        <f aca="false">Setup!$D$10+MAX(0,$AN9-120)</f>
        <v>46335</v>
      </c>
      <c r="AK9" s="93" t="n">
        <f aca="false">Setup!$D$10+IF($AN9-120&lt;0,MAX(Setup!$D$22,$AN9-91),$AN9-91)</f>
        <v>46363</v>
      </c>
      <c r="AL9" s="93" t="n">
        <f aca="false">IF(Setup!$D$23="Yes",2958465,Setup!$D$10)</f>
        <v>2958465</v>
      </c>
      <c r="AM9" s="93" t="n">
        <f aca="false">IF(AL9=2958465,AL9,Setup!$D$10+Setup!$D$22)</f>
        <v>2958465</v>
      </c>
      <c r="AN9" s="94" t="n">
        <f aca="false">IF(N(L9)=0,Setup!$D$20,L9)</f>
        <v>90</v>
      </c>
      <c r="AO9" s="94" t="n">
        <f aca="false">MAX(1,ROUND(N(K9),0))</f>
        <v>1</v>
      </c>
      <c r="AP9" s="95" t="str">
        <f aca="false">IF(I9="Doubtful","X",IF(N(J9)=0,"A",IF(I9="Specific date","S",IF(I9="Spread over days","D",IF(I9="Monthly on set day","M",IF(I9="Monthly fixed amount","F","A"))))))</f>
        <v>A</v>
      </c>
    </row>
    <row r="10" customFormat="false" ht="15" hidden="false" customHeight="false" outlineLevel="0" collapsed="false">
      <c r="A10" s="87" t="n">
        <v>2</v>
      </c>
      <c r="B10" s="55" t="s">
        <v>408</v>
      </c>
      <c r="C10" s="88" t="n">
        <v>62000</v>
      </c>
      <c r="D10" s="88" t="n">
        <v>48000</v>
      </c>
      <c r="E10" s="88" t="n">
        <v>10000</v>
      </c>
      <c r="F10" s="88"/>
      <c r="G10" s="88"/>
      <c r="H10" s="89" t="n">
        <f aca="false">SUM(C10:G10)</f>
        <v>120000</v>
      </c>
      <c r="I10" s="58" t="s">
        <v>407</v>
      </c>
      <c r="J10" s="90"/>
      <c r="K10" s="91"/>
      <c r="L10" s="80"/>
      <c r="M10" s="53" t="n">
        <f aca="false">IF($H10=0,0,IF($AP10="X",0,IF($AP10="S",$H10/$AO10*(MIN($AO10,MAX(0,INT((Lists!C$21-N($J10))/7)+1))-MIN($AO10,MAX(0,INT((Lists!C$22-N($J10))/7)+1))),IF($AP10="D",$H10*MAX(0,MIN(Lists!C$21,N($J10)+$AO10)-MAX(Lists!C$22,N($J10)))/$AO10,IF($AP10="M",$H10/$AO10*(IF(Lists!C$21&lt;$J10,0,MIN($AO10,(((YEAR(Lists!C$21)-YEAR($J10))*12+MONTH(Lists!C$21)-MONTH($J10))-(EDATE($J10,((YEAR(Lists!C$21)-YEAR($J10))*12+MONTH(Lists!C$21)-MONTH($J10)))&gt;Lists!C$21)+1)))-IF(Lists!C$22&lt;$J10,0,MIN($AO10,(((YEAR(Lists!C$22)-YEAR($J10))*12+MONTH(Lists!C$22)-MONTH($J10))-(EDATE($J10,((YEAR(Lists!C$22)-YEAR($J10))*12+MONTH(Lists!C$22)-MONTH($J10)))&gt;Lists!C$22)+1)))),IF($AP10="F",IF(N($K10)&lt;=0,0,MIN(MAX(0,$H10),N($K10)*IF(Lists!C$21&lt;$J10,0,(((YEAR(Lists!C$21)-YEAR($J10))*12+MONTH(Lists!C$21)-MONTH($J10))-(EDATE($J10,((YEAR(Lists!C$21)-YEAR($J10))*12+MONTH(Lists!C$21)-MONTH($J10)))&gt;Lists!C$21)+1)))-MIN(MAX(0,$H10),N($K10)*IF(Lists!C$22&lt;$J10,0,(((YEAR(Lists!C$22)-YEAR($J10))*12+MONTH(Lists!C$22)-MONTH($J10))-(EDATE($J10,((YEAR(Lists!C$22)-YEAR($J10))*12+MONTH(Lists!C$22)-MONTH($J10)))&gt;Lists!C$22)+1)))),N($C10)*IF($AE10-$AD10&lt;1,($AD10&gt;Lists!C$22)*($AD10&lt;=Lists!C$21),MAX(0,MIN(Lists!C$21,$AE10)-MAX(Lists!C$22,$AD10))/($AE10-$AD10))+N($D10)*IF($AG10-$AF10&lt;1,($AF10&gt;Lists!C$22)*($AF10&lt;=Lists!C$21),MAX(0,MIN(Lists!C$21,$AG10)-MAX(Lists!C$22,$AF10))/($AG10-$AF10))+N($E10)*IF($AI10-$AH10&lt;1,($AH10&gt;Lists!C$22)*($AH10&lt;=Lists!C$21),MAX(0,MIN(Lists!C$21,$AI10)-MAX(Lists!C$22,$AH10))/($AI10-$AH10))+N($F10)*IF($AK10-$AJ10&lt;1,($AJ10&gt;Lists!C$22)*($AJ10&lt;=Lists!C$21),MAX(0,MIN(Lists!C$21,$AK10)-MAX(Lists!C$22,$AJ10))/($AK10-$AJ10))+N($G10)*IF($AM10-$AL10&lt;1,($AL10&gt;Lists!C$22)*($AL10&lt;=Lists!C$21),MAX(0,MIN(Lists!C$21,$AM10)-MAX(Lists!C$22,$AL10))/($AM10-$AL10))))))))</f>
        <v>8049.26108374384</v>
      </c>
      <c r="N10" s="53" t="n">
        <f aca="false">IF($H10=0,0,IF($AP10="X",0,IF($AP10="S",$H10/$AO10*(MIN($AO10,MAX(0,INT((Lists!D$21-N($J10))/7)+1))-MIN($AO10,MAX(0,INT((Lists!D$22-N($J10))/7)+1))),IF($AP10="D",$H10*MAX(0,MIN(Lists!D$21,N($J10)+$AO10)-MAX(Lists!D$22,N($J10)))/$AO10,IF($AP10="M",$H10/$AO10*(IF(Lists!D$21&lt;$J10,0,MIN($AO10,(((YEAR(Lists!D$21)-YEAR($J10))*12+MONTH(Lists!D$21)-MONTH($J10))-(EDATE($J10,((YEAR(Lists!D$21)-YEAR($J10))*12+MONTH(Lists!D$21)-MONTH($J10)))&gt;Lists!D$21)+1)))-IF(Lists!D$22&lt;$J10,0,MIN($AO10,(((YEAR(Lists!D$22)-YEAR($J10))*12+MONTH(Lists!D$22)-MONTH($J10))-(EDATE($J10,((YEAR(Lists!D$22)-YEAR($J10))*12+MONTH(Lists!D$22)-MONTH($J10)))&gt;Lists!D$22)+1)))),IF($AP10="F",IF(N($K10)&lt;=0,0,MIN(MAX(0,$H10),N($K10)*IF(Lists!D$21&lt;$J10,0,(((YEAR(Lists!D$21)-YEAR($J10))*12+MONTH(Lists!D$21)-MONTH($J10))-(EDATE($J10,((YEAR(Lists!D$21)-YEAR($J10))*12+MONTH(Lists!D$21)-MONTH($J10)))&gt;Lists!D$21)+1)))-MIN(MAX(0,$H10),N($K10)*IF(Lists!D$22&lt;$J10,0,(((YEAR(Lists!D$22)-YEAR($J10))*12+MONTH(Lists!D$22)-MONTH($J10))-(EDATE($J10,((YEAR(Lists!D$22)-YEAR($J10))*12+MONTH(Lists!D$22)-MONTH($J10)))&gt;Lists!D$22)+1)))),N($C10)*IF($AE10-$AD10&lt;1,($AD10&gt;Lists!D$22)*($AD10&lt;=Lists!D$21),MAX(0,MIN(Lists!D$21,$AE10)-MAX(Lists!D$22,$AD10))/($AE10-$AD10))+N($D10)*IF($AG10-$AF10&lt;1,($AF10&gt;Lists!D$22)*($AF10&lt;=Lists!D$21),MAX(0,MIN(Lists!D$21,$AG10)-MAX(Lists!D$22,$AF10))/($AG10-$AF10))+N($E10)*IF($AI10-$AH10&lt;1,($AH10&gt;Lists!D$22)*($AH10&lt;=Lists!D$21),MAX(0,MIN(Lists!D$21,$AI10)-MAX(Lists!D$22,$AH10))/($AI10-$AH10))+N($F10)*IF($AK10-$AJ10&lt;1,($AJ10&gt;Lists!D$22)*($AJ10&lt;=Lists!D$21),MAX(0,MIN(Lists!D$21,$AK10)-MAX(Lists!D$22,$AJ10))/($AK10-$AJ10))+N($G10)*IF($AM10-$AL10&lt;1,($AL10&gt;Lists!D$22)*($AL10&lt;=Lists!D$21),MAX(0,MIN(Lists!D$21,$AM10)-MAX(Lists!D$22,$AL10))/($AM10-$AL10))))))))</f>
        <v>14086.2068965517</v>
      </c>
      <c r="O10" s="53" t="n">
        <f aca="false">IF($H10=0,0,IF($AP10="X",0,IF($AP10="S",$H10/$AO10*(MIN($AO10,MAX(0,INT((Lists!E$21-N($J10))/7)+1))-MIN($AO10,MAX(0,INT((Lists!E$22-N($J10))/7)+1))),IF($AP10="D",$H10*MAX(0,MIN(Lists!E$21,N($J10)+$AO10)-MAX(Lists!E$22,N($J10)))/$AO10,IF($AP10="M",$H10/$AO10*(IF(Lists!E$21&lt;$J10,0,MIN($AO10,(((YEAR(Lists!E$21)-YEAR($J10))*12+MONTH(Lists!E$21)-MONTH($J10))-(EDATE($J10,((YEAR(Lists!E$21)-YEAR($J10))*12+MONTH(Lists!E$21)-MONTH($J10)))&gt;Lists!E$21)+1)))-IF(Lists!E$22&lt;$J10,0,MIN($AO10,(((YEAR(Lists!E$22)-YEAR($J10))*12+MONTH(Lists!E$22)-MONTH($J10))-(EDATE($J10,((YEAR(Lists!E$22)-YEAR($J10))*12+MONTH(Lists!E$22)-MONTH($J10)))&gt;Lists!E$22)+1)))),IF($AP10="F",IF(N($K10)&lt;=0,0,MIN(MAX(0,$H10),N($K10)*IF(Lists!E$21&lt;$J10,0,(((YEAR(Lists!E$21)-YEAR($J10))*12+MONTH(Lists!E$21)-MONTH($J10))-(EDATE($J10,((YEAR(Lists!E$21)-YEAR($J10))*12+MONTH(Lists!E$21)-MONTH($J10)))&gt;Lists!E$21)+1)))-MIN(MAX(0,$H10),N($K10)*IF(Lists!E$22&lt;$J10,0,(((YEAR(Lists!E$22)-YEAR($J10))*12+MONTH(Lists!E$22)-MONTH($J10))-(EDATE($J10,((YEAR(Lists!E$22)-YEAR($J10))*12+MONTH(Lists!E$22)-MONTH($J10)))&gt;Lists!E$22)+1)))),N($C10)*IF($AE10-$AD10&lt;1,($AD10&gt;Lists!E$22)*($AD10&lt;=Lists!E$21),MAX(0,MIN(Lists!E$21,$AE10)-MAX(Lists!E$22,$AD10))/($AE10-$AD10))+N($D10)*IF($AG10-$AF10&lt;1,($AF10&gt;Lists!E$22)*($AF10&lt;=Lists!E$21),MAX(0,MIN(Lists!E$21,$AG10)-MAX(Lists!E$22,$AF10))/($AG10-$AF10))+N($E10)*IF($AI10-$AH10&lt;1,($AH10&gt;Lists!E$22)*($AH10&lt;=Lists!E$21),MAX(0,MIN(Lists!E$21,$AI10)-MAX(Lists!E$22,$AH10))/($AI10-$AH10))+N($F10)*IF($AK10-$AJ10&lt;1,($AJ10&gt;Lists!E$22)*($AJ10&lt;=Lists!E$21),MAX(0,MIN(Lists!E$21,$AK10)-MAX(Lists!E$22,$AJ10))/($AK10-$AJ10))+N($G10)*IF($AM10-$AL10&lt;1,($AL10&gt;Lists!E$22)*($AL10&lt;=Lists!E$21),MAX(0,MIN(Lists!E$21,$AM10)-MAX(Lists!E$22,$AL10))/($AM10-$AL10))))))))</f>
        <v>14086.2068965517</v>
      </c>
      <c r="P10" s="53" t="n">
        <f aca="false">IF($H10=0,0,IF($AP10="X",0,IF($AP10="S",$H10/$AO10*(MIN($AO10,MAX(0,INT((Lists!F$21-N($J10))/7)+1))-MIN($AO10,MAX(0,INT((Lists!F$22-N($J10))/7)+1))),IF($AP10="D",$H10*MAX(0,MIN(Lists!F$21,N($J10)+$AO10)-MAX(Lists!F$22,N($J10)))/$AO10,IF($AP10="M",$H10/$AO10*(IF(Lists!F$21&lt;$J10,0,MIN($AO10,(((YEAR(Lists!F$21)-YEAR($J10))*12+MONTH(Lists!F$21)-MONTH($J10))-(EDATE($J10,((YEAR(Lists!F$21)-YEAR($J10))*12+MONTH(Lists!F$21)-MONTH($J10)))&gt;Lists!F$21)+1)))-IF(Lists!F$22&lt;$J10,0,MIN($AO10,(((YEAR(Lists!F$22)-YEAR($J10))*12+MONTH(Lists!F$22)-MONTH($J10))-(EDATE($J10,((YEAR(Lists!F$22)-YEAR($J10))*12+MONTH(Lists!F$22)-MONTH($J10)))&gt;Lists!F$22)+1)))),IF($AP10="F",IF(N($K10)&lt;=0,0,MIN(MAX(0,$H10),N($K10)*IF(Lists!F$21&lt;$J10,0,(((YEAR(Lists!F$21)-YEAR($J10))*12+MONTH(Lists!F$21)-MONTH($J10))-(EDATE($J10,((YEAR(Lists!F$21)-YEAR($J10))*12+MONTH(Lists!F$21)-MONTH($J10)))&gt;Lists!F$21)+1)))-MIN(MAX(0,$H10),N($K10)*IF(Lists!F$22&lt;$J10,0,(((YEAR(Lists!F$22)-YEAR($J10))*12+MONTH(Lists!F$22)-MONTH($J10))-(EDATE($J10,((YEAR(Lists!F$22)-YEAR($J10))*12+MONTH(Lists!F$22)-MONTH($J10)))&gt;Lists!F$22)+1)))),N($C10)*IF($AE10-$AD10&lt;1,($AD10&gt;Lists!F$22)*($AD10&lt;=Lists!F$21),MAX(0,MIN(Lists!F$21,$AE10)-MAX(Lists!F$22,$AD10))/($AE10-$AD10))+N($D10)*IF($AG10-$AF10&lt;1,($AF10&gt;Lists!F$22)*($AF10&lt;=Lists!F$21),MAX(0,MIN(Lists!F$21,$AG10)-MAX(Lists!F$22,$AF10))/($AG10-$AF10))+N($E10)*IF($AI10-$AH10&lt;1,($AH10&gt;Lists!F$22)*($AH10&lt;=Lists!F$21),MAX(0,MIN(Lists!F$21,$AI10)-MAX(Lists!F$22,$AH10))/($AI10-$AH10))+N($F10)*IF($AK10-$AJ10&lt;1,($AJ10&gt;Lists!F$22)*($AJ10&lt;=Lists!F$21),MAX(0,MIN(Lists!F$21,$AK10)-MAX(Lists!F$22,$AJ10))/($AK10-$AJ10))+N($G10)*IF($AM10-$AL10&lt;1,($AL10&gt;Lists!F$22)*($AL10&lt;=Lists!F$21),MAX(0,MIN(Lists!F$21,$AM10)-MAX(Lists!F$22,$AL10))/($AM10-$AL10))))))))</f>
        <v>14086.2068965517</v>
      </c>
      <c r="Q10" s="53" t="n">
        <f aca="false">IF($H10=0,0,IF($AP10="X",0,IF($AP10="S",$H10/$AO10*(MIN($AO10,MAX(0,INT((Lists!G$21-N($J10))/7)+1))-MIN($AO10,MAX(0,INT((Lists!G$22-N($J10))/7)+1))),IF($AP10="D",$H10*MAX(0,MIN(Lists!G$21,N($J10)+$AO10)-MAX(Lists!G$22,N($J10)))/$AO10,IF($AP10="M",$H10/$AO10*(IF(Lists!G$21&lt;$J10,0,MIN($AO10,(((YEAR(Lists!G$21)-YEAR($J10))*12+MONTH(Lists!G$21)-MONTH($J10))-(EDATE($J10,((YEAR(Lists!G$21)-YEAR($J10))*12+MONTH(Lists!G$21)-MONTH($J10)))&gt;Lists!G$21)+1)))-IF(Lists!G$22&lt;$J10,0,MIN($AO10,(((YEAR(Lists!G$22)-YEAR($J10))*12+MONTH(Lists!G$22)-MONTH($J10))-(EDATE($J10,((YEAR(Lists!G$22)-YEAR($J10))*12+MONTH(Lists!G$22)-MONTH($J10)))&gt;Lists!G$22)+1)))),IF($AP10="F",IF(N($K10)&lt;=0,0,MIN(MAX(0,$H10),N($K10)*IF(Lists!G$21&lt;$J10,0,(((YEAR(Lists!G$21)-YEAR($J10))*12+MONTH(Lists!G$21)-MONTH($J10))-(EDATE($J10,((YEAR(Lists!G$21)-YEAR($J10))*12+MONTH(Lists!G$21)-MONTH($J10)))&gt;Lists!G$21)+1)))-MIN(MAX(0,$H10),N($K10)*IF(Lists!G$22&lt;$J10,0,(((YEAR(Lists!G$22)-YEAR($J10))*12+MONTH(Lists!G$22)-MONTH($J10))-(EDATE($J10,((YEAR(Lists!G$22)-YEAR($J10))*12+MONTH(Lists!G$22)-MONTH($J10)))&gt;Lists!G$22)+1)))),N($C10)*IF($AE10-$AD10&lt;1,($AD10&gt;Lists!G$22)*($AD10&lt;=Lists!G$21),MAX(0,MIN(Lists!G$21,$AE10)-MAX(Lists!G$22,$AD10))/($AE10-$AD10))+N($D10)*IF($AG10-$AF10&lt;1,($AF10&gt;Lists!G$22)*($AF10&lt;=Lists!G$21),MAX(0,MIN(Lists!G$21,$AG10)-MAX(Lists!G$22,$AF10))/($AG10-$AF10))+N($E10)*IF($AI10-$AH10&lt;1,($AH10&gt;Lists!G$22)*($AH10&lt;=Lists!G$21),MAX(0,MIN(Lists!G$21,$AI10)-MAX(Lists!G$22,$AH10))/($AI10-$AH10))+N($F10)*IF($AK10-$AJ10&lt;1,($AJ10&gt;Lists!G$22)*($AJ10&lt;=Lists!G$21),MAX(0,MIN(Lists!G$21,$AK10)-MAX(Lists!G$22,$AJ10))/($AK10-$AJ10))+N($G10)*IF($AM10-$AL10&lt;1,($AL10&gt;Lists!G$22)*($AL10&lt;=Lists!G$21),MAX(0,MIN(Lists!G$21,$AM10)-MAX(Lists!G$22,$AL10))/($AM10-$AL10))))))))</f>
        <v>11825.4515599343</v>
      </c>
      <c r="R10" s="53" t="n">
        <f aca="false">IF($H10=0,0,IF($AP10="X",0,IF($AP10="S",$H10/$AO10*(MIN($AO10,MAX(0,INT((Lists!H$21-N($J10))/7)+1))-MIN($AO10,MAX(0,INT((Lists!H$22-N($J10))/7)+1))),IF($AP10="D",$H10*MAX(0,MIN(Lists!H$21,N($J10)+$AO10)-MAX(Lists!H$22,N($J10)))/$AO10,IF($AP10="M",$H10/$AO10*(IF(Lists!H$21&lt;$J10,0,MIN($AO10,(((YEAR(Lists!H$21)-YEAR($J10))*12+MONTH(Lists!H$21)-MONTH($J10))-(EDATE($J10,((YEAR(Lists!H$21)-YEAR($J10))*12+MONTH(Lists!H$21)-MONTH($J10)))&gt;Lists!H$21)+1)))-IF(Lists!H$22&lt;$J10,0,MIN($AO10,(((YEAR(Lists!H$22)-YEAR($J10))*12+MONTH(Lists!H$22)-MONTH($J10))-(EDATE($J10,((YEAR(Lists!H$22)-YEAR($J10))*12+MONTH(Lists!H$22)-MONTH($J10)))&gt;Lists!H$22)+1)))),IF($AP10="F",IF(N($K10)&lt;=0,0,MIN(MAX(0,$H10),N($K10)*IF(Lists!H$21&lt;$J10,0,(((YEAR(Lists!H$21)-YEAR($J10))*12+MONTH(Lists!H$21)-MONTH($J10))-(EDATE($J10,((YEAR(Lists!H$21)-YEAR($J10))*12+MONTH(Lists!H$21)-MONTH($J10)))&gt;Lists!H$21)+1)))-MIN(MAX(0,$H10),N($K10)*IF(Lists!H$22&lt;$J10,0,(((YEAR(Lists!H$22)-YEAR($J10))*12+MONTH(Lists!H$22)-MONTH($J10))-(EDATE($J10,((YEAR(Lists!H$22)-YEAR($J10))*12+MONTH(Lists!H$22)-MONTH($J10)))&gt;Lists!H$22)+1)))),N($C10)*IF($AE10-$AD10&lt;1,($AD10&gt;Lists!H$22)*($AD10&lt;=Lists!H$21),MAX(0,MIN(Lists!H$21,$AE10)-MAX(Lists!H$22,$AD10))/($AE10-$AD10))+N($D10)*IF($AG10-$AF10&lt;1,($AF10&gt;Lists!H$22)*($AF10&lt;=Lists!H$21),MAX(0,MIN(Lists!H$21,$AG10)-MAX(Lists!H$22,$AF10))/($AG10-$AF10))+N($E10)*IF($AI10-$AH10&lt;1,($AH10&gt;Lists!H$22)*($AH10&lt;=Lists!H$21),MAX(0,MIN(Lists!H$21,$AI10)-MAX(Lists!H$22,$AH10))/($AI10-$AH10))+N($F10)*IF($AK10-$AJ10&lt;1,($AJ10&gt;Lists!H$22)*($AJ10&lt;=Lists!H$21),MAX(0,MIN(Lists!H$21,$AK10)-MAX(Lists!H$22,$AJ10))/($AK10-$AJ10))+N($G10)*IF($AM10-$AL10&lt;1,($AL10&gt;Lists!H$22)*($AL10&lt;=Lists!H$21),MAX(0,MIN(Lists!H$21,$AM10)-MAX(Lists!H$22,$AL10))/($AM10-$AL10))))))))</f>
        <v>14466.6666666667</v>
      </c>
      <c r="S10" s="53" t="n">
        <f aca="false">IF($H10=0,0,IF($AP10="X",0,IF($AP10="S",$H10/$AO10*(MIN($AO10,MAX(0,INT((Lists!I$21-N($J10))/7)+1))-MIN($AO10,MAX(0,INT((Lists!I$22-N($J10))/7)+1))),IF($AP10="D",$H10*MAX(0,MIN(Lists!I$21,N($J10)+$AO10)-MAX(Lists!I$22,N($J10)))/$AO10,IF($AP10="M",$H10/$AO10*(IF(Lists!I$21&lt;$J10,0,MIN($AO10,(((YEAR(Lists!I$21)-YEAR($J10))*12+MONTH(Lists!I$21)-MONTH($J10))-(EDATE($J10,((YEAR(Lists!I$21)-YEAR($J10))*12+MONTH(Lists!I$21)-MONTH($J10)))&gt;Lists!I$21)+1)))-IF(Lists!I$22&lt;$J10,0,MIN($AO10,(((YEAR(Lists!I$22)-YEAR($J10))*12+MONTH(Lists!I$22)-MONTH($J10))-(EDATE($J10,((YEAR(Lists!I$22)-YEAR($J10))*12+MONTH(Lists!I$22)-MONTH($J10)))&gt;Lists!I$22)+1)))),IF($AP10="F",IF(N($K10)&lt;=0,0,MIN(MAX(0,$H10),N($K10)*IF(Lists!I$21&lt;$J10,0,(((YEAR(Lists!I$21)-YEAR($J10))*12+MONTH(Lists!I$21)-MONTH($J10))-(EDATE($J10,((YEAR(Lists!I$21)-YEAR($J10))*12+MONTH(Lists!I$21)-MONTH($J10)))&gt;Lists!I$21)+1)))-MIN(MAX(0,$H10),N($K10)*IF(Lists!I$22&lt;$J10,0,(((YEAR(Lists!I$22)-YEAR($J10))*12+MONTH(Lists!I$22)-MONTH($J10))-(EDATE($J10,((YEAR(Lists!I$22)-YEAR($J10))*12+MONTH(Lists!I$22)-MONTH($J10)))&gt;Lists!I$22)+1)))),N($C10)*IF($AE10-$AD10&lt;1,($AD10&gt;Lists!I$22)*($AD10&lt;=Lists!I$21),MAX(0,MIN(Lists!I$21,$AE10)-MAX(Lists!I$22,$AD10))/($AE10-$AD10))+N($D10)*IF($AG10-$AF10&lt;1,($AF10&gt;Lists!I$22)*($AF10&lt;=Lists!I$21),MAX(0,MIN(Lists!I$21,$AG10)-MAX(Lists!I$22,$AF10))/($AG10-$AF10))+N($E10)*IF($AI10-$AH10&lt;1,($AH10&gt;Lists!I$22)*($AH10&lt;=Lists!I$21),MAX(0,MIN(Lists!I$21,$AI10)-MAX(Lists!I$22,$AH10))/($AI10-$AH10))+N($F10)*IF($AK10-$AJ10&lt;1,($AJ10&gt;Lists!I$22)*($AJ10&lt;=Lists!I$21),MAX(0,MIN(Lists!I$21,$AK10)-MAX(Lists!I$22,$AJ10))/($AK10-$AJ10))+N($G10)*IF($AM10-$AL10&lt;1,($AL10&gt;Lists!I$22)*($AL10&lt;=Lists!I$21),MAX(0,MIN(Lists!I$21,$AM10)-MAX(Lists!I$22,$AL10))/($AM10-$AL10))))))))</f>
        <v>14466.6666666667</v>
      </c>
      <c r="T10" s="53" t="n">
        <f aca="false">IF($H10=0,0,IF($AP10="X",0,IF($AP10="S",$H10/$AO10*(MIN($AO10,MAX(0,INT((Lists!J$21-N($J10))/7)+1))-MIN($AO10,MAX(0,INT((Lists!J$22-N($J10))/7)+1))),IF($AP10="D",$H10*MAX(0,MIN(Lists!J$21,N($J10)+$AO10)-MAX(Lists!J$22,N($J10)))/$AO10,IF($AP10="M",$H10/$AO10*(IF(Lists!J$21&lt;$J10,0,MIN($AO10,(((YEAR(Lists!J$21)-YEAR($J10))*12+MONTH(Lists!J$21)-MONTH($J10))-(EDATE($J10,((YEAR(Lists!J$21)-YEAR($J10))*12+MONTH(Lists!J$21)-MONTH($J10)))&gt;Lists!J$21)+1)))-IF(Lists!J$22&lt;$J10,0,MIN($AO10,(((YEAR(Lists!J$22)-YEAR($J10))*12+MONTH(Lists!J$22)-MONTH($J10))-(EDATE($J10,((YEAR(Lists!J$22)-YEAR($J10))*12+MONTH(Lists!J$22)-MONTH($J10)))&gt;Lists!J$22)+1)))),IF($AP10="F",IF(N($K10)&lt;=0,0,MIN(MAX(0,$H10),N($K10)*IF(Lists!J$21&lt;$J10,0,(((YEAR(Lists!J$21)-YEAR($J10))*12+MONTH(Lists!J$21)-MONTH($J10))-(EDATE($J10,((YEAR(Lists!J$21)-YEAR($J10))*12+MONTH(Lists!J$21)-MONTH($J10)))&gt;Lists!J$21)+1)))-MIN(MAX(0,$H10),N($K10)*IF(Lists!J$22&lt;$J10,0,(((YEAR(Lists!J$22)-YEAR($J10))*12+MONTH(Lists!J$22)-MONTH($J10))-(EDATE($J10,((YEAR(Lists!J$22)-YEAR($J10))*12+MONTH(Lists!J$22)-MONTH($J10)))&gt;Lists!J$22)+1)))),N($C10)*IF($AE10-$AD10&lt;1,($AD10&gt;Lists!J$22)*($AD10&lt;=Lists!J$21),MAX(0,MIN(Lists!J$21,$AE10)-MAX(Lists!J$22,$AD10))/($AE10-$AD10))+N($D10)*IF($AG10-$AF10&lt;1,($AF10&gt;Lists!J$22)*($AF10&lt;=Lists!J$21),MAX(0,MIN(Lists!J$21,$AG10)-MAX(Lists!J$22,$AF10))/($AG10-$AF10))+N($E10)*IF($AI10-$AH10&lt;1,($AH10&gt;Lists!J$22)*($AH10&lt;=Lists!J$21),MAX(0,MIN(Lists!J$21,$AI10)-MAX(Lists!J$22,$AH10))/($AI10-$AH10))+N($F10)*IF($AK10-$AJ10&lt;1,($AJ10&gt;Lists!J$22)*($AJ10&lt;=Lists!J$21),MAX(0,MIN(Lists!J$21,$AK10)-MAX(Lists!J$22,$AJ10))/($AK10-$AJ10))+N($G10)*IF($AM10-$AL10&lt;1,($AL10&gt;Lists!J$22)*($AL10&lt;=Lists!J$21),MAX(0,MIN(Lists!J$21,$AM10)-MAX(Lists!J$22,$AL10))/($AM10-$AL10))))))))</f>
        <v>14466.6666666667</v>
      </c>
      <c r="U10" s="53" t="n">
        <f aca="false">IF($H10=0,0,IF($AP10="X",0,IF($AP10="S",$H10/$AO10*(MIN($AO10,MAX(0,INT((Lists!K$21-N($J10))/7)+1))-MIN($AO10,MAX(0,INT((Lists!K$22-N($J10))/7)+1))),IF($AP10="D",$H10*MAX(0,MIN(Lists!K$21,N($J10)+$AO10)-MAX(Lists!K$22,N($J10)))/$AO10,IF($AP10="M",$H10/$AO10*(IF(Lists!K$21&lt;$J10,0,MIN($AO10,(((YEAR(Lists!K$21)-YEAR($J10))*12+MONTH(Lists!K$21)-MONTH($J10))-(EDATE($J10,((YEAR(Lists!K$21)-YEAR($J10))*12+MONTH(Lists!K$21)-MONTH($J10)))&gt;Lists!K$21)+1)))-IF(Lists!K$22&lt;$J10,0,MIN($AO10,(((YEAR(Lists!K$22)-YEAR($J10))*12+MONTH(Lists!K$22)-MONTH($J10))-(EDATE($J10,((YEAR(Lists!K$22)-YEAR($J10))*12+MONTH(Lists!K$22)-MONTH($J10)))&gt;Lists!K$22)+1)))),IF($AP10="F",IF(N($K10)&lt;=0,0,MIN(MAX(0,$H10),N($K10)*IF(Lists!K$21&lt;$J10,0,(((YEAR(Lists!K$21)-YEAR($J10))*12+MONTH(Lists!K$21)-MONTH($J10))-(EDATE($J10,((YEAR(Lists!K$21)-YEAR($J10))*12+MONTH(Lists!K$21)-MONTH($J10)))&gt;Lists!K$21)+1)))-MIN(MAX(0,$H10),N($K10)*IF(Lists!K$22&lt;$J10,0,(((YEAR(Lists!K$22)-YEAR($J10))*12+MONTH(Lists!K$22)-MONTH($J10))-(EDATE($J10,((YEAR(Lists!K$22)-YEAR($J10))*12+MONTH(Lists!K$22)-MONTH($J10)))&gt;Lists!K$22)+1)))),N($C10)*IF($AE10-$AD10&lt;1,($AD10&gt;Lists!K$22)*($AD10&lt;=Lists!K$21),MAX(0,MIN(Lists!K$21,$AE10)-MAX(Lists!K$22,$AD10))/($AE10-$AD10))+N($D10)*IF($AG10-$AF10&lt;1,($AF10&gt;Lists!K$22)*($AF10&lt;=Lists!K$21),MAX(0,MIN(Lists!K$21,$AG10)-MAX(Lists!K$22,$AF10))/($AG10-$AF10))+N($E10)*IF($AI10-$AH10&lt;1,($AH10&gt;Lists!K$22)*($AH10&lt;=Lists!K$21),MAX(0,MIN(Lists!K$21,$AI10)-MAX(Lists!K$22,$AH10))/($AI10-$AH10))+N($F10)*IF($AK10-$AJ10&lt;1,($AJ10&gt;Lists!K$22)*($AJ10&lt;=Lists!K$21),MAX(0,MIN(Lists!K$21,$AK10)-MAX(Lists!K$22,$AJ10))/($AK10-$AJ10))+N($G10)*IF($AM10-$AL10&lt;1,($AL10&gt;Lists!K$22)*($AL10&lt;=Lists!K$21),MAX(0,MIN(Lists!K$21,$AM10)-MAX(Lists!K$22,$AL10))/($AM10-$AL10))))))))</f>
        <v>14466.6666666667</v>
      </c>
      <c r="V10" s="53" t="n">
        <f aca="false">IF($H10=0,0,IF($AP10="X",0,IF($AP10="S",$H10/$AO10*(MIN($AO10,MAX(0,INT((Lists!L$21-N($J10))/7)+1))-MIN($AO10,MAX(0,INT((Lists!L$22-N($J10))/7)+1))),IF($AP10="D",$H10*MAX(0,MIN(Lists!L$21,N($J10)+$AO10)-MAX(Lists!L$22,N($J10)))/$AO10,IF($AP10="M",$H10/$AO10*(IF(Lists!L$21&lt;$J10,0,MIN($AO10,(((YEAR(Lists!L$21)-YEAR($J10))*12+MONTH(Lists!L$21)-MONTH($J10))-(EDATE($J10,((YEAR(Lists!L$21)-YEAR($J10))*12+MONTH(Lists!L$21)-MONTH($J10)))&gt;Lists!L$21)+1)))-IF(Lists!L$22&lt;$J10,0,MIN($AO10,(((YEAR(Lists!L$22)-YEAR($J10))*12+MONTH(Lists!L$22)-MONTH($J10))-(EDATE($J10,((YEAR(Lists!L$22)-YEAR($J10))*12+MONTH(Lists!L$22)-MONTH($J10)))&gt;Lists!L$22)+1)))),IF($AP10="F",IF(N($K10)&lt;=0,0,MIN(MAX(0,$H10),N($K10)*IF(Lists!L$21&lt;$J10,0,(((YEAR(Lists!L$21)-YEAR($J10))*12+MONTH(Lists!L$21)-MONTH($J10))-(EDATE($J10,((YEAR(Lists!L$21)-YEAR($J10))*12+MONTH(Lists!L$21)-MONTH($J10)))&gt;Lists!L$21)+1)))-MIN(MAX(0,$H10),N($K10)*IF(Lists!L$22&lt;$J10,0,(((YEAR(Lists!L$22)-YEAR($J10))*12+MONTH(Lists!L$22)-MONTH($J10))-(EDATE($J10,((YEAR(Lists!L$22)-YEAR($J10))*12+MONTH(Lists!L$22)-MONTH($J10)))&gt;Lists!L$22)+1)))),N($C10)*IF($AE10-$AD10&lt;1,($AD10&gt;Lists!L$22)*($AD10&lt;=Lists!L$21),MAX(0,MIN(Lists!L$21,$AE10)-MAX(Lists!L$22,$AD10))/($AE10-$AD10))+N($D10)*IF($AG10-$AF10&lt;1,($AF10&gt;Lists!L$22)*($AF10&lt;=Lists!L$21),MAX(0,MIN(Lists!L$21,$AG10)-MAX(Lists!L$22,$AF10))/($AG10-$AF10))+N($E10)*IF($AI10-$AH10&lt;1,($AH10&gt;Lists!L$22)*($AH10&lt;=Lists!L$21),MAX(0,MIN(Lists!L$21,$AI10)-MAX(Lists!L$22,$AH10))/($AI10-$AH10))+N($F10)*IF($AK10-$AJ10&lt;1,($AJ10&gt;Lists!L$22)*($AJ10&lt;=Lists!L$21),MAX(0,MIN(Lists!L$21,$AK10)-MAX(Lists!L$22,$AJ10))/($AK10-$AJ10))+N($G10)*IF($AM10-$AL10&lt;1,($AL10&gt;Lists!L$22)*($AL10&lt;=Lists!L$21),MAX(0,MIN(Lists!L$21,$AM10)-MAX(Lists!L$22,$AL10))/($AM10-$AL10))))))))</f>
        <v>0</v>
      </c>
      <c r="W10" s="53" t="n">
        <f aca="false">IF($H10=0,0,IF($AP10="X",0,IF($AP10="S",$H10/$AO10*(MIN($AO10,MAX(0,INT((Lists!M$21-N($J10))/7)+1))-MIN($AO10,MAX(0,INT((Lists!M$22-N($J10))/7)+1))),IF($AP10="D",$H10*MAX(0,MIN(Lists!M$21,N($J10)+$AO10)-MAX(Lists!M$22,N($J10)))/$AO10,IF($AP10="M",$H10/$AO10*(IF(Lists!M$21&lt;$J10,0,MIN($AO10,(((YEAR(Lists!M$21)-YEAR($J10))*12+MONTH(Lists!M$21)-MONTH($J10))-(EDATE($J10,((YEAR(Lists!M$21)-YEAR($J10))*12+MONTH(Lists!M$21)-MONTH($J10)))&gt;Lists!M$21)+1)))-IF(Lists!M$22&lt;$J10,0,MIN($AO10,(((YEAR(Lists!M$22)-YEAR($J10))*12+MONTH(Lists!M$22)-MONTH($J10))-(EDATE($J10,((YEAR(Lists!M$22)-YEAR($J10))*12+MONTH(Lists!M$22)-MONTH($J10)))&gt;Lists!M$22)+1)))),IF($AP10="F",IF(N($K10)&lt;=0,0,MIN(MAX(0,$H10),N($K10)*IF(Lists!M$21&lt;$J10,0,(((YEAR(Lists!M$21)-YEAR($J10))*12+MONTH(Lists!M$21)-MONTH($J10))-(EDATE($J10,((YEAR(Lists!M$21)-YEAR($J10))*12+MONTH(Lists!M$21)-MONTH($J10)))&gt;Lists!M$21)+1)))-MIN(MAX(0,$H10),N($K10)*IF(Lists!M$22&lt;$J10,0,(((YEAR(Lists!M$22)-YEAR($J10))*12+MONTH(Lists!M$22)-MONTH($J10))-(EDATE($J10,((YEAR(Lists!M$22)-YEAR($J10))*12+MONTH(Lists!M$22)-MONTH($J10)))&gt;Lists!M$22)+1)))),N($C10)*IF($AE10-$AD10&lt;1,($AD10&gt;Lists!M$22)*($AD10&lt;=Lists!M$21),MAX(0,MIN(Lists!M$21,$AE10)-MAX(Lists!M$22,$AD10))/($AE10-$AD10))+N($D10)*IF($AG10-$AF10&lt;1,($AF10&gt;Lists!M$22)*($AF10&lt;=Lists!M$21),MAX(0,MIN(Lists!M$21,$AG10)-MAX(Lists!M$22,$AF10))/($AG10-$AF10))+N($E10)*IF($AI10-$AH10&lt;1,($AH10&gt;Lists!M$22)*($AH10&lt;=Lists!M$21),MAX(0,MIN(Lists!M$21,$AI10)-MAX(Lists!M$22,$AH10))/($AI10-$AH10))+N($F10)*IF($AK10-$AJ10&lt;1,($AJ10&gt;Lists!M$22)*($AJ10&lt;=Lists!M$21),MAX(0,MIN(Lists!M$21,$AK10)-MAX(Lists!M$22,$AJ10))/($AK10-$AJ10))+N($G10)*IF($AM10-$AL10&lt;1,($AL10&gt;Lists!M$22)*($AL10&lt;=Lists!M$21),MAX(0,MIN(Lists!M$21,$AM10)-MAX(Lists!M$22,$AL10))/($AM10-$AL10))))))))</f>
        <v>0</v>
      </c>
      <c r="X10" s="53" t="n">
        <f aca="false">IF($H10=0,0,IF($AP10="X",0,IF($AP10="S",$H10/$AO10*(MIN($AO10,MAX(0,INT((Lists!N$21-N($J10))/7)+1))-MIN($AO10,MAX(0,INT((Lists!N$22-N($J10))/7)+1))),IF($AP10="D",$H10*MAX(0,MIN(Lists!N$21,N($J10)+$AO10)-MAX(Lists!N$22,N($J10)))/$AO10,IF($AP10="M",$H10/$AO10*(IF(Lists!N$21&lt;$J10,0,MIN($AO10,(((YEAR(Lists!N$21)-YEAR($J10))*12+MONTH(Lists!N$21)-MONTH($J10))-(EDATE($J10,((YEAR(Lists!N$21)-YEAR($J10))*12+MONTH(Lists!N$21)-MONTH($J10)))&gt;Lists!N$21)+1)))-IF(Lists!N$22&lt;$J10,0,MIN($AO10,(((YEAR(Lists!N$22)-YEAR($J10))*12+MONTH(Lists!N$22)-MONTH($J10))-(EDATE($J10,((YEAR(Lists!N$22)-YEAR($J10))*12+MONTH(Lists!N$22)-MONTH($J10)))&gt;Lists!N$22)+1)))),IF($AP10="F",IF(N($K10)&lt;=0,0,MIN(MAX(0,$H10),N($K10)*IF(Lists!N$21&lt;$J10,0,(((YEAR(Lists!N$21)-YEAR($J10))*12+MONTH(Lists!N$21)-MONTH($J10))-(EDATE($J10,((YEAR(Lists!N$21)-YEAR($J10))*12+MONTH(Lists!N$21)-MONTH($J10)))&gt;Lists!N$21)+1)))-MIN(MAX(0,$H10),N($K10)*IF(Lists!N$22&lt;$J10,0,(((YEAR(Lists!N$22)-YEAR($J10))*12+MONTH(Lists!N$22)-MONTH($J10))-(EDATE($J10,((YEAR(Lists!N$22)-YEAR($J10))*12+MONTH(Lists!N$22)-MONTH($J10)))&gt;Lists!N$22)+1)))),N($C10)*IF($AE10-$AD10&lt;1,($AD10&gt;Lists!N$22)*($AD10&lt;=Lists!N$21),MAX(0,MIN(Lists!N$21,$AE10)-MAX(Lists!N$22,$AD10))/($AE10-$AD10))+N($D10)*IF($AG10-$AF10&lt;1,($AF10&gt;Lists!N$22)*($AF10&lt;=Lists!N$21),MAX(0,MIN(Lists!N$21,$AG10)-MAX(Lists!N$22,$AF10))/($AG10-$AF10))+N($E10)*IF($AI10-$AH10&lt;1,($AH10&gt;Lists!N$22)*($AH10&lt;=Lists!N$21),MAX(0,MIN(Lists!N$21,$AI10)-MAX(Lists!N$22,$AH10))/($AI10-$AH10))+N($F10)*IF($AK10-$AJ10&lt;1,($AJ10&gt;Lists!N$22)*($AJ10&lt;=Lists!N$21),MAX(0,MIN(Lists!N$21,$AK10)-MAX(Lists!N$22,$AJ10))/($AK10-$AJ10))+N($G10)*IF($AM10-$AL10&lt;1,($AL10&gt;Lists!N$22)*($AL10&lt;=Lists!N$21),MAX(0,MIN(Lists!N$21,$AM10)-MAX(Lists!N$22,$AL10))/($AM10-$AL10))))))))</f>
        <v>0</v>
      </c>
      <c r="Y10" s="53" t="n">
        <f aca="false">IF($H10=0,0,IF($AP10="X",0,IF($AP10="S",$H10/$AO10*(MIN($AO10,MAX(0,INT((Lists!O$21-N($J10))/7)+1))-MIN($AO10,MAX(0,INT((Lists!O$22-N($J10))/7)+1))),IF($AP10="D",$H10*MAX(0,MIN(Lists!O$21,N($J10)+$AO10)-MAX(Lists!O$22,N($J10)))/$AO10,IF($AP10="M",$H10/$AO10*(IF(Lists!O$21&lt;$J10,0,MIN($AO10,(((YEAR(Lists!O$21)-YEAR($J10))*12+MONTH(Lists!O$21)-MONTH($J10))-(EDATE($J10,((YEAR(Lists!O$21)-YEAR($J10))*12+MONTH(Lists!O$21)-MONTH($J10)))&gt;Lists!O$21)+1)))-IF(Lists!O$22&lt;$J10,0,MIN($AO10,(((YEAR(Lists!O$22)-YEAR($J10))*12+MONTH(Lists!O$22)-MONTH($J10))-(EDATE($J10,((YEAR(Lists!O$22)-YEAR($J10))*12+MONTH(Lists!O$22)-MONTH($J10)))&gt;Lists!O$22)+1)))),IF($AP10="F",IF(N($K10)&lt;=0,0,MIN(MAX(0,$H10),N($K10)*IF(Lists!O$21&lt;$J10,0,(((YEAR(Lists!O$21)-YEAR($J10))*12+MONTH(Lists!O$21)-MONTH($J10))-(EDATE($J10,((YEAR(Lists!O$21)-YEAR($J10))*12+MONTH(Lists!O$21)-MONTH($J10)))&gt;Lists!O$21)+1)))-MIN(MAX(0,$H10),N($K10)*IF(Lists!O$22&lt;$J10,0,(((YEAR(Lists!O$22)-YEAR($J10))*12+MONTH(Lists!O$22)-MONTH($J10))-(EDATE($J10,((YEAR(Lists!O$22)-YEAR($J10))*12+MONTH(Lists!O$22)-MONTH($J10)))&gt;Lists!O$22)+1)))),N($C10)*IF($AE10-$AD10&lt;1,($AD10&gt;Lists!O$22)*($AD10&lt;=Lists!O$21),MAX(0,MIN(Lists!O$21,$AE10)-MAX(Lists!O$22,$AD10))/($AE10-$AD10))+N($D10)*IF($AG10-$AF10&lt;1,($AF10&gt;Lists!O$22)*($AF10&lt;=Lists!O$21),MAX(0,MIN(Lists!O$21,$AG10)-MAX(Lists!O$22,$AF10))/($AG10-$AF10))+N($E10)*IF($AI10-$AH10&lt;1,($AH10&gt;Lists!O$22)*($AH10&lt;=Lists!O$21),MAX(0,MIN(Lists!O$21,$AI10)-MAX(Lists!O$22,$AH10))/($AI10-$AH10))+N($F10)*IF($AK10-$AJ10&lt;1,($AJ10&gt;Lists!O$22)*($AJ10&lt;=Lists!O$21),MAX(0,MIN(Lists!O$21,$AK10)-MAX(Lists!O$22,$AJ10))/($AK10-$AJ10))+N($G10)*IF($AM10-$AL10&lt;1,($AL10&gt;Lists!O$22)*($AL10&lt;=Lists!O$21),MAX(0,MIN(Lists!O$21,$AM10)-MAX(Lists!O$22,$AL10))/($AM10-$AL10))))))))</f>
        <v>0</v>
      </c>
      <c r="Z10" s="46" t="n">
        <f aca="false">SUM(M10:Y10)</f>
        <v>120000</v>
      </c>
      <c r="AA10" s="92" t="n">
        <f aca="false">H10-Z10</f>
        <v>0</v>
      </c>
      <c r="AB10" s="55"/>
      <c r="AC10" s="2"/>
      <c r="AD10" s="93" t="n">
        <f aca="false">Setup!$D$10+MAX(0,$AN10-30)</f>
        <v>46365</v>
      </c>
      <c r="AE10" s="93" t="n">
        <f aca="false">Setup!$D$10+IF($AN10-30&lt;0,MAX(Setup!$D$22,$AN10-0),$AN10-0)</f>
        <v>46395</v>
      </c>
      <c r="AF10" s="93" t="n">
        <f aca="false">Setup!$D$10+MAX(0,$AN10-60)</f>
        <v>46335</v>
      </c>
      <c r="AG10" s="93" t="n">
        <f aca="false">Setup!$D$10+IF($AN10-60&lt;0,MAX(Setup!$D$22,$AN10-31),$AN10-31)</f>
        <v>46364</v>
      </c>
      <c r="AH10" s="93" t="n">
        <f aca="false">Setup!$D$10+MAX(0,$AN10-90)</f>
        <v>46335</v>
      </c>
      <c r="AI10" s="93" t="n">
        <f aca="false">Setup!$D$10+IF($AN10-90&lt;0,MAX(Setup!$D$22,$AN10-61),$AN10-61)</f>
        <v>46363</v>
      </c>
      <c r="AJ10" s="93" t="n">
        <f aca="false">Setup!$D$10+MAX(0,$AN10-120)</f>
        <v>46335</v>
      </c>
      <c r="AK10" s="93" t="n">
        <f aca="false">Setup!$D$10+IF($AN10-120&lt;0,MAX(Setup!$D$22,$AN10-91),$AN10-91)</f>
        <v>46363</v>
      </c>
      <c r="AL10" s="93" t="n">
        <f aca="false">IF(Setup!$D$23="Yes",2958465,Setup!$D$10)</f>
        <v>2958465</v>
      </c>
      <c r="AM10" s="93" t="n">
        <f aca="false">IF(AL10=2958465,AL10,Setup!$D$10+Setup!$D$22)</f>
        <v>2958465</v>
      </c>
      <c r="AN10" s="94" t="n">
        <f aca="false">IF(N(L10)=0,Setup!$D$20,L10)</f>
        <v>60</v>
      </c>
      <c r="AO10" s="94" t="n">
        <f aca="false">MAX(1,ROUND(N(K10),0))</f>
        <v>1</v>
      </c>
      <c r="AP10" s="95" t="str">
        <f aca="false">IF(I10="Doubtful","X",IF(N(J10)=0,"A",IF(I10="Specific date","S",IF(I10="Spread over days","D",IF(I10="Monthly on set day","M",IF(I10="Monthly fixed amount","F","A"))))))</f>
        <v>A</v>
      </c>
    </row>
    <row r="11" customFormat="false" ht="15" hidden="false" customHeight="false" outlineLevel="0" collapsed="false">
      <c r="A11" s="87" t="n">
        <v>3</v>
      </c>
      <c r="B11" s="55" t="s">
        <v>409</v>
      </c>
      <c r="C11" s="88" t="n">
        <v>50000</v>
      </c>
      <c r="D11" s="88" t="n">
        <v>37000</v>
      </c>
      <c r="E11" s="88" t="n">
        <v>8000</v>
      </c>
      <c r="F11" s="88"/>
      <c r="G11" s="88"/>
      <c r="H11" s="89" t="n">
        <f aca="false">SUM(C11:G11)</f>
        <v>95000</v>
      </c>
      <c r="I11" s="58" t="s">
        <v>407</v>
      </c>
      <c r="J11" s="90"/>
      <c r="K11" s="91"/>
      <c r="L11" s="80"/>
      <c r="M11" s="53" t="n">
        <f aca="false">IF($H11=0,0,IF($AP11="X",0,IF($AP11="S",$H11/$AO11*(MIN($AO11,MAX(0,INT((Lists!C$21-N($J11))/7)+1))-MIN($AO11,MAX(0,INT((Lists!C$22-N($J11))/7)+1))),IF($AP11="D",$H11*MAX(0,MIN(Lists!C$21,N($J11)+$AO11)-MAX(Lists!C$22,N($J11)))/$AO11,IF($AP11="M",$H11/$AO11*(IF(Lists!C$21&lt;$J11,0,MIN($AO11,(((YEAR(Lists!C$21)-YEAR($J11))*12+MONTH(Lists!C$21)-MONTH($J11))-(EDATE($J11,((YEAR(Lists!C$21)-YEAR($J11))*12+MONTH(Lists!C$21)-MONTH($J11)))&gt;Lists!C$21)+1)))-IF(Lists!C$22&lt;$J11,0,MIN($AO11,(((YEAR(Lists!C$22)-YEAR($J11))*12+MONTH(Lists!C$22)-MONTH($J11))-(EDATE($J11,((YEAR(Lists!C$22)-YEAR($J11))*12+MONTH(Lists!C$22)-MONTH($J11)))&gt;Lists!C$22)+1)))),IF($AP11="F",IF(N($K11)&lt;=0,0,MIN(MAX(0,$H11),N($K11)*IF(Lists!C$21&lt;$J11,0,(((YEAR(Lists!C$21)-YEAR($J11))*12+MONTH(Lists!C$21)-MONTH($J11))-(EDATE($J11,((YEAR(Lists!C$21)-YEAR($J11))*12+MONTH(Lists!C$21)-MONTH($J11)))&gt;Lists!C$21)+1)))-MIN(MAX(0,$H11),N($K11)*IF(Lists!C$22&lt;$J11,0,(((YEAR(Lists!C$22)-YEAR($J11))*12+MONTH(Lists!C$22)-MONTH($J11))-(EDATE($J11,((YEAR(Lists!C$22)-YEAR($J11))*12+MONTH(Lists!C$22)-MONTH($J11)))&gt;Lists!C$22)+1)))),N($C11)*IF($AE11-$AD11&lt;1,($AD11&gt;Lists!C$22)*($AD11&lt;=Lists!C$21),MAX(0,MIN(Lists!C$21,$AE11)-MAX(Lists!C$22,$AD11))/($AE11-$AD11))+N($D11)*IF($AG11-$AF11&lt;1,($AF11&gt;Lists!C$22)*($AF11&lt;=Lists!C$21),MAX(0,MIN(Lists!C$21,$AG11)-MAX(Lists!C$22,$AF11))/($AG11-$AF11))+N($E11)*IF($AI11-$AH11&lt;1,($AH11&gt;Lists!C$22)*($AH11&lt;=Lists!C$21),MAX(0,MIN(Lists!C$21,$AI11)-MAX(Lists!C$22,$AH11))/($AI11-$AH11))+N($F11)*IF($AK11-$AJ11&lt;1,($AJ11&gt;Lists!C$22)*($AJ11&lt;=Lists!C$21),MAX(0,MIN(Lists!C$21,$AK11)-MAX(Lists!C$22,$AJ11))/($AK11-$AJ11))+N($G11)*IF($AM11-$AL11&lt;1,($AL11&gt;Lists!C$22)*($AL11&lt;=Lists!C$21),MAX(0,MIN(Lists!C$21,$AM11)-MAX(Lists!C$22,$AL11))/($AM11-$AL11))))))))</f>
        <v>6246.30541871921</v>
      </c>
      <c r="N11" s="53" t="n">
        <f aca="false">IF($H11=0,0,IF($AP11="X",0,IF($AP11="S",$H11/$AO11*(MIN($AO11,MAX(0,INT((Lists!D$21-N($J11))/7)+1))-MIN($AO11,MAX(0,INT((Lists!D$22-N($J11))/7)+1))),IF($AP11="D",$H11*MAX(0,MIN(Lists!D$21,N($J11)+$AO11)-MAX(Lists!D$22,N($J11)))/$AO11,IF($AP11="M",$H11/$AO11*(IF(Lists!D$21&lt;$J11,0,MIN($AO11,(((YEAR(Lists!D$21)-YEAR($J11))*12+MONTH(Lists!D$21)-MONTH($J11))-(EDATE($J11,((YEAR(Lists!D$21)-YEAR($J11))*12+MONTH(Lists!D$21)-MONTH($J11)))&gt;Lists!D$21)+1)))-IF(Lists!D$22&lt;$J11,0,MIN($AO11,(((YEAR(Lists!D$22)-YEAR($J11))*12+MONTH(Lists!D$22)-MONTH($J11))-(EDATE($J11,((YEAR(Lists!D$22)-YEAR($J11))*12+MONTH(Lists!D$22)-MONTH($J11)))&gt;Lists!D$22)+1)))),IF($AP11="F",IF(N($K11)&lt;=0,0,MIN(MAX(0,$H11),N($K11)*IF(Lists!D$21&lt;$J11,0,(((YEAR(Lists!D$21)-YEAR($J11))*12+MONTH(Lists!D$21)-MONTH($J11))-(EDATE($J11,((YEAR(Lists!D$21)-YEAR($J11))*12+MONTH(Lists!D$21)-MONTH($J11)))&gt;Lists!D$21)+1)))-MIN(MAX(0,$H11),N($K11)*IF(Lists!D$22&lt;$J11,0,(((YEAR(Lists!D$22)-YEAR($J11))*12+MONTH(Lists!D$22)-MONTH($J11))-(EDATE($J11,((YEAR(Lists!D$22)-YEAR($J11))*12+MONTH(Lists!D$22)-MONTH($J11)))&gt;Lists!D$22)+1)))),N($C11)*IF($AE11-$AD11&lt;1,($AD11&gt;Lists!D$22)*($AD11&lt;=Lists!D$21),MAX(0,MIN(Lists!D$21,$AE11)-MAX(Lists!D$22,$AD11))/($AE11-$AD11))+N($D11)*IF($AG11-$AF11&lt;1,($AF11&gt;Lists!D$22)*($AF11&lt;=Lists!D$21),MAX(0,MIN(Lists!D$21,$AG11)-MAX(Lists!D$22,$AF11))/($AG11-$AF11))+N($E11)*IF($AI11-$AH11&lt;1,($AH11&gt;Lists!D$22)*($AH11&lt;=Lists!D$21),MAX(0,MIN(Lists!D$21,$AI11)-MAX(Lists!D$22,$AH11))/($AI11-$AH11))+N($F11)*IF($AK11-$AJ11&lt;1,($AJ11&gt;Lists!D$22)*($AJ11&lt;=Lists!D$21),MAX(0,MIN(Lists!D$21,$AK11)-MAX(Lists!D$22,$AJ11))/($AK11-$AJ11))+N($G11)*IF($AM11-$AL11&lt;1,($AL11&gt;Lists!D$22)*($AL11&lt;=Lists!D$21),MAX(0,MIN(Lists!D$21,$AM11)-MAX(Lists!D$22,$AL11))/($AM11-$AL11))))))))</f>
        <v>10931.0344827586</v>
      </c>
      <c r="O11" s="53" t="n">
        <f aca="false">IF($H11=0,0,IF($AP11="X",0,IF($AP11="S",$H11/$AO11*(MIN($AO11,MAX(0,INT((Lists!E$21-N($J11))/7)+1))-MIN($AO11,MAX(0,INT((Lists!E$22-N($J11))/7)+1))),IF($AP11="D",$H11*MAX(0,MIN(Lists!E$21,N($J11)+$AO11)-MAX(Lists!E$22,N($J11)))/$AO11,IF($AP11="M",$H11/$AO11*(IF(Lists!E$21&lt;$J11,0,MIN($AO11,(((YEAR(Lists!E$21)-YEAR($J11))*12+MONTH(Lists!E$21)-MONTH($J11))-(EDATE($J11,((YEAR(Lists!E$21)-YEAR($J11))*12+MONTH(Lists!E$21)-MONTH($J11)))&gt;Lists!E$21)+1)))-IF(Lists!E$22&lt;$J11,0,MIN($AO11,(((YEAR(Lists!E$22)-YEAR($J11))*12+MONTH(Lists!E$22)-MONTH($J11))-(EDATE($J11,((YEAR(Lists!E$22)-YEAR($J11))*12+MONTH(Lists!E$22)-MONTH($J11)))&gt;Lists!E$22)+1)))),IF($AP11="F",IF(N($K11)&lt;=0,0,MIN(MAX(0,$H11),N($K11)*IF(Lists!E$21&lt;$J11,0,(((YEAR(Lists!E$21)-YEAR($J11))*12+MONTH(Lists!E$21)-MONTH($J11))-(EDATE($J11,((YEAR(Lists!E$21)-YEAR($J11))*12+MONTH(Lists!E$21)-MONTH($J11)))&gt;Lists!E$21)+1)))-MIN(MAX(0,$H11),N($K11)*IF(Lists!E$22&lt;$J11,0,(((YEAR(Lists!E$22)-YEAR($J11))*12+MONTH(Lists!E$22)-MONTH($J11))-(EDATE($J11,((YEAR(Lists!E$22)-YEAR($J11))*12+MONTH(Lists!E$22)-MONTH($J11)))&gt;Lists!E$22)+1)))),N($C11)*IF($AE11-$AD11&lt;1,($AD11&gt;Lists!E$22)*($AD11&lt;=Lists!E$21),MAX(0,MIN(Lists!E$21,$AE11)-MAX(Lists!E$22,$AD11))/($AE11-$AD11))+N($D11)*IF($AG11-$AF11&lt;1,($AF11&gt;Lists!E$22)*($AF11&lt;=Lists!E$21),MAX(0,MIN(Lists!E$21,$AG11)-MAX(Lists!E$22,$AF11))/($AG11-$AF11))+N($E11)*IF($AI11-$AH11&lt;1,($AH11&gt;Lists!E$22)*($AH11&lt;=Lists!E$21),MAX(0,MIN(Lists!E$21,$AI11)-MAX(Lists!E$22,$AH11))/($AI11-$AH11))+N($F11)*IF($AK11-$AJ11&lt;1,($AJ11&gt;Lists!E$22)*($AJ11&lt;=Lists!E$21),MAX(0,MIN(Lists!E$21,$AK11)-MAX(Lists!E$22,$AJ11))/($AK11-$AJ11))+N($G11)*IF($AM11-$AL11&lt;1,($AL11&gt;Lists!E$22)*($AL11&lt;=Lists!E$21),MAX(0,MIN(Lists!E$21,$AM11)-MAX(Lists!E$22,$AL11))/($AM11-$AL11))))))))</f>
        <v>10931.0344827586</v>
      </c>
      <c r="P11" s="53" t="n">
        <f aca="false">IF($H11=0,0,IF($AP11="X",0,IF($AP11="S",$H11/$AO11*(MIN($AO11,MAX(0,INT((Lists!F$21-N($J11))/7)+1))-MIN($AO11,MAX(0,INT((Lists!F$22-N($J11))/7)+1))),IF($AP11="D",$H11*MAX(0,MIN(Lists!F$21,N($J11)+$AO11)-MAX(Lists!F$22,N($J11)))/$AO11,IF($AP11="M",$H11/$AO11*(IF(Lists!F$21&lt;$J11,0,MIN($AO11,(((YEAR(Lists!F$21)-YEAR($J11))*12+MONTH(Lists!F$21)-MONTH($J11))-(EDATE($J11,((YEAR(Lists!F$21)-YEAR($J11))*12+MONTH(Lists!F$21)-MONTH($J11)))&gt;Lists!F$21)+1)))-IF(Lists!F$22&lt;$J11,0,MIN($AO11,(((YEAR(Lists!F$22)-YEAR($J11))*12+MONTH(Lists!F$22)-MONTH($J11))-(EDATE($J11,((YEAR(Lists!F$22)-YEAR($J11))*12+MONTH(Lists!F$22)-MONTH($J11)))&gt;Lists!F$22)+1)))),IF($AP11="F",IF(N($K11)&lt;=0,0,MIN(MAX(0,$H11),N($K11)*IF(Lists!F$21&lt;$J11,0,(((YEAR(Lists!F$21)-YEAR($J11))*12+MONTH(Lists!F$21)-MONTH($J11))-(EDATE($J11,((YEAR(Lists!F$21)-YEAR($J11))*12+MONTH(Lists!F$21)-MONTH($J11)))&gt;Lists!F$21)+1)))-MIN(MAX(0,$H11),N($K11)*IF(Lists!F$22&lt;$J11,0,(((YEAR(Lists!F$22)-YEAR($J11))*12+MONTH(Lists!F$22)-MONTH($J11))-(EDATE($J11,((YEAR(Lists!F$22)-YEAR($J11))*12+MONTH(Lists!F$22)-MONTH($J11)))&gt;Lists!F$22)+1)))),N($C11)*IF($AE11-$AD11&lt;1,($AD11&gt;Lists!F$22)*($AD11&lt;=Lists!F$21),MAX(0,MIN(Lists!F$21,$AE11)-MAX(Lists!F$22,$AD11))/($AE11-$AD11))+N($D11)*IF($AG11-$AF11&lt;1,($AF11&gt;Lists!F$22)*($AF11&lt;=Lists!F$21),MAX(0,MIN(Lists!F$21,$AG11)-MAX(Lists!F$22,$AF11))/($AG11-$AF11))+N($E11)*IF($AI11-$AH11&lt;1,($AH11&gt;Lists!F$22)*($AH11&lt;=Lists!F$21),MAX(0,MIN(Lists!F$21,$AI11)-MAX(Lists!F$22,$AH11))/($AI11-$AH11))+N($F11)*IF($AK11-$AJ11&lt;1,($AJ11&gt;Lists!F$22)*($AJ11&lt;=Lists!F$21),MAX(0,MIN(Lists!F$21,$AK11)-MAX(Lists!F$22,$AJ11))/($AK11-$AJ11))+N($G11)*IF($AM11-$AL11&lt;1,($AL11&gt;Lists!F$22)*($AL11&lt;=Lists!F$21),MAX(0,MIN(Lists!F$21,$AM11)-MAX(Lists!F$22,$AL11))/($AM11-$AL11))))))))</f>
        <v>10931.0344827586</v>
      </c>
      <c r="Q11" s="53" t="n">
        <f aca="false">IF($H11=0,0,IF($AP11="X",0,IF($AP11="S",$H11/$AO11*(MIN($AO11,MAX(0,INT((Lists!G$21-N($J11))/7)+1))-MIN($AO11,MAX(0,INT((Lists!G$22-N($J11))/7)+1))),IF($AP11="D",$H11*MAX(0,MIN(Lists!G$21,N($J11)+$AO11)-MAX(Lists!G$22,N($J11)))/$AO11,IF($AP11="M",$H11/$AO11*(IF(Lists!G$21&lt;$J11,0,MIN($AO11,(((YEAR(Lists!G$21)-YEAR($J11))*12+MONTH(Lists!G$21)-MONTH($J11))-(EDATE($J11,((YEAR(Lists!G$21)-YEAR($J11))*12+MONTH(Lists!G$21)-MONTH($J11)))&gt;Lists!G$21)+1)))-IF(Lists!G$22&lt;$J11,0,MIN($AO11,(((YEAR(Lists!G$22)-YEAR($J11))*12+MONTH(Lists!G$22)-MONTH($J11))-(EDATE($J11,((YEAR(Lists!G$22)-YEAR($J11))*12+MONTH(Lists!G$22)-MONTH($J11)))&gt;Lists!G$22)+1)))),IF($AP11="F",IF(N($K11)&lt;=0,0,MIN(MAX(0,$H11),N($K11)*IF(Lists!G$21&lt;$J11,0,(((YEAR(Lists!G$21)-YEAR($J11))*12+MONTH(Lists!G$21)-MONTH($J11))-(EDATE($J11,((YEAR(Lists!G$21)-YEAR($J11))*12+MONTH(Lists!G$21)-MONTH($J11)))&gt;Lists!G$21)+1)))-MIN(MAX(0,$H11),N($K11)*IF(Lists!G$22&lt;$J11,0,(((YEAR(Lists!G$22)-YEAR($J11))*12+MONTH(Lists!G$22)-MONTH($J11))-(EDATE($J11,((YEAR(Lists!G$22)-YEAR($J11))*12+MONTH(Lists!G$22)-MONTH($J11)))&gt;Lists!G$22)+1)))),N($C11)*IF($AE11-$AD11&lt;1,($AD11&gt;Lists!G$22)*($AD11&lt;=Lists!G$21),MAX(0,MIN(Lists!G$21,$AE11)-MAX(Lists!G$22,$AD11))/($AE11-$AD11))+N($D11)*IF($AG11-$AF11&lt;1,($AF11&gt;Lists!G$22)*($AF11&lt;=Lists!G$21),MAX(0,MIN(Lists!G$21,$AG11)-MAX(Lists!G$22,$AF11))/($AG11-$AF11))+N($E11)*IF($AI11-$AH11&lt;1,($AH11&gt;Lists!G$22)*($AH11&lt;=Lists!G$21),MAX(0,MIN(Lists!G$21,$AI11)-MAX(Lists!G$22,$AH11))/($AI11-$AH11))+N($F11)*IF($AK11-$AJ11&lt;1,($AJ11&gt;Lists!G$22)*($AJ11&lt;=Lists!G$21),MAX(0,MIN(Lists!G$21,$AK11)-MAX(Lists!G$22,$AJ11))/($AK11-$AJ11))+N($G11)*IF($AM11-$AL11&lt;1,($AL11&gt;Lists!G$22)*($AL11&lt;=Lists!G$21),MAX(0,MIN(Lists!G$21,$AM11)-MAX(Lists!G$22,$AL11))/($AM11-$AL11))))))))</f>
        <v>9293.92446633826</v>
      </c>
      <c r="R11" s="53" t="n">
        <f aca="false">IF($H11=0,0,IF($AP11="X",0,IF($AP11="S",$H11/$AO11*(MIN($AO11,MAX(0,INT((Lists!H$21-N($J11))/7)+1))-MIN($AO11,MAX(0,INT((Lists!H$22-N($J11))/7)+1))),IF($AP11="D",$H11*MAX(0,MIN(Lists!H$21,N($J11)+$AO11)-MAX(Lists!H$22,N($J11)))/$AO11,IF($AP11="M",$H11/$AO11*(IF(Lists!H$21&lt;$J11,0,MIN($AO11,(((YEAR(Lists!H$21)-YEAR($J11))*12+MONTH(Lists!H$21)-MONTH($J11))-(EDATE($J11,((YEAR(Lists!H$21)-YEAR($J11))*12+MONTH(Lists!H$21)-MONTH($J11)))&gt;Lists!H$21)+1)))-IF(Lists!H$22&lt;$J11,0,MIN($AO11,(((YEAR(Lists!H$22)-YEAR($J11))*12+MONTH(Lists!H$22)-MONTH($J11))-(EDATE($J11,((YEAR(Lists!H$22)-YEAR($J11))*12+MONTH(Lists!H$22)-MONTH($J11)))&gt;Lists!H$22)+1)))),IF($AP11="F",IF(N($K11)&lt;=0,0,MIN(MAX(0,$H11),N($K11)*IF(Lists!H$21&lt;$J11,0,(((YEAR(Lists!H$21)-YEAR($J11))*12+MONTH(Lists!H$21)-MONTH($J11))-(EDATE($J11,((YEAR(Lists!H$21)-YEAR($J11))*12+MONTH(Lists!H$21)-MONTH($J11)))&gt;Lists!H$21)+1)))-MIN(MAX(0,$H11),N($K11)*IF(Lists!H$22&lt;$J11,0,(((YEAR(Lists!H$22)-YEAR($J11))*12+MONTH(Lists!H$22)-MONTH($J11))-(EDATE($J11,((YEAR(Lists!H$22)-YEAR($J11))*12+MONTH(Lists!H$22)-MONTH($J11)))&gt;Lists!H$22)+1)))),N($C11)*IF($AE11-$AD11&lt;1,($AD11&gt;Lists!H$22)*($AD11&lt;=Lists!H$21),MAX(0,MIN(Lists!H$21,$AE11)-MAX(Lists!H$22,$AD11))/($AE11-$AD11))+N($D11)*IF($AG11-$AF11&lt;1,($AF11&gt;Lists!H$22)*($AF11&lt;=Lists!H$21),MAX(0,MIN(Lists!H$21,$AG11)-MAX(Lists!H$22,$AF11))/($AG11-$AF11))+N($E11)*IF($AI11-$AH11&lt;1,($AH11&gt;Lists!H$22)*($AH11&lt;=Lists!H$21),MAX(0,MIN(Lists!H$21,$AI11)-MAX(Lists!H$22,$AH11))/($AI11-$AH11))+N($F11)*IF($AK11-$AJ11&lt;1,($AJ11&gt;Lists!H$22)*($AJ11&lt;=Lists!H$21),MAX(0,MIN(Lists!H$21,$AK11)-MAX(Lists!H$22,$AJ11))/($AK11-$AJ11))+N($G11)*IF($AM11-$AL11&lt;1,($AL11&gt;Lists!H$22)*($AL11&lt;=Lists!H$21),MAX(0,MIN(Lists!H$21,$AM11)-MAX(Lists!H$22,$AL11))/($AM11-$AL11))))))))</f>
        <v>11666.6666666667</v>
      </c>
      <c r="S11" s="53" t="n">
        <f aca="false">IF($H11=0,0,IF($AP11="X",0,IF($AP11="S",$H11/$AO11*(MIN($AO11,MAX(0,INT((Lists!I$21-N($J11))/7)+1))-MIN($AO11,MAX(0,INT((Lists!I$22-N($J11))/7)+1))),IF($AP11="D",$H11*MAX(0,MIN(Lists!I$21,N($J11)+$AO11)-MAX(Lists!I$22,N($J11)))/$AO11,IF($AP11="M",$H11/$AO11*(IF(Lists!I$21&lt;$J11,0,MIN($AO11,(((YEAR(Lists!I$21)-YEAR($J11))*12+MONTH(Lists!I$21)-MONTH($J11))-(EDATE($J11,((YEAR(Lists!I$21)-YEAR($J11))*12+MONTH(Lists!I$21)-MONTH($J11)))&gt;Lists!I$21)+1)))-IF(Lists!I$22&lt;$J11,0,MIN($AO11,(((YEAR(Lists!I$22)-YEAR($J11))*12+MONTH(Lists!I$22)-MONTH($J11))-(EDATE($J11,((YEAR(Lists!I$22)-YEAR($J11))*12+MONTH(Lists!I$22)-MONTH($J11)))&gt;Lists!I$22)+1)))),IF($AP11="F",IF(N($K11)&lt;=0,0,MIN(MAX(0,$H11),N($K11)*IF(Lists!I$21&lt;$J11,0,(((YEAR(Lists!I$21)-YEAR($J11))*12+MONTH(Lists!I$21)-MONTH($J11))-(EDATE($J11,((YEAR(Lists!I$21)-YEAR($J11))*12+MONTH(Lists!I$21)-MONTH($J11)))&gt;Lists!I$21)+1)))-MIN(MAX(0,$H11),N($K11)*IF(Lists!I$22&lt;$J11,0,(((YEAR(Lists!I$22)-YEAR($J11))*12+MONTH(Lists!I$22)-MONTH($J11))-(EDATE($J11,((YEAR(Lists!I$22)-YEAR($J11))*12+MONTH(Lists!I$22)-MONTH($J11)))&gt;Lists!I$22)+1)))),N($C11)*IF($AE11-$AD11&lt;1,($AD11&gt;Lists!I$22)*($AD11&lt;=Lists!I$21),MAX(0,MIN(Lists!I$21,$AE11)-MAX(Lists!I$22,$AD11))/($AE11-$AD11))+N($D11)*IF($AG11-$AF11&lt;1,($AF11&gt;Lists!I$22)*($AF11&lt;=Lists!I$21),MAX(0,MIN(Lists!I$21,$AG11)-MAX(Lists!I$22,$AF11))/($AG11-$AF11))+N($E11)*IF($AI11-$AH11&lt;1,($AH11&gt;Lists!I$22)*($AH11&lt;=Lists!I$21),MAX(0,MIN(Lists!I$21,$AI11)-MAX(Lists!I$22,$AH11))/($AI11-$AH11))+N($F11)*IF($AK11-$AJ11&lt;1,($AJ11&gt;Lists!I$22)*($AJ11&lt;=Lists!I$21),MAX(0,MIN(Lists!I$21,$AK11)-MAX(Lists!I$22,$AJ11))/($AK11-$AJ11))+N($G11)*IF($AM11-$AL11&lt;1,($AL11&gt;Lists!I$22)*($AL11&lt;=Lists!I$21),MAX(0,MIN(Lists!I$21,$AM11)-MAX(Lists!I$22,$AL11))/($AM11-$AL11))))))))</f>
        <v>11666.6666666667</v>
      </c>
      <c r="T11" s="53" t="n">
        <f aca="false">IF($H11=0,0,IF($AP11="X",0,IF($AP11="S",$H11/$AO11*(MIN($AO11,MAX(0,INT((Lists!J$21-N($J11))/7)+1))-MIN($AO11,MAX(0,INT((Lists!J$22-N($J11))/7)+1))),IF($AP11="D",$H11*MAX(0,MIN(Lists!J$21,N($J11)+$AO11)-MAX(Lists!J$22,N($J11)))/$AO11,IF($AP11="M",$H11/$AO11*(IF(Lists!J$21&lt;$J11,0,MIN($AO11,(((YEAR(Lists!J$21)-YEAR($J11))*12+MONTH(Lists!J$21)-MONTH($J11))-(EDATE($J11,((YEAR(Lists!J$21)-YEAR($J11))*12+MONTH(Lists!J$21)-MONTH($J11)))&gt;Lists!J$21)+1)))-IF(Lists!J$22&lt;$J11,0,MIN($AO11,(((YEAR(Lists!J$22)-YEAR($J11))*12+MONTH(Lists!J$22)-MONTH($J11))-(EDATE($J11,((YEAR(Lists!J$22)-YEAR($J11))*12+MONTH(Lists!J$22)-MONTH($J11)))&gt;Lists!J$22)+1)))),IF($AP11="F",IF(N($K11)&lt;=0,0,MIN(MAX(0,$H11),N($K11)*IF(Lists!J$21&lt;$J11,0,(((YEAR(Lists!J$21)-YEAR($J11))*12+MONTH(Lists!J$21)-MONTH($J11))-(EDATE($J11,((YEAR(Lists!J$21)-YEAR($J11))*12+MONTH(Lists!J$21)-MONTH($J11)))&gt;Lists!J$21)+1)))-MIN(MAX(0,$H11),N($K11)*IF(Lists!J$22&lt;$J11,0,(((YEAR(Lists!J$22)-YEAR($J11))*12+MONTH(Lists!J$22)-MONTH($J11))-(EDATE($J11,((YEAR(Lists!J$22)-YEAR($J11))*12+MONTH(Lists!J$22)-MONTH($J11)))&gt;Lists!J$22)+1)))),N($C11)*IF($AE11-$AD11&lt;1,($AD11&gt;Lists!J$22)*($AD11&lt;=Lists!J$21),MAX(0,MIN(Lists!J$21,$AE11)-MAX(Lists!J$22,$AD11))/($AE11-$AD11))+N($D11)*IF($AG11-$AF11&lt;1,($AF11&gt;Lists!J$22)*($AF11&lt;=Lists!J$21),MAX(0,MIN(Lists!J$21,$AG11)-MAX(Lists!J$22,$AF11))/($AG11-$AF11))+N($E11)*IF($AI11-$AH11&lt;1,($AH11&gt;Lists!J$22)*($AH11&lt;=Lists!J$21),MAX(0,MIN(Lists!J$21,$AI11)-MAX(Lists!J$22,$AH11))/($AI11-$AH11))+N($F11)*IF($AK11-$AJ11&lt;1,($AJ11&gt;Lists!J$22)*($AJ11&lt;=Lists!J$21),MAX(0,MIN(Lists!J$21,$AK11)-MAX(Lists!J$22,$AJ11))/($AK11-$AJ11))+N($G11)*IF($AM11-$AL11&lt;1,($AL11&gt;Lists!J$22)*($AL11&lt;=Lists!J$21),MAX(0,MIN(Lists!J$21,$AM11)-MAX(Lists!J$22,$AL11))/($AM11-$AL11))))))))</f>
        <v>11666.6666666667</v>
      </c>
      <c r="U11" s="53" t="n">
        <f aca="false">IF($H11=0,0,IF($AP11="X",0,IF($AP11="S",$H11/$AO11*(MIN($AO11,MAX(0,INT((Lists!K$21-N($J11))/7)+1))-MIN($AO11,MAX(0,INT((Lists!K$22-N($J11))/7)+1))),IF($AP11="D",$H11*MAX(0,MIN(Lists!K$21,N($J11)+$AO11)-MAX(Lists!K$22,N($J11)))/$AO11,IF($AP11="M",$H11/$AO11*(IF(Lists!K$21&lt;$J11,0,MIN($AO11,(((YEAR(Lists!K$21)-YEAR($J11))*12+MONTH(Lists!K$21)-MONTH($J11))-(EDATE($J11,((YEAR(Lists!K$21)-YEAR($J11))*12+MONTH(Lists!K$21)-MONTH($J11)))&gt;Lists!K$21)+1)))-IF(Lists!K$22&lt;$J11,0,MIN($AO11,(((YEAR(Lists!K$22)-YEAR($J11))*12+MONTH(Lists!K$22)-MONTH($J11))-(EDATE($J11,((YEAR(Lists!K$22)-YEAR($J11))*12+MONTH(Lists!K$22)-MONTH($J11)))&gt;Lists!K$22)+1)))),IF($AP11="F",IF(N($K11)&lt;=0,0,MIN(MAX(0,$H11),N($K11)*IF(Lists!K$21&lt;$J11,0,(((YEAR(Lists!K$21)-YEAR($J11))*12+MONTH(Lists!K$21)-MONTH($J11))-(EDATE($J11,((YEAR(Lists!K$21)-YEAR($J11))*12+MONTH(Lists!K$21)-MONTH($J11)))&gt;Lists!K$21)+1)))-MIN(MAX(0,$H11),N($K11)*IF(Lists!K$22&lt;$J11,0,(((YEAR(Lists!K$22)-YEAR($J11))*12+MONTH(Lists!K$22)-MONTH($J11))-(EDATE($J11,((YEAR(Lists!K$22)-YEAR($J11))*12+MONTH(Lists!K$22)-MONTH($J11)))&gt;Lists!K$22)+1)))),N($C11)*IF($AE11-$AD11&lt;1,($AD11&gt;Lists!K$22)*($AD11&lt;=Lists!K$21),MAX(0,MIN(Lists!K$21,$AE11)-MAX(Lists!K$22,$AD11))/($AE11-$AD11))+N($D11)*IF($AG11-$AF11&lt;1,($AF11&gt;Lists!K$22)*($AF11&lt;=Lists!K$21),MAX(0,MIN(Lists!K$21,$AG11)-MAX(Lists!K$22,$AF11))/($AG11-$AF11))+N($E11)*IF($AI11-$AH11&lt;1,($AH11&gt;Lists!K$22)*($AH11&lt;=Lists!K$21),MAX(0,MIN(Lists!K$21,$AI11)-MAX(Lists!K$22,$AH11))/($AI11-$AH11))+N($F11)*IF($AK11-$AJ11&lt;1,($AJ11&gt;Lists!K$22)*($AJ11&lt;=Lists!K$21),MAX(0,MIN(Lists!K$21,$AK11)-MAX(Lists!K$22,$AJ11))/($AK11-$AJ11))+N($G11)*IF($AM11-$AL11&lt;1,($AL11&gt;Lists!K$22)*($AL11&lt;=Lists!K$21),MAX(0,MIN(Lists!K$21,$AM11)-MAX(Lists!K$22,$AL11))/($AM11-$AL11))))))))</f>
        <v>11666.6666666667</v>
      </c>
      <c r="V11" s="53" t="n">
        <f aca="false">IF($H11=0,0,IF($AP11="X",0,IF($AP11="S",$H11/$AO11*(MIN($AO11,MAX(0,INT((Lists!L$21-N($J11))/7)+1))-MIN($AO11,MAX(0,INT((Lists!L$22-N($J11))/7)+1))),IF($AP11="D",$H11*MAX(0,MIN(Lists!L$21,N($J11)+$AO11)-MAX(Lists!L$22,N($J11)))/$AO11,IF($AP11="M",$H11/$AO11*(IF(Lists!L$21&lt;$J11,0,MIN($AO11,(((YEAR(Lists!L$21)-YEAR($J11))*12+MONTH(Lists!L$21)-MONTH($J11))-(EDATE($J11,((YEAR(Lists!L$21)-YEAR($J11))*12+MONTH(Lists!L$21)-MONTH($J11)))&gt;Lists!L$21)+1)))-IF(Lists!L$22&lt;$J11,0,MIN($AO11,(((YEAR(Lists!L$22)-YEAR($J11))*12+MONTH(Lists!L$22)-MONTH($J11))-(EDATE($J11,((YEAR(Lists!L$22)-YEAR($J11))*12+MONTH(Lists!L$22)-MONTH($J11)))&gt;Lists!L$22)+1)))),IF($AP11="F",IF(N($K11)&lt;=0,0,MIN(MAX(0,$H11),N($K11)*IF(Lists!L$21&lt;$J11,0,(((YEAR(Lists!L$21)-YEAR($J11))*12+MONTH(Lists!L$21)-MONTH($J11))-(EDATE($J11,((YEAR(Lists!L$21)-YEAR($J11))*12+MONTH(Lists!L$21)-MONTH($J11)))&gt;Lists!L$21)+1)))-MIN(MAX(0,$H11),N($K11)*IF(Lists!L$22&lt;$J11,0,(((YEAR(Lists!L$22)-YEAR($J11))*12+MONTH(Lists!L$22)-MONTH($J11))-(EDATE($J11,((YEAR(Lists!L$22)-YEAR($J11))*12+MONTH(Lists!L$22)-MONTH($J11)))&gt;Lists!L$22)+1)))),N($C11)*IF($AE11-$AD11&lt;1,($AD11&gt;Lists!L$22)*($AD11&lt;=Lists!L$21),MAX(0,MIN(Lists!L$21,$AE11)-MAX(Lists!L$22,$AD11))/($AE11-$AD11))+N($D11)*IF($AG11-$AF11&lt;1,($AF11&gt;Lists!L$22)*($AF11&lt;=Lists!L$21),MAX(0,MIN(Lists!L$21,$AG11)-MAX(Lists!L$22,$AF11))/($AG11-$AF11))+N($E11)*IF($AI11-$AH11&lt;1,($AH11&gt;Lists!L$22)*($AH11&lt;=Lists!L$21),MAX(0,MIN(Lists!L$21,$AI11)-MAX(Lists!L$22,$AH11))/($AI11-$AH11))+N($F11)*IF($AK11-$AJ11&lt;1,($AJ11&gt;Lists!L$22)*($AJ11&lt;=Lists!L$21),MAX(0,MIN(Lists!L$21,$AK11)-MAX(Lists!L$22,$AJ11))/($AK11-$AJ11))+N($G11)*IF($AM11-$AL11&lt;1,($AL11&gt;Lists!L$22)*($AL11&lt;=Lists!L$21),MAX(0,MIN(Lists!L$21,$AM11)-MAX(Lists!L$22,$AL11))/($AM11-$AL11))))))))</f>
        <v>0</v>
      </c>
      <c r="W11" s="53" t="n">
        <f aca="false">IF($H11=0,0,IF($AP11="X",0,IF($AP11="S",$H11/$AO11*(MIN($AO11,MAX(0,INT((Lists!M$21-N($J11))/7)+1))-MIN($AO11,MAX(0,INT((Lists!M$22-N($J11))/7)+1))),IF($AP11="D",$H11*MAX(0,MIN(Lists!M$21,N($J11)+$AO11)-MAX(Lists!M$22,N($J11)))/$AO11,IF($AP11="M",$H11/$AO11*(IF(Lists!M$21&lt;$J11,0,MIN($AO11,(((YEAR(Lists!M$21)-YEAR($J11))*12+MONTH(Lists!M$21)-MONTH($J11))-(EDATE($J11,((YEAR(Lists!M$21)-YEAR($J11))*12+MONTH(Lists!M$21)-MONTH($J11)))&gt;Lists!M$21)+1)))-IF(Lists!M$22&lt;$J11,0,MIN($AO11,(((YEAR(Lists!M$22)-YEAR($J11))*12+MONTH(Lists!M$22)-MONTH($J11))-(EDATE($J11,((YEAR(Lists!M$22)-YEAR($J11))*12+MONTH(Lists!M$22)-MONTH($J11)))&gt;Lists!M$22)+1)))),IF($AP11="F",IF(N($K11)&lt;=0,0,MIN(MAX(0,$H11),N($K11)*IF(Lists!M$21&lt;$J11,0,(((YEAR(Lists!M$21)-YEAR($J11))*12+MONTH(Lists!M$21)-MONTH($J11))-(EDATE($J11,((YEAR(Lists!M$21)-YEAR($J11))*12+MONTH(Lists!M$21)-MONTH($J11)))&gt;Lists!M$21)+1)))-MIN(MAX(0,$H11),N($K11)*IF(Lists!M$22&lt;$J11,0,(((YEAR(Lists!M$22)-YEAR($J11))*12+MONTH(Lists!M$22)-MONTH($J11))-(EDATE($J11,((YEAR(Lists!M$22)-YEAR($J11))*12+MONTH(Lists!M$22)-MONTH($J11)))&gt;Lists!M$22)+1)))),N($C11)*IF($AE11-$AD11&lt;1,($AD11&gt;Lists!M$22)*($AD11&lt;=Lists!M$21),MAX(0,MIN(Lists!M$21,$AE11)-MAX(Lists!M$22,$AD11))/($AE11-$AD11))+N($D11)*IF($AG11-$AF11&lt;1,($AF11&gt;Lists!M$22)*($AF11&lt;=Lists!M$21),MAX(0,MIN(Lists!M$21,$AG11)-MAX(Lists!M$22,$AF11))/($AG11-$AF11))+N($E11)*IF($AI11-$AH11&lt;1,($AH11&gt;Lists!M$22)*($AH11&lt;=Lists!M$21),MAX(0,MIN(Lists!M$21,$AI11)-MAX(Lists!M$22,$AH11))/($AI11-$AH11))+N($F11)*IF($AK11-$AJ11&lt;1,($AJ11&gt;Lists!M$22)*($AJ11&lt;=Lists!M$21),MAX(0,MIN(Lists!M$21,$AK11)-MAX(Lists!M$22,$AJ11))/($AK11-$AJ11))+N($G11)*IF($AM11-$AL11&lt;1,($AL11&gt;Lists!M$22)*($AL11&lt;=Lists!M$21),MAX(0,MIN(Lists!M$21,$AM11)-MAX(Lists!M$22,$AL11))/($AM11-$AL11))))))))</f>
        <v>0</v>
      </c>
      <c r="X11" s="53" t="n">
        <f aca="false">IF($H11=0,0,IF($AP11="X",0,IF($AP11="S",$H11/$AO11*(MIN($AO11,MAX(0,INT((Lists!N$21-N($J11))/7)+1))-MIN($AO11,MAX(0,INT((Lists!N$22-N($J11))/7)+1))),IF($AP11="D",$H11*MAX(0,MIN(Lists!N$21,N($J11)+$AO11)-MAX(Lists!N$22,N($J11)))/$AO11,IF($AP11="M",$H11/$AO11*(IF(Lists!N$21&lt;$J11,0,MIN($AO11,(((YEAR(Lists!N$21)-YEAR($J11))*12+MONTH(Lists!N$21)-MONTH($J11))-(EDATE($J11,((YEAR(Lists!N$21)-YEAR($J11))*12+MONTH(Lists!N$21)-MONTH($J11)))&gt;Lists!N$21)+1)))-IF(Lists!N$22&lt;$J11,0,MIN($AO11,(((YEAR(Lists!N$22)-YEAR($J11))*12+MONTH(Lists!N$22)-MONTH($J11))-(EDATE($J11,((YEAR(Lists!N$22)-YEAR($J11))*12+MONTH(Lists!N$22)-MONTH($J11)))&gt;Lists!N$22)+1)))),IF($AP11="F",IF(N($K11)&lt;=0,0,MIN(MAX(0,$H11),N($K11)*IF(Lists!N$21&lt;$J11,0,(((YEAR(Lists!N$21)-YEAR($J11))*12+MONTH(Lists!N$21)-MONTH($J11))-(EDATE($J11,((YEAR(Lists!N$21)-YEAR($J11))*12+MONTH(Lists!N$21)-MONTH($J11)))&gt;Lists!N$21)+1)))-MIN(MAX(0,$H11),N($K11)*IF(Lists!N$22&lt;$J11,0,(((YEAR(Lists!N$22)-YEAR($J11))*12+MONTH(Lists!N$22)-MONTH($J11))-(EDATE($J11,((YEAR(Lists!N$22)-YEAR($J11))*12+MONTH(Lists!N$22)-MONTH($J11)))&gt;Lists!N$22)+1)))),N($C11)*IF($AE11-$AD11&lt;1,($AD11&gt;Lists!N$22)*($AD11&lt;=Lists!N$21),MAX(0,MIN(Lists!N$21,$AE11)-MAX(Lists!N$22,$AD11))/($AE11-$AD11))+N($D11)*IF($AG11-$AF11&lt;1,($AF11&gt;Lists!N$22)*($AF11&lt;=Lists!N$21),MAX(0,MIN(Lists!N$21,$AG11)-MAX(Lists!N$22,$AF11))/($AG11-$AF11))+N($E11)*IF($AI11-$AH11&lt;1,($AH11&gt;Lists!N$22)*($AH11&lt;=Lists!N$21),MAX(0,MIN(Lists!N$21,$AI11)-MAX(Lists!N$22,$AH11))/($AI11-$AH11))+N($F11)*IF($AK11-$AJ11&lt;1,($AJ11&gt;Lists!N$22)*($AJ11&lt;=Lists!N$21),MAX(0,MIN(Lists!N$21,$AK11)-MAX(Lists!N$22,$AJ11))/($AK11-$AJ11))+N($G11)*IF($AM11-$AL11&lt;1,($AL11&gt;Lists!N$22)*($AL11&lt;=Lists!N$21),MAX(0,MIN(Lists!N$21,$AM11)-MAX(Lists!N$22,$AL11))/($AM11-$AL11))))))))</f>
        <v>0</v>
      </c>
      <c r="Y11" s="53" t="n">
        <f aca="false">IF($H11=0,0,IF($AP11="X",0,IF($AP11="S",$H11/$AO11*(MIN($AO11,MAX(0,INT((Lists!O$21-N($J11))/7)+1))-MIN($AO11,MAX(0,INT((Lists!O$22-N($J11))/7)+1))),IF($AP11="D",$H11*MAX(0,MIN(Lists!O$21,N($J11)+$AO11)-MAX(Lists!O$22,N($J11)))/$AO11,IF($AP11="M",$H11/$AO11*(IF(Lists!O$21&lt;$J11,0,MIN($AO11,(((YEAR(Lists!O$21)-YEAR($J11))*12+MONTH(Lists!O$21)-MONTH($J11))-(EDATE($J11,((YEAR(Lists!O$21)-YEAR($J11))*12+MONTH(Lists!O$21)-MONTH($J11)))&gt;Lists!O$21)+1)))-IF(Lists!O$22&lt;$J11,0,MIN($AO11,(((YEAR(Lists!O$22)-YEAR($J11))*12+MONTH(Lists!O$22)-MONTH($J11))-(EDATE($J11,((YEAR(Lists!O$22)-YEAR($J11))*12+MONTH(Lists!O$22)-MONTH($J11)))&gt;Lists!O$22)+1)))),IF($AP11="F",IF(N($K11)&lt;=0,0,MIN(MAX(0,$H11),N($K11)*IF(Lists!O$21&lt;$J11,0,(((YEAR(Lists!O$21)-YEAR($J11))*12+MONTH(Lists!O$21)-MONTH($J11))-(EDATE($J11,((YEAR(Lists!O$21)-YEAR($J11))*12+MONTH(Lists!O$21)-MONTH($J11)))&gt;Lists!O$21)+1)))-MIN(MAX(0,$H11),N($K11)*IF(Lists!O$22&lt;$J11,0,(((YEAR(Lists!O$22)-YEAR($J11))*12+MONTH(Lists!O$22)-MONTH($J11))-(EDATE($J11,((YEAR(Lists!O$22)-YEAR($J11))*12+MONTH(Lists!O$22)-MONTH($J11)))&gt;Lists!O$22)+1)))),N($C11)*IF($AE11-$AD11&lt;1,($AD11&gt;Lists!O$22)*($AD11&lt;=Lists!O$21),MAX(0,MIN(Lists!O$21,$AE11)-MAX(Lists!O$22,$AD11))/($AE11-$AD11))+N($D11)*IF($AG11-$AF11&lt;1,($AF11&gt;Lists!O$22)*($AF11&lt;=Lists!O$21),MAX(0,MIN(Lists!O$21,$AG11)-MAX(Lists!O$22,$AF11))/($AG11-$AF11))+N($E11)*IF($AI11-$AH11&lt;1,($AH11&gt;Lists!O$22)*($AH11&lt;=Lists!O$21),MAX(0,MIN(Lists!O$21,$AI11)-MAX(Lists!O$22,$AH11))/($AI11-$AH11))+N($F11)*IF($AK11-$AJ11&lt;1,($AJ11&gt;Lists!O$22)*($AJ11&lt;=Lists!O$21),MAX(0,MIN(Lists!O$21,$AK11)-MAX(Lists!O$22,$AJ11))/($AK11-$AJ11))+N($G11)*IF($AM11-$AL11&lt;1,($AL11&gt;Lists!O$22)*($AL11&lt;=Lists!O$21),MAX(0,MIN(Lists!O$21,$AM11)-MAX(Lists!O$22,$AL11))/($AM11-$AL11))))))))</f>
        <v>0</v>
      </c>
      <c r="Z11" s="46" t="n">
        <f aca="false">SUM(M11:Y11)</f>
        <v>95000</v>
      </c>
      <c r="AA11" s="92" t="n">
        <f aca="false">H11-Z11</f>
        <v>0</v>
      </c>
      <c r="AB11" s="55"/>
      <c r="AC11" s="2"/>
      <c r="AD11" s="93" t="n">
        <f aca="false">Setup!$D$10+MAX(0,$AN11-30)</f>
        <v>46365</v>
      </c>
      <c r="AE11" s="93" t="n">
        <f aca="false">Setup!$D$10+IF($AN11-30&lt;0,MAX(Setup!$D$22,$AN11-0),$AN11-0)</f>
        <v>46395</v>
      </c>
      <c r="AF11" s="93" t="n">
        <f aca="false">Setup!$D$10+MAX(0,$AN11-60)</f>
        <v>46335</v>
      </c>
      <c r="AG11" s="93" t="n">
        <f aca="false">Setup!$D$10+IF($AN11-60&lt;0,MAX(Setup!$D$22,$AN11-31),$AN11-31)</f>
        <v>46364</v>
      </c>
      <c r="AH11" s="93" t="n">
        <f aca="false">Setup!$D$10+MAX(0,$AN11-90)</f>
        <v>46335</v>
      </c>
      <c r="AI11" s="93" t="n">
        <f aca="false">Setup!$D$10+IF($AN11-90&lt;0,MAX(Setup!$D$22,$AN11-61),$AN11-61)</f>
        <v>46363</v>
      </c>
      <c r="AJ11" s="93" t="n">
        <f aca="false">Setup!$D$10+MAX(0,$AN11-120)</f>
        <v>46335</v>
      </c>
      <c r="AK11" s="93" t="n">
        <f aca="false">Setup!$D$10+IF($AN11-120&lt;0,MAX(Setup!$D$22,$AN11-91),$AN11-91)</f>
        <v>46363</v>
      </c>
      <c r="AL11" s="93" t="n">
        <f aca="false">IF(Setup!$D$23="Yes",2958465,Setup!$D$10)</f>
        <v>2958465</v>
      </c>
      <c r="AM11" s="93" t="n">
        <f aca="false">IF(AL11=2958465,AL11,Setup!$D$10+Setup!$D$22)</f>
        <v>2958465</v>
      </c>
      <c r="AN11" s="94" t="n">
        <f aca="false">IF(N(L11)=0,Setup!$D$20,L11)</f>
        <v>60</v>
      </c>
      <c r="AO11" s="94" t="n">
        <f aca="false">MAX(1,ROUND(N(K11),0))</f>
        <v>1</v>
      </c>
      <c r="AP11" s="95" t="str">
        <f aca="false">IF(I11="Doubtful","X",IF(N(J11)=0,"A",IF(I11="Specific date","S",IF(I11="Spread over days","D",IF(I11="Monthly on set day","M",IF(I11="Monthly fixed amount","F","A"))))))</f>
        <v>A</v>
      </c>
    </row>
    <row r="12" customFormat="false" ht="15" hidden="false" customHeight="false" outlineLevel="0" collapsed="false">
      <c r="A12" s="87" t="n">
        <v>4</v>
      </c>
      <c r="B12" s="55" t="s">
        <v>410</v>
      </c>
      <c r="C12" s="88" t="n">
        <v>36000</v>
      </c>
      <c r="D12" s="88" t="n">
        <v>24000</v>
      </c>
      <c r="E12" s="88" t="n">
        <v>6000</v>
      </c>
      <c r="F12" s="88" t="n">
        <v>4000</v>
      </c>
      <c r="G12" s="88"/>
      <c r="H12" s="89" t="n">
        <f aca="false">SUM(C12:G12)</f>
        <v>70000</v>
      </c>
      <c r="I12" s="58" t="s">
        <v>407</v>
      </c>
      <c r="J12" s="90"/>
      <c r="K12" s="91"/>
      <c r="L12" s="80"/>
      <c r="M12" s="53" t="n">
        <f aca="false">IF($H12=0,0,IF($AP12="X",0,IF($AP12="S",$H12/$AO12*(MIN($AO12,MAX(0,INT((Lists!C$21-N($J12))/7)+1))-MIN($AO12,MAX(0,INT((Lists!C$22-N($J12))/7)+1))),IF($AP12="D",$H12*MAX(0,MIN(Lists!C$21,N($J12)+$AO12)-MAX(Lists!C$22,N($J12)))/$AO12,IF($AP12="M",$H12/$AO12*(IF(Lists!C$21&lt;$J12,0,MIN($AO12,(((YEAR(Lists!C$21)-YEAR($J12))*12+MONTH(Lists!C$21)-MONTH($J12))-(EDATE($J12,((YEAR(Lists!C$21)-YEAR($J12))*12+MONTH(Lists!C$21)-MONTH($J12)))&gt;Lists!C$21)+1)))-IF(Lists!C$22&lt;$J12,0,MIN($AO12,(((YEAR(Lists!C$22)-YEAR($J12))*12+MONTH(Lists!C$22)-MONTH($J12))-(EDATE($J12,((YEAR(Lists!C$22)-YEAR($J12))*12+MONTH(Lists!C$22)-MONTH($J12)))&gt;Lists!C$22)+1)))),IF($AP12="F",IF(N($K12)&lt;=0,0,MIN(MAX(0,$H12),N($K12)*IF(Lists!C$21&lt;$J12,0,(((YEAR(Lists!C$21)-YEAR($J12))*12+MONTH(Lists!C$21)-MONTH($J12))-(EDATE($J12,((YEAR(Lists!C$21)-YEAR($J12))*12+MONTH(Lists!C$21)-MONTH($J12)))&gt;Lists!C$21)+1)))-MIN(MAX(0,$H12),N($K12)*IF(Lists!C$22&lt;$J12,0,(((YEAR(Lists!C$22)-YEAR($J12))*12+MONTH(Lists!C$22)-MONTH($J12))-(EDATE($J12,((YEAR(Lists!C$22)-YEAR($J12))*12+MONTH(Lists!C$22)-MONTH($J12)))&gt;Lists!C$22)+1)))),N($C12)*IF($AE12-$AD12&lt;1,($AD12&gt;Lists!C$22)*($AD12&lt;=Lists!C$21),MAX(0,MIN(Lists!C$21,$AE12)-MAX(Lists!C$22,$AD12))/($AE12-$AD12))+N($D12)*IF($AG12-$AF12&lt;1,($AF12&gt;Lists!C$22)*($AF12&lt;=Lists!C$21),MAX(0,MIN(Lists!C$21,$AG12)-MAX(Lists!C$22,$AF12))/($AG12-$AF12))+N($E12)*IF($AI12-$AH12&lt;1,($AH12&gt;Lists!C$22)*($AH12&lt;=Lists!C$21),MAX(0,MIN(Lists!C$21,$AI12)-MAX(Lists!C$22,$AH12))/($AI12-$AH12))+N($F12)*IF($AK12-$AJ12&lt;1,($AJ12&gt;Lists!C$22)*($AJ12&lt;=Lists!C$21),MAX(0,MIN(Lists!C$21,$AK12)-MAX(Lists!C$22,$AJ12))/($AK12-$AJ12))+N($G12)*IF($AM12-$AL12&lt;1,($AL12&gt;Lists!C$22)*($AL12&lt;=Lists!C$21),MAX(0,MIN(Lists!C$21,$AM12)-MAX(Lists!C$22,$AL12))/($AM12-$AL12))))))))</f>
        <v>4738.91625615764</v>
      </c>
      <c r="N12" s="53" t="n">
        <f aca="false">IF($H12=0,0,IF($AP12="X",0,IF($AP12="S",$H12/$AO12*(MIN($AO12,MAX(0,INT((Lists!D$21-N($J12))/7)+1))-MIN($AO12,MAX(0,INT((Lists!D$22-N($J12))/7)+1))),IF($AP12="D",$H12*MAX(0,MIN(Lists!D$21,N($J12)+$AO12)-MAX(Lists!D$22,N($J12)))/$AO12,IF($AP12="M",$H12/$AO12*(IF(Lists!D$21&lt;$J12,0,MIN($AO12,(((YEAR(Lists!D$21)-YEAR($J12))*12+MONTH(Lists!D$21)-MONTH($J12))-(EDATE($J12,((YEAR(Lists!D$21)-YEAR($J12))*12+MONTH(Lists!D$21)-MONTH($J12)))&gt;Lists!D$21)+1)))-IF(Lists!D$22&lt;$J12,0,MIN($AO12,(((YEAR(Lists!D$22)-YEAR($J12))*12+MONTH(Lists!D$22)-MONTH($J12))-(EDATE($J12,((YEAR(Lists!D$22)-YEAR($J12))*12+MONTH(Lists!D$22)-MONTH($J12)))&gt;Lists!D$22)+1)))),IF($AP12="F",IF(N($K12)&lt;=0,0,MIN(MAX(0,$H12),N($K12)*IF(Lists!D$21&lt;$J12,0,(((YEAR(Lists!D$21)-YEAR($J12))*12+MONTH(Lists!D$21)-MONTH($J12))-(EDATE($J12,((YEAR(Lists!D$21)-YEAR($J12))*12+MONTH(Lists!D$21)-MONTH($J12)))&gt;Lists!D$21)+1)))-MIN(MAX(0,$H12),N($K12)*IF(Lists!D$22&lt;$J12,0,(((YEAR(Lists!D$22)-YEAR($J12))*12+MONTH(Lists!D$22)-MONTH($J12))-(EDATE($J12,((YEAR(Lists!D$22)-YEAR($J12))*12+MONTH(Lists!D$22)-MONTH($J12)))&gt;Lists!D$22)+1)))),N($C12)*IF($AE12-$AD12&lt;1,($AD12&gt;Lists!D$22)*($AD12&lt;=Lists!D$21),MAX(0,MIN(Lists!D$21,$AE12)-MAX(Lists!D$22,$AD12))/($AE12-$AD12))+N($D12)*IF($AG12-$AF12&lt;1,($AF12&gt;Lists!D$22)*($AF12&lt;=Lists!D$21),MAX(0,MIN(Lists!D$21,$AG12)-MAX(Lists!D$22,$AF12))/($AG12-$AF12))+N($E12)*IF($AI12-$AH12&lt;1,($AH12&gt;Lists!D$22)*($AH12&lt;=Lists!D$21),MAX(0,MIN(Lists!D$21,$AI12)-MAX(Lists!D$22,$AH12))/($AI12-$AH12))+N($F12)*IF($AK12-$AJ12&lt;1,($AJ12&gt;Lists!D$22)*($AJ12&lt;=Lists!D$21),MAX(0,MIN(Lists!D$21,$AK12)-MAX(Lists!D$22,$AJ12))/($AK12-$AJ12))+N($G12)*IF($AM12-$AL12&lt;1,($AL12&gt;Lists!D$22)*($AL12&lt;=Lists!D$21),MAX(0,MIN(Lists!D$21,$AM12)-MAX(Lists!D$22,$AL12))/($AM12-$AL12))))))))</f>
        <v>8293.10344827586</v>
      </c>
      <c r="O12" s="53" t="n">
        <f aca="false">IF($H12=0,0,IF($AP12="X",0,IF($AP12="S",$H12/$AO12*(MIN($AO12,MAX(0,INT((Lists!E$21-N($J12))/7)+1))-MIN($AO12,MAX(0,INT((Lists!E$22-N($J12))/7)+1))),IF($AP12="D",$H12*MAX(0,MIN(Lists!E$21,N($J12)+$AO12)-MAX(Lists!E$22,N($J12)))/$AO12,IF($AP12="M",$H12/$AO12*(IF(Lists!E$21&lt;$J12,0,MIN($AO12,(((YEAR(Lists!E$21)-YEAR($J12))*12+MONTH(Lists!E$21)-MONTH($J12))-(EDATE($J12,((YEAR(Lists!E$21)-YEAR($J12))*12+MONTH(Lists!E$21)-MONTH($J12)))&gt;Lists!E$21)+1)))-IF(Lists!E$22&lt;$J12,0,MIN($AO12,(((YEAR(Lists!E$22)-YEAR($J12))*12+MONTH(Lists!E$22)-MONTH($J12))-(EDATE($J12,((YEAR(Lists!E$22)-YEAR($J12))*12+MONTH(Lists!E$22)-MONTH($J12)))&gt;Lists!E$22)+1)))),IF($AP12="F",IF(N($K12)&lt;=0,0,MIN(MAX(0,$H12),N($K12)*IF(Lists!E$21&lt;$J12,0,(((YEAR(Lists!E$21)-YEAR($J12))*12+MONTH(Lists!E$21)-MONTH($J12))-(EDATE($J12,((YEAR(Lists!E$21)-YEAR($J12))*12+MONTH(Lists!E$21)-MONTH($J12)))&gt;Lists!E$21)+1)))-MIN(MAX(0,$H12),N($K12)*IF(Lists!E$22&lt;$J12,0,(((YEAR(Lists!E$22)-YEAR($J12))*12+MONTH(Lists!E$22)-MONTH($J12))-(EDATE($J12,((YEAR(Lists!E$22)-YEAR($J12))*12+MONTH(Lists!E$22)-MONTH($J12)))&gt;Lists!E$22)+1)))),N($C12)*IF($AE12-$AD12&lt;1,($AD12&gt;Lists!E$22)*($AD12&lt;=Lists!E$21),MAX(0,MIN(Lists!E$21,$AE12)-MAX(Lists!E$22,$AD12))/($AE12-$AD12))+N($D12)*IF($AG12-$AF12&lt;1,($AF12&gt;Lists!E$22)*($AF12&lt;=Lists!E$21),MAX(0,MIN(Lists!E$21,$AG12)-MAX(Lists!E$22,$AF12))/($AG12-$AF12))+N($E12)*IF($AI12-$AH12&lt;1,($AH12&gt;Lists!E$22)*($AH12&lt;=Lists!E$21),MAX(0,MIN(Lists!E$21,$AI12)-MAX(Lists!E$22,$AH12))/($AI12-$AH12))+N($F12)*IF($AK12-$AJ12&lt;1,($AJ12&gt;Lists!E$22)*($AJ12&lt;=Lists!E$21),MAX(0,MIN(Lists!E$21,$AK12)-MAX(Lists!E$22,$AJ12))/($AK12-$AJ12))+N($G12)*IF($AM12-$AL12&lt;1,($AL12&gt;Lists!E$22)*($AL12&lt;=Lists!E$21),MAX(0,MIN(Lists!E$21,$AM12)-MAX(Lists!E$22,$AL12))/($AM12-$AL12))))))))</f>
        <v>8293.10344827586</v>
      </c>
      <c r="P12" s="53" t="n">
        <f aca="false">IF($H12=0,0,IF($AP12="X",0,IF($AP12="S",$H12/$AO12*(MIN($AO12,MAX(0,INT((Lists!F$21-N($J12))/7)+1))-MIN($AO12,MAX(0,INT((Lists!F$22-N($J12))/7)+1))),IF($AP12="D",$H12*MAX(0,MIN(Lists!F$21,N($J12)+$AO12)-MAX(Lists!F$22,N($J12)))/$AO12,IF($AP12="M",$H12/$AO12*(IF(Lists!F$21&lt;$J12,0,MIN($AO12,(((YEAR(Lists!F$21)-YEAR($J12))*12+MONTH(Lists!F$21)-MONTH($J12))-(EDATE($J12,((YEAR(Lists!F$21)-YEAR($J12))*12+MONTH(Lists!F$21)-MONTH($J12)))&gt;Lists!F$21)+1)))-IF(Lists!F$22&lt;$J12,0,MIN($AO12,(((YEAR(Lists!F$22)-YEAR($J12))*12+MONTH(Lists!F$22)-MONTH($J12))-(EDATE($J12,((YEAR(Lists!F$22)-YEAR($J12))*12+MONTH(Lists!F$22)-MONTH($J12)))&gt;Lists!F$22)+1)))),IF($AP12="F",IF(N($K12)&lt;=0,0,MIN(MAX(0,$H12),N($K12)*IF(Lists!F$21&lt;$J12,0,(((YEAR(Lists!F$21)-YEAR($J12))*12+MONTH(Lists!F$21)-MONTH($J12))-(EDATE($J12,((YEAR(Lists!F$21)-YEAR($J12))*12+MONTH(Lists!F$21)-MONTH($J12)))&gt;Lists!F$21)+1)))-MIN(MAX(0,$H12),N($K12)*IF(Lists!F$22&lt;$J12,0,(((YEAR(Lists!F$22)-YEAR($J12))*12+MONTH(Lists!F$22)-MONTH($J12))-(EDATE($J12,((YEAR(Lists!F$22)-YEAR($J12))*12+MONTH(Lists!F$22)-MONTH($J12)))&gt;Lists!F$22)+1)))),N($C12)*IF($AE12-$AD12&lt;1,($AD12&gt;Lists!F$22)*($AD12&lt;=Lists!F$21),MAX(0,MIN(Lists!F$21,$AE12)-MAX(Lists!F$22,$AD12))/($AE12-$AD12))+N($D12)*IF($AG12-$AF12&lt;1,($AF12&gt;Lists!F$22)*($AF12&lt;=Lists!F$21),MAX(0,MIN(Lists!F$21,$AG12)-MAX(Lists!F$22,$AF12))/($AG12-$AF12))+N($E12)*IF($AI12-$AH12&lt;1,($AH12&gt;Lists!F$22)*($AH12&lt;=Lists!F$21),MAX(0,MIN(Lists!F$21,$AI12)-MAX(Lists!F$22,$AH12))/($AI12-$AH12))+N($F12)*IF($AK12-$AJ12&lt;1,($AJ12&gt;Lists!F$22)*($AJ12&lt;=Lists!F$21),MAX(0,MIN(Lists!F$21,$AK12)-MAX(Lists!F$22,$AJ12))/($AK12-$AJ12))+N($G12)*IF($AM12-$AL12&lt;1,($AL12&gt;Lists!F$22)*($AL12&lt;=Lists!F$21),MAX(0,MIN(Lists!F$21,$AM12)-MAX(Lists!F$22,$AL12))/($AM12-$AL12))))))))</f>
        <v>8293.10344827586</v>
      </c>
      <c r="Q12" s="53" t="n">
        <f aca="false">IF($H12=0,0,IF($AP12="X",0,IF($AP12="S",$H12/$AO12*(MIN($AO12,MAX(0,INT((Lists!G$21-N($J12))/7)+1))-MIN($AO12,MAX(0,INT((Lists!G$22-N($J12))/7)+1))),IF($AP12="D",$H12*MAX(0,MIN(Lists!G$21,N($J12)+$AO12)-MAX(Lists!G$22,N($J12)))/$AO12,IF($AP12="M",$H12/$AO12*(IF(Lists!G$21&lt;$J12,0,MIN($AO12,(((YEAR(Lists!G$21)-YEAR($J12))*12+MONTH(Lists!G$21)-MONTH($J12))-(EDATE($J12,((YEAR(Lists!G$21)-YEAR($J12))*12+MONTH(Lists!G$21)-MONTH($J12)))&gt;Lists!G$21)+1)))-IF(Lists!G$22&lt;$J12,0,MIN($AO12,(((YEAR(Lists!G$22)-YEAR($J12))*12+MONTH(Lists!G$22)-MONTH($J12))-(EDATE($J12,((YEAR(Lists!G$22)-YEAR($J12))*12+MONTH(Lists!G$22)-MONTH($J12)))&gt;Lists!G$22)+1)))),IF($AP12="F",IF(N($K12)&lt;=0,0,MIN(MAX(0,$H12),N($K12)*IF(Lists!G$21&lt;$J12,0,(((YEAR(Lists!G$21)-YEAR($J12))*12+MONTH(Lists!G$21)-MONTH($J12))-(EDATE($J12,((YEAR(Lists!G$21)-YEAR($J12))*12+MONTH(Lists!G$21)-MONTH($J12)))&gt;Lists!G$21)+1)))-MIN(MAX(0,$H12),N($K12)*IF(Lists!G$22&lt;$J12,0,(((YEAR(Lists!G$22)-YEAR($J12))*12+MONTH(Lists!G$22)-MONTH($J12))-(EDATE($J12,((YEAR(Lists!G$22)-YEAR($J12))*12+MONTH(Lists!G$22)-MONTH($J12)))&gt;Lists!G$22)+1)))),N($C12)*IF($AE12-$AD12&lt;1,($AD12&gt;Lists!G$22)*($AD12&lt;=Lists!G$21),MAX(0,MIN(Lists!G$21,$AE12)-MAX(Lists!G$22,$AD12))/($AE12-$AD12))+N($D12)*IF($AG12-$AF12&lt;1,($AF12&gt;Lists!G$22)*($AF12&lt;=Lists!G$21),MAX(0,MIN(Lists!G$21,$AG12)-MAX(Lists!G$22,$AF12))/($AG12-$AF12))+N($E12)*IF($AI12-$AH12&lt;1,($AH12&gt;Lists!G$22)*($AH12&lt;=Lists!G$21),MAX(0,MIN(Lists!G$21,$AI12)-MAX(Lists!G$22,$AH12))/($AI12-$AH12))+N($F12)*IF($AK12-$AJ12&lt;1,($AJ12&gt;Lists!G$22)*($AJ12&lt;=Lists!G$21),MAX(0,MIN(Lists!G$21,$AK12)-MAX(Lists!G$22,$AJ12))/($AK12-$AJ12))+N($G12)*IF($AM12-$AL12&lt;1,($AL12&gt;Lists!G$22)*($AL12&lt;=Lists!G$21),MAX(0,MIN(Lists!G$21,$AM12)-MAX(Lists!G$22,$AL12))/($AM12-$AL12))))))))</f>
        <v>6781.77339901478</v>
      </c>
      <c r="R12" s="53" t="n">
        <f aca="false">IF($H12=0,0,IF($AP12="X",0,IF($AP12="S",$H12/$AO12*(MIN($AO12,MAX(0,INT((Lists!H$21-N($J12))/7)+1))-MIN($AO12,MAX(0,INT((Lists!H$22-N($J12))/7)+1))),IF($AP12="D",$H12*MAX(0,MIN(Lists!H$21,N($J12)+$AO12)-MAX(Lists!H$22,N($J12)))/$AO12,IF($AP12="M",$H12/$AO12*(IF(Lists!H$21&lt;$J12,0,MIN($AO12,(((YEAR(Lists!H$21)-YEAR($J12))*12+MONTH(Lists!H$21)-MONTH($J12))-(EDATE($J12,((YEAR(Lists!H$21)-YEAR($J12))*12+MONTH(Lists!H$21)-MONTH($J12)))&gt;Lists!H$21)+1)))-IF(Lists!H$22&lt;$J12,0,MIN($AO12,(((YEAR(Lists!H$22)-YEAR($J12))*12+MONTH(Lists!H$22)-MONTH($J12))-(EDATE($J12,((YEAR(Lists!H$22)-YEAR($J12))*12+MONTH(Lists!H$22)-MONTH($J12)))&gt;Lists!H$22)+1)))),IF($AP12="F",IF(N($K12)&lt;=0,0,MIN(MAX(0,$H12),N($K12)*IF(Lists!H$21&lt;$J12,0,(((YEAR(Lists!H$21)-YEAR($J12))*12+MONTH(Lists!H$21)-MONTH($J12))-(EDATE($J12,((YEAR(Lists!H$21)-YEAR($J12))*12+MONTH(Lists!H$21)-MONTH($J12)))&gt;Lists!H$21)+1)))-MIN(MAX(0,$H12),N($K12)*IF(Lists!H$22&lt;$J12,0,(((YEAR(Lists!H$22)-YEAR($J12))*12+MONTH(Lists!H$22)-MONTH($J12))-(EDATE($J12,((YEAR(Lists!H$22)-YEAR($J12))*12+MONTH(Lists!H$22)-MONTH($J12)))&gt;Lists!H$22)+1)))),N($C12)*IF($AE12-$AD12&lt;1,($AD12&gt;Lists!H$22)*($AD12&lt;=Lists!H$21),MAX(0,MIN(Lists!H$21,$AE12)-MAX(Lists!H$22,$AD12))/($AE12-$AD12))+N($D12)*IF($AG12-$AF12&lt;1,($AF12&gt;Lists!H$22)*($AF12&lt;=Lists!H$21),MAX(0,MIN(Lists!H$21,$AG12)-MAX(Lists!H$22,$AF12))/($AG12-$AF12))+N($E12)*IF($AI12-$AH12&lt;1,($AH12&gt;Lists!H$22)*($AH12&lt;=Lists!H$21),MAX(0,MIN(Lists!H$21,$AI12)-MAX(Lists!H$22,$AH12))/($AI12-$AH12))+N($F12)*IF($AK12-$AJ12&lt;1,($AJ12&gt;Lists!H$22)*($AJ12&lt;=Lists!H$21),MAX(0,MIN(Lists!H$21,$AK12)-MAX(Lists!H$22,$AJ12))/($AK12-$AJ12))+N($G12)*IF($AM12-$AL12&lt;1,($AL12&gt;Lists!H$22)*($AL12&lt;=Lists!H$21),MAX(0,MIN(Lists!H$21,$AM12)-MAX(Lists!H$22,$AL12))/($AM12-$AL12))))))))</f>
        <v>8400</v>
      </c>
      <c r="S12" s="53" t="n">
        <f aca="false">IF($H12=0,0,IF($AP12="X",0,IF($AP12="S",$H12/$AO12*(MIN($AO12,MAX(0,INT((Lists!I$21-N($J12))/7)+1))-MIN($AO12,MAX(0,INT((Lists!I$22-N($J12))/7)+1))),IF($AP12="D",$H12*MAX(0,MIN(Lists!I$21,N($J12)+$AO12)-MAX(Lists!I$22,N($J12)))/$AO12,IF($AP12="M",$H12/$AO12*(IF(Lists!I$21&lt;$J12,0,MIN($AO12,(((YEAR(Lists!I$21)-YEAR($J12))*12+MONTH(Lists!I$21)-MONTH($J12))-(EDATE($J12,((YEAR(Lists!I$21)-YEAR($J12))*12+MONTH(Lists!I$21)-MONTH($J12)))&gt;Lists!I$21)+1)))-IF(Lists!I$22&lt;$J12,0,MIN($AO12,(((YEAR(Lists!I$22)-YEAR($J12))*12+MONTH(Lists!I$22)-MONTH($J12))-(EDATE($J12,((YEAR(Lists!I$22)-YEAR($J12))*12+MONTH(Lists!I$22)-MONTH($J12)))&gt;Lists!I$22)+1)))),IF($AP12="F",IF(N($K12)&lt;=0,0,MIN(MAX(0,$H12),N($K12)*IF(Lists!I$21&lt;$J12,0,(((YEAR(Lists!I$21)-YEAR($J12))*12+MONTH(Lists!I$21)-MONTH($J12))-(EDATE($J12,((YEAR(Lists!I$21)-YEAR($J12))*12+MONTH(Lists!I$21)-MONTH($J12)))&gt;Lists!I$21)+1)))-MIN(MAX(0,$H12),N($K12)*IF(Lists!I$22&lt;$J12,0,(((YEAR(Lists!I$22)-YEAR($J12))*12+MONTH(Lists!I$22)-MONTH($J12))-(EDATE($J12,((YEAR(Lists!I$22)-YEAR($J12))*12+MONTH(Lists!I$22)-MONTH($J12)))&gt;Lists!I$22)+1)))),N($C12)*IF($AE12-$AD12&lt;1,($AD12&gt;Lists!I$22)*($AD12&lt;=Lists!I$21),MAX(0,MIN(Lists!I$21,$AE12)-MAX(Lists!I$22,$AD12))/($AE12-$AD12))+N($D12)*IF($AG12-$AF12&lt;1,($AF12&gt;Lists!I$22)*($AF12&lt;=Lists!I$21),MAX(0,MIN(Lists!I$21,$AG12)-MAX(Lists!I$22,$AF12))/($AG12-$AF12))+N($E12)*IF($AI12-$AH12&lt;1,($AH12&gt;Lists!I$22)*($AH12&lt;=Lists!I$21),MAX(0,MIN(Lists!I$21,$AI12)-MAX(Lists!I$22,$AH12))/($AI12-$AH12))+N($F12)*IF($AK12-$AJ12&lt;1,($AJ12&gt;Lists!I$22)*($AJ12&lt;=Lists!I$21),MAX(0,MIN(Lists!I$21,$AK12)-MAX(Lists!I$22,$AJ12))/($AK12-$AJ12))+N($G12)*IF($AM12-$AL12&lt;1,($AL12&gt;Lists!I$22)*($AL12&lt;=Lists!I$21),MAX(0,MIN(Lists!I$21,$AM12)-MAX(Lists!I$22,$AL12))/($AM12-$AL12))))))))</f>
        <v>8400</v>
      </c>
      <c r="T12" s="53" t="n">
        <f aca="false">IF($H12=0,0,IF($AP12="X",0,IF($AP12="S",$H12/$AO12*(MIN($AO12,MAX(0,INT((Lists!J$21-N($J12))/7)+1))-MIN($AO12,MAX(0,INT((Lists!J$22-N($J12))/7)+1))),IF($AP12="D",$H12*MAX(0,MIN(Lists!J$21,N($J12)+$AO12)-MAX(Lists!J$22,N($J12)))/$AO12,IF($AP12="M",$H12/$AO12*(IF(Lists!J$21&lt;$J12,0,MIN($AO12,(((YEAR(Lists!J$21)-YEAR($J12))*12+MONTH(Lists!J$21)-MONTH($J12))-(EDATE($J12,((YEAR(Lists!J$21)-YEAR($J12))*12+MONTH(Lists!J$21)-MONTH($J12)))&gt;Lists!J$21)+1)))-IF(Lists!J$22&lt;$J12,0,MIN($AO12,(((YEAR(Lists!J$22)-YEAR($J12))*12+MONTH(Lists!J$22)-MONTH($J12))-(EDATE($J12,((YEAR(Lists!J$22)-YEAR($J12))*12+MONTH(Lists!J$22)-MONTH($J12)))&gt;Lists!J$22)+1)))),IF($AP12="F",IF(N($K12)&lt;=0,0,MIN(MAX(0,$H12),N($K12)*IF(Lists!J$21&lt;$J12,0,(((YEAR(Lists!J$21)-YEAR($J12))*12+MONTH(Lists!J$21)-MONTH($J12))-(EDATE($J12,((YEAR(Lists!J$21)-YEAR($J12))*12+MONTH(Lists!J$21)-MONTH($J12)))&gt;Lists!J$21)+1)))-MIN(MAX(0,$H12),N($K12)*IF(Lists!J$22&lt;$J12,0,(((YEAR(Lists!J$22)-YEAR($J12))*12+MONTH(Lists!J$22)-MONTH($J12))-(EDATE($J12,((YEAR(Lists!J$22)-YEAR($J12))*12+MONTH(Lists!J$22)-MONTH($J12)))&gt;Lists!J$22)+1)))),N($C12)*IF($AE12-$AD12&lt;1,($AD12&gt;Lists!J$22)*($AD12&lt;=Lists!J$21),MAX(0,MIN(Lists!J$21,$AE12)-MAX(Lists!J$22,$AD12))/($AE12-$AD12))+N($D12)*IF($AG12-$AF12&lt;1,($AF12&gt;Lists!J$22)*($AF12&lt;=Lists!J$21),MAX(0,MIN(Lists!J$21,$AG12)-MAX(Lists!J$22,$AF12))/($AG12-$AF12))+N($E12)*IF($AI12-$AH12&lt;1,($AH12&gt;Lists!J$22)*($AH12&lt;=Lists!J$21),MAX(0,MIN(Lists!J$21,$AI12)-MAX(Lists!J$22,$AH12))/($AI12-$AH12))+N($F12)*IF($AK12-$AJ12&lt;1,($AJ12&gt;Lists!J$22)*($AJ12&lt;=Lists!J$21),MAX(0,MIN(Lists!J$21,$AK12)-MAX(Lists!J$22,$AJ12))/($AK12-$AJ12))+N($G12)*IF($AM12-$AL12&lt;1,($AL12&gt;Lists!J$22)*($AL12&lt;=Lists!J$21),MAX(0,MIN(Lists!J$21,$AM12)-MAX(Lists!J$22,$AL12))/($AM12-$AL12))))))))</f>
        <v>8400</v>
      </c>
      <c r="U12" s="53" t="n">
        <f aca="false">IF($H12=0,0,IF($AP12="X",0,IF($AP12="S",$H12/$AO12*(MIN($AO12,MAX(0,INT((Lists!K$21-N($J12))/7)+1))-MIN($AO12,MAX(0,INT((Lists!K$22-N($J12))/7)+1))),IF($AP12="D",$H12*MAX(0,MIN(Lists!K$21,N($J12)+$AO12)-MAX(Lists!K$22,N($J12)))/$AO12,IF($AP12="M",$H12/$AO12*(IF(Lists!K$21&lt;$J12,0,MIN($AO12,(((YEAR(Lists!K$21)-YEAR($J12))*12+MONTH(Lists!K$21)-MONTH($J12))-(EDATE($J12,((YEAR(Lists!K$21)-YEAR($J12))*12+MONTH(Lists!K$21)-MONTH($J12)))&gt;Lists!K$21)+1)))-IF(Lists!K$22&lt;$J12,0,MIN($AO12,(((YEAR(Lists!K$22)-YEAR($J12))*12+MONTH(Lists!K$22)-MONTH($J12))-(EDATE($J12,((YEAR(Lists!K$22)-YEAR($J12))*12+MONTH(Lists!K$22)-MONTH($J12)))&gt;Lists!K$22)+1)))),IF($AP12="F",IF(N($K12)&lt;=0,0,MIN(MAX(0,$H12),N($K12)*IF(Lists!K$21&lt;$J12,0,(((YEAR(Lists!K$21)-YEAR($J12))*12+MONTH(Lists!K$21)-MONTH($J12))-(EDATE($J12,((YEAR(Lists!K$21)-YEAR($J12))*12+MONTH(Lists!K$21)-MONTH($J12)))&gt;Lists!K$21)+1)))-MIN(MAX(0,$H12),N($K12)*IF(Lists!K$22&lt;$J12,0,(((YEAR(Lists!K$22)-YEAR($J12))*12+MONTH(Lists!K$22)-MONTH($J12))-(EDATE($J12,((YEAR(Lists!K$22)-YEAR($J12))*12+MONTH(Lists!K$22)-MONTH($J12)))&gt;Lists!K$22)+1)))),N($C12)*IF($AE12-$AD12&lt;1,($AD12&gt;Lists!K$22)*($AD12&lt;=Lists!K$21),MAX(0,MIN(Lists!K$21,$AE12)-MAX(Lists!K$22,$AD12))/($AE12-$AD12))+N($D12)*IF($AG12-$AF12&lt;1,($AF12&gt;Lists!K$22)*($AF12&lt;=Lists!K$21),MAX(0,MIN(Lists!K$21,$AG12)-MAX(Lists!K$22,$AF12))/($AG12-$AF12))+N($E12)*IF($AI12-$AH12&lt;1,($AH12&gt;Lists!K$22)*($AH12&lt;=Lists!K$21),MAX(0,MIN(Lists!K$21,$AI12)-MAX(Lists!K$22,$AH12))/($AI12-$AH12))+N($F12)*IF($AK12-$AJ12&lt;1,($AJ12&gt;Lists!K$22)*($AJ12&lt;=Lists!K$21),MAX(0,MIN(Lists!K$21,$AK12)-MAX(Lists!K$22,$AJ12))/($AK12-$AJ12))+N($G12)*IF($AM12-$AL12&lt;1,($AL12&gt;Lists!K$22)*($AL12&lt;=Lists!K$21),MAX(0,MIN(Lists!K$21,$AM12)-MAX(Lists!K$22,$AL12))/($AM12-$AL12))))))))</f>
        <v>8400</v>
      </c>
      <c r="V12" s="53" t="n">
        <f aca="false">IF($H12=0,0,IF($AP12="X",0,IF($AP12="S",$H12/$AO12*(MIN($AO12,MAX(0,INT((Lists!L$21-N($J12))/7)+1))-MIN($AO12,MAX(0,INT((Lists!L$22-N($J12))/7)+1))),IF($AP12="D",$H12*MAX(0,MIN(Lists!L$21,N($J12)+$AO12)-MAX(Lists!L$22,N($J12)))/$AO12,IF($AP12="M",$H12/$AO12*(IF(Lists!L$21&lt;$J12,0,MIN($AO12,(((YEAR(Lists!L$21)-YEAR($J12))*12+MONTH(Lists!L$21)-MONTH($J12))-(EDATE($J12,((YEAR(Lists!L$21)-YEAR($J12))*12+MONTH(Lists!L$21)-MONTH($J12)))&gt;Lists!L$21)+1)))-IF(Lists!L$22&lt;$J12,0,MIN($AO12,(((YEAR(Lists!L$22)-YEAR($J12))*12+MONTH(Lists!L$22)-MONTH($J12))-(EDATE($J12,((YEAR(Lists!L$22)-YEAR($J12))*12+MONTH(Lists!L$22)-MONTH($J12)))&gt;Lists!L$22)+1)))),IF($AP12="F",IF(N($K12)&lt;=0,0,MIN(MAX(0,$H12),N($K12)*IF(Lists!L$21&lt;$J12,0,(((YEAR(Lists!L$21)-YEAR($J12))*12+MONTH(Lists!L$21)-MONTH($J12))-(EDATE($J12,((YEAR(Lists!L$21)-YEAR($J12))*12+MONTH(Lists!L$21)-MONTH($J12)))&gt;Lists!L$21)+1)))-MIN(MAX(0,$H12),N($K12)*IF(Lists!L$22&lt;$J12,0,(((YEAR(Lists!L$22)-YEAR($J12))*12+MONTH(Lists!L$22)-MONTH($J12))-(EDATE($J12,((YEAR(Lists!L$22)-YEAR($J12))*12+MONTH(Lists!L$22)-MONTH($J12)))&gt;Lists!L$22)+1)))),N($C12)*IF($AE12-$AD12&lt;1,($AD12&gt;Lists!L$22)*($AD12&lt;=Lists!L$21),MAX(0,MIN(Lists!L$21,$AE12)-MAX(Lists!L$22,$AD12))/($AE12-$AD12))+N($D12)*IF($AG12-$AF12&lt;1,($AF12&gt;Lists!L$22)*($AF12&lt;=Lists!L$21),MAX(0,MIN(Lists!L$21,$AG12)-MAX(Lists!L$22,$AF12))/($AG12-$AF12))+N($E12)*IF($AI12-$AH12&lt;1,($AH12&gt;Lists!L$22)*($AH12&lt;=Lists!L$21),MAX(0,MIN(Lists!L$21,$AI12)-MAX(Lists!L$22,$AH12))/($AI12-$AH12))+N($F12)*IF($AK12-$AJ12&lt;1,($AJ12&gt;Lists!L$22)*($AJ12&lt;=Lists!L$21),MAX(0,MIN(Lists!L$21,$AK12)-MAX(Lists!L$22,$AJ12))/($AK12-$AJ12))+N($G12)*IF($AM12-$AL12&lt;1,($AL12&gt;Lists!L$22)*($AL12&lt;=Lists!L$21),MAX(0,MIN(Lists!L$21,$AM12)-MAX(Lists!L$22,$AL12))/($AM12-$AL12))))))))</f>
        <v>0</v>
      </c>
      <c r="W12" s="53" t="n">
        <f aca="false">IF($H12=0,0,IF($AP12="X",0,IF($AP12="S",$H12/$AO12*(MIN($AO12,MAX(0,INT((Lists!M$21-N($J12))/7)+1))-MIN($AO12,MAX(0,INT((Lists!M$22-N($J12))/7)+1))),IF($AP12="D",$H12*MAX(0,MIN(Lists!M$21,N($J12)+$AO12)-MAX(Lists!M$22,N($J12)))/$AO12,IF($AP12="M",$H12/$AO12*(IF(Lists!M$21&lt;$J12,0,MIN($AO12,(((YEAR(Lists!M$21)-YEAR($J12))*12+MONTH(Lists!M$21)-MONTH($J12))-(EDATE($J12,((YEAR(Lists!M$21)-YEAR($J12))*12+MONTH(Lists!M$21)-MONTH($J12)))&gt;Lists!M$21)+1)))-IF(Lists!M$22&lt;$J12,0,MIN($AO12,(((YEAR(Lists!M$22)-YEAR($J12))*12+MONTH(Lists!M$22)-MONTH($J12))-(EDATE($J12,((YEAR(Lists!M$22)-YEAR($J12))*12+MONTH(Lists!M$22)-MONTH($J12)))&gt;Lists!M$22)+1)))),IF($AP12="F",IF(N($K12)&lt;=0,0,MIN(MAX(0,$H12),N($K12)*IF(Lists!M$21&lt;$J12,0,(((YEAR(Lists!M$21)-YEAR($J12))*12+MONTH(Lists!M$21)-MONTH($J12))-(EDATE($J12,((YEAR(Lists!M$21)-YEAR($J12))*12+MONTH(Lists!M$21)-MONTH($J12)))&gt;Lists!M$21)+1)))-MIN(MAX(0,$H12),N($K12)*IF(Lists!M$22&lt;$J12,0,(((YEAR(Lists!M$22)-YEAR($J12))*12+MONTH(Lists!M$22)-MONTH($J12))-(EDATE($J12,((YEAR(Lists!M$22)-YEAR($J12))*12+MONTH(Lists!M$22)-MONTH($J12)))&gt;Lists!M$22)+1)))),N($C12)*IF($AE12-$AD12&lt;1,($AD12&gt;Lists!M$22)*($AD12&lt;=Lists!M$21),MAX(0,MIN(Lists!M$21,$AE12)-MAX(Lists!M$22,$AD12))/($AE12-$AD12))+N($D12)*IF($AG12-$AF12&lt;1,($AF12&gt;Lists!M$22)*($AF12&lt;=Lists!M$21),MAX(0,MIN(Lists!M$21,$AG12)-MAX(Lists!M$22,$AF12))/($AG12-$AF12))+N($E12)*IF($AI12-$AH12&lt;1,($AH12&gt;Lists!M$22)*($AH12&lt;=Lists!M$21),MAX(0,MIN(Lists!M$21,$AI12)-MAX(Lists!M$22,$AH12))/($AI12-$AH12))+N($F12)*IF($AK12-$AJ12&lt;1,($AJ12&gt;Lists!M$22)*($AJ12&lt;=Lists!M$21),MAX(0,MIN(Lists!M$21,$AK12)-MAX(Lists!M$22,$AJ12))/($AK12-$AJ12))+N($G12)*IF($AM12-$AL12&lt;1,($AL12&gt;Lists!M$22)*($AL12&lt;=Lists!M$21),MAX(0,MIN(Lists!M$21,$AM12)-MAX(Lists!M$22,$AL12))/($AM12-$AL12))))))))</f>
        <v>0</v>
      </c>
      <c r="X12" s="53" t="n">
        <f aca="false">IF($H12=0,0,IF($AP12="X",0,IF($AP12="S",$H12/$AO12*(MIN($AO12,MAX(0,INT((Lists!N$21-N($J12))/7)+1))-MIN($AO12,MAX(0,INT((Lists!N$22-N($J12))/7)+1))),IF($AP12="D",$H12*MAX(0,MIN(Lists!N$21,N($J12)+$AO12)-MAX(Lists!N$22,N($J12)))/$AO12,IF($AP12="M",$H12/$AO12*(IF(Lists!N$21&lt;$J12,0,MIN($AO12,(((YEAR(Lists!N$21)-YEAR($J12))*12+MONTH(Lists!N$21)-MONTH($J12))-(EDATE($J12,((YEAR(Lists!N$21)-YEAR($J12))*12+MONTH(Lists!N$21)-MONTH($J12)))&gt;Lists!N$21)+1)))-IF(Lists!N$22&lt;$J12,0,MIN($AO12,(((YEAR(Lists!N$22)-YEAR($J12))*12+MONTH(Lists!N$22)-MONTH($J12))-(EDATE($J12,((YEAR(Lists!N$22)-YEAR($J12))*12+MONTH(Lists!N$22)-MONTH($J12)))&gt;Lists!N$22)+1)))),IF($AP12="F",IF(N($K12)&lt;=0,0,MIN(MAX(0,$H12),N($K12)*IF(Lists!N$21&lt;$J12,0,(((YEAR(Lists!N$21)-YEAR($J12))*12+MONTH(Lists!N$21)-MONTH($J12))-(EDATE($J12,((YEAR(Lists!N$21)-YEAR($J12))*12+MONTH(Lists!N$21)-MONTH($J12)))&gt;Lists!N$21)+1)))-MIN(MAX(0,$H12),N($K12)*IF(Lists!N$22&lt;$J12,0,(((YEAR(Lists!N$22)-YEAR($J12))*12+MONTH(Lists!N$22)-MONTH($J12))-(EDATE($J12,((YEAR(Lists!N$22)-YEAR($J12))*12+MONTH(Lists!N$22)-MONTH($J12)))&gt;Lists!N$22)+1)))),N($C12)*IF($AE12-$AD12&lt;1,($AD12&gt;Lists!N$22)*($AD12&lt;=Lists!N$21),MAX(0,MIN(Lists!N$21,$AE12)-MAX(Lists!N$22,$AD12))/($AE12-$AD12))+N($D12)*IF($AG12-$AF12&lt;1,($AF12&gt;Lists!N$22)*($AF12&lt;=Lists!N$21),MAX(0,MIN(Lists!N$21,$AG12)-MAX(Lists!N$22,$AF12))/($AG12-$AF12))+N($E12)*IF($AI12-$AH12&lt;1,($AH12&gt;Lists!N$22)*($AH12&lt;=Lists!N$21),MAX(0,MIN(Lists!N$21,$AI12)-MAX(Lists!N$22,$AH12))/($AI12-$AH12))+N($F12)*IF($AK12-$AJ12&lt;1,($AJ12&gt;Lists!N$22)*($AJ12&lt;=Lists!N$21),MAX(0,MIN(Lists!N$21,$AK12)-MAX(Lists!N$22,$AJ12))/($AK12-$AJ12))+N($G12)*IF($AM12-$AL12&lt;1,($AL12&gt;Lists!N$22)*($AL12&lt;=Lists!N$21),MAX(0,MIN(Lists!N$21,$AM12)-MAX(Lists!N$22,$AL12))/($AM12-$AL12))))))))</f>
        <v>0</v>
      </c>
      <c r="Y12" s="53" t="n">
        <f aca="false">IF($H12=0,0,IF($AP12="X",0,IF($AP12="S",$H12/$AO12*(MIN($AO12,MAX(0,INT((Lists!O$21-N($J12))/7)+1))-MIN($AO12,MAX(0,INT((Lists!O$22-N($J12))/7)+1))),IF($AP12="D",$H12*MAX(0,MIN(Lists!O$21,N($J12)+$AO12)-MAX(Lists!O$22,N($J12)))/$AO12,IF($AP12="M",$H12/$AO12*(IF(Lists!O$21&lt;$J12,0,MIN($AO12,(((YEAR(Lists!O$21)-YEAR($J12))*12+MONTH(Lists!O$21)-MONTH($J12))-(EDATE($J12,((YEAR(Lists!O$21)-YEAR($J12))*12+MONTH(Lists!O$21)-MONTH($J12)))&gt;Lists!O$21)+1)))-IF(Lists!O$22&lt;$J12,0,MIN($AO12,(((YEAR(Lists!O$22)-YEAR($J12))*12+MONTH(Lists!O$22)-MONTH($J12))-(EDATE($J12,((YEAR(Lists!O$22)-YEAR($J12))*12+MONTH(Lists!O$22)-MONTH($J12)))&gt;Lists!O$22)+1)))),IF($AP12="F",IF(N($K12)&lt;=0,0,MIN(MAX(0,$H12),N($K12)*IF(Lists!O$21&lt;$J12,0,(((YEAR(Lists!O$21)-YEAR($J12))*12+MONTH(Lists!O$21)-MONTH($J12))-(EDATE($J12,((YEAR(Lists!O$21)-YEAR($J12))*12+MONTH(Lists!O$21)-MONTH($J12)))&gt;Lists!O$21)+1)))-MIN(MAX(0,$H12),N($K12)*IF(Lists!O$22&lt;$J12,0,(((YEAR(Lists!O$22)-YEAR($J12))*12+MONTH(Lists!O$22)-MONTH($J12))-(EDATE($J12,((YEAR(Lists!O$22)-YEAR($J12))*12+MONTH(Lists!O$22)-MONTH($J12)))&gt;Lists!O$22)+1)))),N($C12)*IF($AE12-$AD12&lt;1,($AD12&gt;Lists!O$22)*($AD12&lt;=Lists!O$21),MAX(0,MIN(Lists!O$21,$AE12)-MAX(Lists!O$22,$AD12))/($AE12-$AD12))+N($D12)*IF($AG12-$AF12&lt;1,($AF12&gt;Lists!O$22)*($AF12&lt;=Lists!O$21),MAX(0,MIN(Lists!O$21,$AG12)-MAX(Lists!O$22,$AF12))/($AG12-$AF12))+N($E12)*IF($AI12-$AH12&lt;1,($AH12&gt;Lists!O$22)*($AH12&lt;=Lists!O$21),MAX(0,MIN(Lists!O$21,$AI12)-MAX(Lists!O$22,$AH12))/($AI12-$AH12))+N($F12)*IF($AK12-$AJ12&lt;1,($AJ12&gt;Lists!O$22)*($AJ12&lt;=Lists!O$21),MAX(0,MIN(Lists!O$21,$AK12)-MAX(Lists!O$22,$AJ12))/($AK12-$AJ12))+N($G12)*IF($AM12-$AL12&lt;1,($AL12&gt;Lists!O$22)*($AL12&lt;=Lists!O$21),MAX(0,MIN(Lists!O$21,$AM12)-MAX(Lists!O$22,$AL12))/($AM12-$AL12))))))))</f>
        <v>0</v>
      </c>
      <c r="Z12" s="46" t="n">
        <f aca="false">SUM(M12:Y12)</f>
        <v>70000</v>
      </c>
      <c r="AA12" s="92" t="n">
        <f aca="false">H12-Z12</f>
        <v>0</v>
      </c>
      <c r="AB12" s="55"/>
      <c r="AC12" s="2"/>
      <c r="AD12" s="93" t="n">
        <f aca="false">Setup!$D$10+MAX(0,$AN12-30)</f>
        <v>46365</v>
      </c>
      <c r="AE12" s="93" t="n">
        <f aca="false">Setup!$D$10+IF($AN12-30&lt;0,MAX(Setup!$D$22,$AN12-0),$AN12-0)</f>
        <v>46395</v>
      </c>
      <c r="AF12" s="93" t="n">
        <f aca="false">Setup!$D$10+MAX(0,$AN12-60)</f>
        <v>46335</v>
      </c>
      <c r="AG12" s="93" t="n">
        <f aca="false">Setup!$D$10+IF($AN12-60&lt;0,MAX(Setup!$D$22,$AN12-31),$AN12-31)</f>
        <v>46364</v>
      </c>
      <c r="AH12" s="93" t="n">
        <f aca="false">Setup!$D$10+MAX(0,$AN12-90)</f>
        <v>46335</v>
      </c>
      <c r="AI12" s="93" t="n">
        <f aca="false">Setup!$D$10+IF($AN12-90&lt;0,MAX(Setup!$D$22,$AN12-61),$AN12-61)</f>
        <v>46363</v>
      </c>
      <c r="AJ12" s="93" t="n">
        <f aca="false">Setup!$D$10+MAX(0,$AN12-120)</f>
        <v>46335</v>
      </c>
      <c r="AK12" s="93" t="n">
        <f aca="false">Setup!$D$10+IF($AN12-120&lt;0,MAX(Setup!$D$22,$AN12-91),$AN12-91)</f>
        <v>46363</v>
      </c>
      <c r="AL12" s="93" t="n">
        <f aca="false">IF(Setup!$D$23="Yes",2958465,Setup!$D$10)</f>
        <v>2958465</v>
      </c>
      <c r="AM12" s="93" t="n">
        <f aca="false">IF(AL12=2958465,AL12,Setup!$D$10+Setup!$D$22)</f>
        <v>2958465</v>
      </c>
      <c r="AN12" s="94" t="n">
        <f aca="false">IF(N(L12)=0,Setup!$D$20,L12)</f>
        <v>60</v>
      </c>
      <c r="AO12" s="94" t="n">
        <f aca="false">MAX(1,ROUND(N(K12),0))</f>
        <v>1</v>
      </c>
      <c r="AP12" s="95" t="str">
        <f aca="false">IF(I12="Doubtful","X",IF(N(J12)=0,"A",IF(I12="Specific date","S",IF(I12="Spread over days","D",IF(I12="Monthly on set day","M",IF(I12="Monthly fixed amount","F","A"))))))</f>
        <v>A</v>
      </c>
    </row>
    <row r="13" customFormat="false" ht="15" hidden="false" customHeight="false" outlineLevel="0" collapsed="false">
      <c r="A13" s="87" t="n">
        <v>5</v>
      </c>
      <c r="B13" s="55" t="s">
        <v>411</v>
      </c>
      <c r="C13" s="88" t="n">
        <v>127000</v>
      </c>
      <c r="D13" s="88" t="n">
        <v>96000</v>
      </c>
      <c r="E13" s="88" t="n">
        <v>36000</v>
      </c>
      <c r="F13" s="88" t="n">
        <v>11000</v>
      </c>
      <c r="G13" s="88" t="n">
        <v>5000</v>
      </c>
      <c r="H13" s="89" t="n">
        <f aca="false">SUM(C13:G13)</f>
        <v>275000</v>
      </c>
      <c r="I13" s="58" t="s">
        <v>407</v>
      </c>
      <c r="J13" s="90"/>
      <c r="K13" s="91"/>
      <c r="L13" s="80"/>
      <c r="M13" s="53" t="n">
        <f aca="false">IF($H13=0,0,IF($AP13="X",0,IF($AP13="S",$H13/$AO13*(MIN($AO13,MAX(0,INT((Lists!C$21-N($J13))/7)+1))-MIN($AO13,MAX(0,INT((Lists!C$22-N($J13))/7)+1))),IF($AP13="D",$H13*MAX(0,MIN(Lists!C$21,N($J13)+$AO13)-MAX(Lists!C$22,N($J13)))/$AO13,IF($AP13="M",$H13/$AO13*(IF(Lists!C$21&lt;$J13,0,MIN($AO13,(((YEAR(Lists!C$21)-YEAR($J13))*12+MONTH(Lists!C$21)-MONTH($J13))-(EDATE($J13,((YEAR(Lists!C$21)-YEAR($J13))*12+MONTH(Lists!C$21)-MONTH($J13)))&gt;Lists!C$21)+1)))-IF(Lists!C$22&lt;$J13,0,MIN($AO13,(((YEAR(Lists!C$22)-YEAR($J13))*12+MONTH(Lists!C$22)-MONTH($J13))-(EDATE($J13,((YEAR(Lists!C$22)-YEAR($J13))*12+MONTH(Lists!C$22)-MONTH($J13)))&gt;Lists!C$22)+1)))),IF($AP13="F",IF(N($K13)&lt;=0,0,MIN(MAX(0,$H13),N($K13)*IF(Lists!C$21&lt;$J13,0,(((YEAR(Lists!C$21)-YEAR($J13))*12+MONTH(Lists!C$21)-MONTH($J13))-(EDATE($J13,((YEAR(Lists!C$21)-YEAR($J13))*12+MONTH(Lists!C$21)-MONTH($J13)))&gt;Lists!C$21)+1)))-MIN(MAX(0,$H13),N($K13)*IF(Lists!C$22&lt;$J13,0,(((YEAR(Lists!C$22)-YEAR($J13))*12+MONTH(Lists!C$22)-MONTH($J13))-(EDATE($J13,((YEAR(Lists!C$22)-YEAR($J13))*12+MONTH(Lists!C$22)-MONTH($J13)))&gt;Lists!C$22)+1)))),N($C13)*IF($AE13-$AD13&lt;1,($AD13&gt;Lists!C$22)*($AD13&lt;=Lists!C$21),MAX(0,MIN(Lists!C$21,$AE13)-MAX(Lists!C$22,$AD13))/($AE13-$AD13))+N($D13)*IF($AG13-$AF13&lt;1,($AF13&gt;Lists!C$22)*($AF13&lt;=Lists!C$21),MAX(0,MIN(Lists!C$21,$AG13)-MAX(Lists!C$22,$AF13))/($AG13-$AF13))+N($E13)*IF($AI13-$AH13&lt;1,($AH13&gt;Lists!C$22)*($AH13&lt;=Lists!C$21),MAX(0,MIN(Lists!C$21,$AI13)-MAX(Lists!C$22,$AH13))/($AI13-$AH13))+N($F13)*IF($AK13-$AJ13&lt;1,($AJ13&gt;Lists!C$22)*($AJ13&lt;=Lists!C$21),MAX(0,MIN(Lists!C$21,$AK13)-MAX(Lists!C$22,$AJ13))/($AK13-$AJ13))+N($G13)*IF($AM13-$AL13&lt;1,($AL13&gt;Lists!C$22)*($AL13&lt;=Lists!C$21),MAX(0,MIN(Lists!C$21,$AM13)-MAX(Lists!C$22,$AL13))/($AM13-$AL13))))))))</f>
        <v>19955.6650246305</v>
      </c>
      <c r="N13" s="53" t="n">
        <f aca="false">IF($H13=0,0,IF($AP13="X",0,IF($AP13="S",$H13/$AO13*(MIN($AO13,MAX(0,INT((Lists!D$21-N($J13))/7)+1))-MIN($AO13,MAX(0,INT((Lists!D$22-N($J13))/7)+1))),IF($AP13="D",$H13*MAX(0,MIN(Lists!D$21,N($J13)+$AO13)-MAX(Lists!D$22,N($J13)))/$AO13,IF($AP13="M",$H13/$AO13*(IF(Lists!D$21&lt;$J13,0,MIN($AO13,(((YEAR(Lists!D$21)-YEAR($J13))*12+MONTH(Lists!D$21)-MONTH($J13))-(EDATE($J13,((YEAR(Lists!D$21)-YEAR($J13))*12+MONTH(Lists!D$21)-MONTH($J13)))&gt;Lists!D$21)+1)))-IF(Lists!D$22&lt;$J13,0,MIN($AO13,(((YEAR(Lists!D$22)-YEAR($J13))*12+MONTH(Lists!D$22)-MONTH($J13))-(EDATE($J13,((YEAR(Lists!D$22)-YEAR($J13))*12+MONTH(Lists!D$22)-MONTH($J13)))&gt;Lists!D$22)+1)))),IF($AP13="F",IF(N($K13)&lt;=0,0,MIN(MAX(0,$H13),N($K13)*IF(Lists!D$21&lt;$J13,0,(((YEAR(Lists!D$21)-YEAR($J13))*12+MONTH(Lists!D$21)-MONTH($J13))-(EDATE($J13,((YEAR(Lists!D$21)-YEAR($J13))*12+MONTH(Lists!D$21)-MONTH($J13)))&gt;Lists!D$21)+1)))-MIN(MAX(0,$H13),N($K13)*IF(Lists!D$22&lt;$J13,0,(((YEAR(Lists!D$22)-YEAR($J13))*12+MONTH(Lists!D$22)-MONTH($J13))-(EDATE($J13,((YEAR(Lists!D$22)-YEAR($J13))*12+MONTH(Lists!D$22)-MONTH($J13)))&gt;Lists!D$22)+1)))),N($C13)*IF($AE13-$AD13&lt;1,($AD13&gt;Lists!D$22)*($AD13&lt;=Lists!D$21),MAX(0,MIN(Lists!D$21,$AE13)-MAX(Lists!D$22,$AD13))/($AE13-$AD13))+N($D13)*IF($AG13-$AF13&lt;1,($AF13&gt;Lists!D$22)*($AF13&lt;=Lists!D$21),MAX(0,MIN(Lists!D$21,$AG13)-MAX(Lists!D$22,$AF13))/($AG13-$AF13))+N($E13)*IF($AI13-$AH13&lt;1,($AH13&gt;Lists!D$22)*($AH13&lt;=Lists!D$21),MAX(0,MIN(Lists!D$21,$AI13)-MAX(Lists!D$22,$AH13))/($AI13-$AH13))+N($F13)*IF($AK13-$AJ13&lt;1,($AJ13&gt;Lists!D$22)*($AJ13&lt;=Lists!D$21),MAX(0,MIN(Lists!D$21,$AK13)-MAX(Lists!D$22,$AJ13))/($AK13-$AJ13))+N($G13)*IF($AM13-$AL13&lt;1,($AL13&gt;Lists!D$22)*($AL13&lt;=Lists!D$21),MAX(0,MIN(Lists!D$21,$AM13)-MAX(Lists!D$22,$AL13))/($AM13-$AL13))))))))</f>
        <v>34922.4137931035</v>
      </c>
      <c r="O13" s="53" t="n">
        <f aca="false">IF($H13=0,0,IF($AP13="X",0,IF($AP13="S",$H13/$AO13*(MIN($AO13,MAX(0,INT((Lists!E$21-N($J13))/7)+1))-MIN($AO13,MAX(0,INT((Lists!E$22-N($J13))/7)+1))),IF($AP13="D",$H13*MAX(0,MIN(Lists!E$21,N($J13)+$AO13)-MAX(Lists!E$22,N($J13)))/$AO13,IF($AP13="M",$H13/$AO13*(IF(Lists!E$21&lt;$J13,0,MIN($AO13,(((YEAR(Lists!E$21)-YEAR($J13))*12+MONTH(Lists!E$21)-MONTH($J13))-(EDATE($J13,((YEAR(Lists!E$21)-YEAR($J13))*12+MONTH(Lists!E$21)-MONTH($J13)))&gt;Lists!E$21)+1)))-IF(Lists!E$22&lt;$J13,0,MIN($AO13,(((YEAR(Lists!E$22)-YEAR($J13))*12+MONTH(Lists!E$22)-MONTH($J13))-(EDATE($J13,((YEAR(Lists!E$22)-YEAR($J13))*12+MONTH(Lists!E$22)-MONTH($J13)))&gt;Lists!E$22)+1)))),IF($AP13="F",IF(N($K13)&lt;=0,0,MIN(MAX(0,$H13),N($K13)*IF(Lists!E$21&lt;$J13,0,(((YEAR(Lists!E$21)-YEAR($J13))*12+MONTH(Lists!E$21)-MONTH($J13))-(EDATE($J13,((YEAR(Lists!E$21)-YEAR($J13))*12+MONTH(Lists!E$21)-MONTH($J13)))&gt;Lists!E$21)+1)))-MIN(MAX(0,$H13),N($K13)*IF(Lists!E$22&lt;$J13,0,(((YEAR(Lists!E$22)-YEAR($J13))*12+MONTH(Lists!E$22)-MONTH($J13))-(EDATE($J13,((YEAR(Lists!E$22)-YEAR($J13))*12+MONTH(Lists!E$22)-MONTH($J13)))&gt;Lists!E$22)+1)))),N($C13)*IF($AE13-$AD13&lt;1,($AD13&gt;Lists!E$22)*($AD13&lt;=Lists!E$21),MAX(0,MIN(Lists!E$21,$AE13)-MAX(Lists!E$22,$AD13))/($AE13-$AD13))+N($D13)*IF($AG13-$AF13&lt;1,($AF13&gt;Lists!E$22)*($AF13&lt;=Lists!E$21),MAX(0,MIN(Lists!E$21,$AG13)-MAX(Lists!E$22,$AF13))/($AG13-$AF13))+N($E13)*IF($AI13-$AH13&lt;1,($AH13&gt;Lists!E$22)*($AH13&lt;=Lists!E$21),MAX(0,MIN(Lists!E$21,$AI13)-MAX(Lists!E$22,$AH13))/($AI13-$AH13))+N($F13)*IF($AK13-$AJ13&lt;1,($AJ13&gt;Lists!E$22)*($AJ13&lt;=Lists!E$21),MAX(0,MIN(Lists!E$21,$AK13)-MAX(Lists!E$22,$AJ13))/($AK13-$AJ13))+N($G13)*IF($AM13-$AL13&lt;1,($AL13&gt;Lists!E$22)*($AL13&lt;=Lists!E$21),MAX(0,MIN(Lists!E$21,$AM13)-MAX(Lists!E$22,$AL13))/($AM13-$AL13))))))))</f>
        <v>34922.4137931035</v>
      </c>
      <c r="P13" s="53" t="n">
        <f aca="false">IF($H13=0,0,IF($AP13="X",0,IF($AP13="S",$H13/$AO13*(MIN($AO13,MAX(0,INT((Lists!F$21-N($J13))/7)+1))-MIN($AO13,MAX(0,INT((Lists!F$22-N($J13))/7)+1))),IF($AP13="D",$H13*MAX(0,MIN(Lists!F$21,N($J13)+$AO13)-MAX(Lists!F$22,N($J13)))/$AO13,IF($AP13="M",$H13/$AO13*(IF(Lists!F$21&lt;$J13,0,MIN($AO13,(((YEAR(Lists!F$21)-YEAR($J13))*12+MONTH(Lists!F$21)-MONTH($J13))-(EDATE($J13,((YEAR(Lists!F$21)-YEAR($J13))*12+MONTH(Lists!F$21)-MONTH($J13)))&gt;Lists!F$21)+1)))-IF(Lists!F$22&lt;$J13,0,MIN($AO13,(((YEAR(Lists!F$22)-YEAR($J13))*12+MONTH(Lists!F$22)-MONTH($J13))-(EDATE($J13,((YEAR(Lists!F$22)-YEAR($J13))*12+MONTH(Lists!F$22)-MONTH($J13)))&gt;Lists!F$22)+1)))),IF($AP13="F",IF(N($K13)&lt;=0,0,MIN(MAX(0,$H13),N($K13)*IF(Lists!F$21&lt;$J13,0,(((YEAR(Lists!F$21)-YEAR($J13))*12+MONTH(Lists!F$21)-MONTH($J13))-(EDATE($J13,((YEAR(Lists!F$21)-YEAR($J13))*12+MONTH(Lists!F$21)-MONTH($J13)))&gt;Lists!F$21)+1)))-MIN(MAX(0,$H13),N($K13)*IF(Lists!F$22&lt;$J13,0,(((YEAR(Lists!F$22)-YEAR($J13))*12+MONTH(Lists!F$22)-MONTH($J13))-(EDATE($J13,((YEAR(Lists!F$22)-YEAR($J13))*12+MONTH(Lists!F$22)-MONTH($J13)))&gt;Lists!F$22)+1)))),N($C13)*IF($AE13-$AD13&lt;1,($AD13&gt;Lists!F$22)*($AD13&lt;=Lists!F$21),MAX(0,MIN(Lists!F$21,$AE13)-MAX(Lists!F$22,$AD13))/($AE13-$AD13))+N($D13)*IF($AG13-$AF13&lt;1,($AF13&gt;Lists!F$22)*($AF13&lt;=Lists!F$21),MAX(0,MIN(Lists!F$21,$AG13)-MAX(Lists!F$22,$AF13))/($AG13-$AF13))+N($E13)*IF($AI13-$AH13&lt;1,($AH13&gt;Lists!F$22)*($AH13&lt;=Lists!F$21),MAX(0,MIN(Lists!F$21,$AI13)-MAX(Lists!F$22,$AH13))/($AI13-$AH13))+N($F13)*IF($AK13-$AJ13&lt;1,($AJ13&gt;Lists!F$22)*($AJ13&lt;=Lists!F$21),MAX(0,MIN(Lists!F$21,$AK13)-MAX(Lists!F$22,$AJ13))/($AK13-$AJ13))+N($G13)*IF($AM13-$AL13&lt;1,($AL13&gt;Lists!F$22)*($AL13&lt;=Lists!F$21),MAX(0,MIN(Lists!F$21,$AM13)-MAX(Lists!F$22,$AL13))/($AM13-$AL13))))))))</f>
        <v>34922.4137931035</v>
      </c>
      <c r="Q13" s="53" t="n">
        <f aca="false">IF($H13=0,0,IF($AP13="X",0,IF($AP13="S",$H13/$AO13*(MIN($AO13,MAX(0,INT((Lists!G$21-N($J13))/7)+1))-MIN($AO13,MAX(0,INT((Lists!G$22-N($J13))/7)+1))),IF($AP13="D",$H13*MAX(0,MIN(Lists!G$21,N($J13)+$AO13)-MAX(Lists!G$22,N($J13)))/$AO13,IF($AP13="M",$H13/$AO13*(IF(Lists!G$21&lt;$J13,0,MIN($AO13,(((YEAR(Lists!G$21)-YEAR($J13))*12+MONTH(Lists!G$21)-MONTH($J13))-(EDATE($J13,((YEAR(Lists!G$21)-YEAR($J13))*12+MONTH(Lists!G$21)-MONTH($J13)))&gt;Lists!G$21)+1)))-IF(Lists!G$22&lt;$J13,0,MIN($AO13,(((YEAR(Lists!G$22)-YEAR($J13))*12+MONTH(Lists!G$22)-MONTH($J13))-(EDATE($J13,((YEAR(Lists!G$22)-YEAR($J13))*12+MONTH(Lists!G$22)-MONTH($J13)))&gt;Lists!G$22)+1)))),IF($AP13="F",IF(N($K13)&lt;=0,0,MIN(MAX(0,$H13),N($K13)*IF(Lists!G$21&lt;$J13,0,(((YEAR(Lists!G$21)-YEAR($J13))*12+MONTH(Lists!G$21)-MONTH($J13))-(EDATE($J13,((YEAR(Lists!G$21)-YEAR($J13))*12+MONTH(Lists!G$21)-MONTH($J13)))&gt;Lists!G$21)+1)))-MIN(MAX(0,$H13),N($K13)*IF(Lists!G$22&lt;$J13,0,(((YEAR(Lists!G$22)-YEAR($J13))*12+MONTH(Lists!G$22)-MONTH($J13))-(EDATE($J13,((YEAR(Lists!G$22)-YEAR($J13))*12+MONTH(Lists!G$22)-MONTH($J13)))&gt;Lists!G$22)+1)))),N($C13)*IF($AE13-$AD13&lt;1,($AD13&gt;Lists!G$22)*($AD13&lt;=Lists!G$21),MAX(0,MIN(Lists!G$21,$AE13)-MAX(Lists!G$22,$AD13))/($AE13-$AD13))+N($D13)*IF($AG13-$AF13&lt;1,($AF13&gt;Lists!G$22)*($AF13&lt;=Lists!G$21),MAX(0,MIN(Lists!G$21,$AG13)-MAX(Lists!G$22,$AF13))/($AG13-$AF13))+N($E13)*IF($AI13-$AH13&lt;1,($AH13&gt;Lists!G$22)*($AH13&lt;=Lists!G$21),MAX(0,MIN(Lists!G$21,$AI13)-MAX(Lists!G$22,$AH13))/($AI13-$AH13))+N($F13)*IF($AK13-$AJ13&lt;1,($AJ13&gt;Lists!G$22)*($AJ13&lt;=Lists!G$21),MAX(0,MIN(Lists!G$21,$AK13)-MAX(Lists!G$22,$AJ13))/($AK13-$AJ13))+N($G13)*IF($AM13-$AL13&lt;1,($AL13&gt;Lists!G$22)*($AL13&lt;=Lists!G$21),MAX(0,MIN(Lists!G$21,$AM13)-MAX(Lists!G$22,$AL13))/($AM13-$AL13))))))))</f>
        <v>26743.7602627258</v>
      </c>
      <c r="R13" s="53" t="n">
        <f aca="false">IF($H13=0,0,IF($AP13="X",0,IF($AP13="S",$H13/$AO13*(MIN($AO13,MAX(0,INT((Lists!H$21-N($J13))/7)+1))-MIN($AO13,MAX(0,INT((Lists!H$22-N($J13))/7)+1))),IF($AP13="D",$H13*MAX(0,MIN(Lists!H$21,N($J13)+$AO13)-MAX(Lists!H$22,N($J13)))/$AO13,IF($AP13="M",$H13/$AO13*(IF(Lists!H$21&lt;$J13,0,MIN($AO13,(((YEAR(Lists!H$21)-YEAR($J13))*12+MONTH(Lists!H$21)-MONTH($J13))-(EDATE($J13,((YEAR(Lists!H$21)-YEAR($J13))*12+MONTH(Lists!H$21)-MONTH($J13)))&gt;Lists!H$21)+1)))-IF(Lists!H$22&lt;$J13,0,MIN($AO13,(((YEAR(Lists!H$22)-YEAR($J13))*12+MONTH(Lists!H$22)-MONTH($J13))-(EDATE($J13,((YEAR(Lists!H$22)-YEAR($J13))*12+MONTH(Lists!H$22)-MONTH($J13)))&gt;Lists!H$22)+1)))),IF($AP13="F",IF(N($K13)&lt;=0,0,MIN(MAX(0,$H13),N($K13)*IF(Lists!H$21&lt;$J13,0,(((YEAR(Lists!H$21)-YEAR($J13))*12+MONTH(Lists!H$21)-MONTH($J13))-(EDATE($J13,((YEAR(Lists!H$21)-YEAR($J13))*12+MONTH(Lists!H$21)-MONTH($J13)))&gt;Lists!H$21)+1)))-MIN(MAX(0,$H13),N($K13)*IF(Lists!H$22&lt;$J13,0,(((YEAR(Lists!H$22)-YEAR($J13))*12+MONTH(Lists!H$22)-MONTH($J13))-(EDATE($J13,((YEAR(Lists!H$22)-YEAR($J13))*12+MONTH(Lists!H$22)-MONTH($J13)))&gt;Lists!H$22)+1)))),N($C13)*IF($AE13-$AD13&lt;1,($AD13&gt;Lists!H$22)*($AD13&lt;=Lists!H$21),MAX(0,MIN(Lists!H$21,$AE13)-MAX(Lists!H$22,$AD13))/($AE13-$AD13))+N($D13)*IF($AG13-$AF13&lt;1,($AF13&gt;Lists!H$22)*($AF13&lt;=Lists!H$21),MAX(0,MIN(Lists!H$21,$AG13)-MAX(Lists!H$22,$AF13))/($AG13-$AF13))+N($E13)*IF($AI13-$AH13&lt;1,($AH13&gt;Lists!H$22)*($AH13&lt;=Lists!H$21),MAX(0,MIN(Lists!H$21,$AI13)-MAX(Lists!H$22,$AH13))/($AI13-$AH13))+N($F13)*IF($AK13-$AJ13&lt;1,($AJ13&gt;Lists!H$22)*($AJ13&lt;=Lists!H$21),MAX(0,MIN(Lists!H$21,$AK13)-MAX(Lists!H$22,$AJ13))/($AK13-$AJ13))+N($G13)*IF($AM13-$AL13&lt;1,($AL13&gt;Lists!H$22)*($AL13&lt;=Lists!H$21),MAX(0,MIN(Lists!H$21,$AM13)-MAX(Lists!H$22,$AL13))/($AM13-$AL13))))))))</f>
        <v>29633.3333333333</v>
      </c>
      <c r="S13" s="53" t="n">
        <f aca="false">IF($H13=0,0,IF($AP13="X",0,IF($AP13="S",$H13/$AO13*(MIN($AO13,MAX(0,INT((Lists!I$21-N($J13))/7)+1))-MIN($AO13,MAX(0,INT((Lists!I$22-N($J13))/7)+1))),IF($AP13="D",$H13*MAX(0,MIN(Lists!I$21,N($J13)+$AO13)-MAX(Lists!I$22,N($J13)))/$AO13,IF($AP13="M",$H13/$AO13*(IF(Lists!I$21&lt;$J13,0,MIN($AO13,(((YEAR(Lists!I$21)-YEAR($J13))*12+MONTH(Lists!I$21)-MONTH($J13))-(EDATE($J13,((YEAR(Lists!I$21)-YEAR($J13))*12+MONTH(Lists!I$21)-MONTH($J13)))&gt;Lists!I$21)+1)))-IF(Lists!I$22&lt;$J13,0,MIN($AO13,(((YEAR(Lists!I$22)-YEAR($J13))*12+MONTH(Lists!I$22)-MONTH($J13))-(EDATE($J13,((YEAR(Lists!I$22)-YEAR($J13))*12+MONTH(Lists!I$22)-MONTH($J13)))&gt;Lists!I$22)+1)))),IF($AP13="F",IF(N($K13)&lt;=0,0,MIN(MAX(0,$H13),N($K13)*IF(Lists!I$21&lt;$J13,0,(((YEAR(Lists!I$21)-YEAR($J13))*12+MONTH(Lists!I$21)-MONTH($J13))-(EDATE($J13,((YEAR(Lists!I$21)-YEAR($J13))*12+MONTH(Lists!I$21)-MONTH($J13)))&gt;Lists!I$21)+1)))-MIN(MAX(0,$H13),N($K13)*IF(Lists!I$22&lt;$J13,0,(((YEAR(Lists!I$22)-YEAR($J13))*12+MONTH(Lists!I$22)-MONTH($J13))-(EDATE($J13,((YEAR(Lists!I$22)-YEAR($J13))*12+MONTH(Lists!I$22)-MONTH($J13)))&gt;Lists!I$22)+1)))),N($C13)*IF($AE13-$AD13&lt;1,($AD13&gt;Lists!I$22)*($AD13&lt;=Lists!I$21),MAX(0,MIN(Lists!I$21,$AE13)-MAX(Lists!I$22,$AD13))/($AE13-$AD13))+N($D13)*IF($AG13-$AF13&lt;1,($AF13&gt;Lists!I$22)*($AF13&lt;=Lists!I$21),MAX(0,MIN(Lists!I$21,$AG13)-MAX(Lists!I$22,$AF13))/($AG13-$AF13))+N($E13)*IF($AI13-$AH13&lt;1,($AH13&gt;Lists!I$22)*($AH13&lt;=Lists!I$21),MAX(0,MIN(Lists!I$21,$AI13)-MAX(Lists!I$22,$AH13))/($AI13-$AH13))+N($F13)*IF($AK13-$AJ13&lt;1,($AJ13&gt;Lists!I$22)*($AJ13&lt;=Lists!I$21),MAX(0,MIN(Lists!I$21,$AK13)-MAX(Lists!I$22,$AJ13))/($AK13-$AJ13))+N($G13)*IF($AM13-$AL13&lt;1,($AL13&gt;Lists!I$22)*($AL13&lt;=Lists!I$21),MAX(0,MIN(Lists!I$21,$AM13)-MAX(Lists!I$22,$AL13))/($AM13-$AL13))))))))</f>
        <v>29633.3333333333</v>
      </c>
      <c r="T13" s="53" t="n">
        <f aca="false">IF($H13=0,0,IF($AP13="X",0,IF($AP13="S",$H13/$AO13*(MIN($AO13,MAX(0,INT((Lists!J$21-N($J13))/7)+1))-MIN($AO13,MAX(0,INT((Lists!J$22-N($J13))/7)+1))),IF($AP13="D",$H13*MAX(0,MIN(Lists!J$21,N($J13)+$AO13)-MAX(Lists!J$22,N($J13)))/$AO13,IF($AP13="M",$H13/$AO13*(IF(Lists!J$21&lt;$J13,0,MIN($AO13,(((YEAR(Lists!J$21)-YEAR($J13))*12+MONTH(Lists!J$21)-MONTH($J13))-(EDATE($J13,((YEAR(Lists!J$21)-YEAR($J13))*12+MONTH(Lists!J$21)-MONTH($J13)))&gt;Lists!J$21)+1)))-IF(Lists!J$22&lt;$J13,0,MIN($AO13,(((YEAR(Lists!J$22)-YEAR($J13))*12+MONTH(Lists!J$22)-MONTH($J13))-(EDATE($J13,((YEAR(Lists!J$22)-YEAR($J13))*12+MONTH(Lists!J$22)-MONTH($J13)))&gt;Lists!J$22)+1)))),IF($AP13="F",IF(N($K13)&lt;=0,0,MIN(MAX(0,$H13),N($K13)*IF(Lists!J$21&lt;$J13,0,(((YEAR(Lists!J$21)-YEAR($J13))*12+MONTH(Lists!J$21)-MONTH($J13))-(EDATE($J13,((YEAR(Lists!J$21)-YEAR($J13))*12+MONTH(Lists!J$21)-MONTH($J13)))&gt;Lists!J$21)+1)))-MIN(MAX(0,$H13),N($K13)*IF(Lists!J$22&lt;$J13,0,(((YEAR(Lists!J$22)-YEAR($J13))*12+MONTH(Lists!J$22)-MONTH($J13))-(EDATE($J13,((YEAR(Lists!J$22)-YEAR($J13))*12+MONTH(Lists!J$22)-MONTH($J13)))&gt;Lists!J$22)+1)))),N($C13)*IF($AE13-$AD13&lt;1,($AD13&gt;Lists!J$22)*($AD13&lt;=Lists!J$21),MAX(0,MIN(Lists!J$21,$AE13)-MAX(Lists!J$22,$AD13))/($AE13-$AD13))+N($D13)*IF($AG13-$AF13&lt;1,($AF13&gt;Lists!J$22)*($AF13&lt;=Lists!J$21),MAX(0,MIN(Lists!J$21,$AG13)-MAX(Lists!J$22,$AF13))/($AG13-$AF13))+N($E13)*IF($AI13-$AH13&lt;1,($AH13&gt;Lists!J$22)*($AH13&lt;=Lists!J$21),MAX(0,MIN(Lists!J$21,$AI13)-MAX(Lists!J$22,$AH13))/($AI13-$AH13))+N($F13)*IF($AK13-$AJ13&lt;1,($AJ13&gt;Lists!J$22)*($AJ13&lt;=Lists!J$21),MAX(0,MIN(Lists!J$21,$AK13)-MAX(Lists!J$22,$AJ13))/($AK13-$AJ13))+N($G13)*IF($AM13-$AL13&lt;1,($AL13&gt;Lists!J$22)*($AL13&lt;=Lists!J$21),MAX(0,MIN(Lists!J$21,$AM13)-MAX(Lists!J$22,$AL13))/($AM13-$AL13))))))))</f>
        <v>29633.3333333333</v>
      </c>
      <c r="U13" s="53" t="n">
        <f aca="false">IF($H13=0,0,IF($AP13="X",0,IF($AP13="S",$H13/$AO13*(MIN($AO13,MAX(0,INT((Lists!K$21-N($J13))/7)+1))-MIN($AO13,MAX(0,INT((Lists!K$22-N($J13))/7)+1))),IF($AP13="D",$H13*MAX(0,MIN(Lists!K$21,N($J13)+$AO13)-MAX(Lists!K$22,N($J13)))/$AO13,IF($AP13="M",$H13/$AO13*(IF(Lists!K$21&lt;$J13,0,MIN($AO13,(((YEAR(Lists!K$21)-YEAR($J13))*12+MONTH(Lists!K$21)-MONTH($J13))-(EDATE($J13,((YEAR(Lists!K$21)-YEAR($J13))*12+MONTH(Lists!K$21)-MONTH($J13)))&gt;Lists!K$21)+1)))-IF(Lists!K$22&lt;$J13,0,MIN($AO13,(((YEAR(Lists!K$22)-YEAR($J13))*12+MONTH(Lists!K$22)-MONTH($J13))-(EDATE($J13,((YEAR(Lists!K$22)-YEAR($J13))*12+MONTH(Lists!K$22)-MONTH($J13)))&gt;Lists!K$22)+1)))),IF($AP13="F",IF(N($K13)&lt;=0,0,MIN(MAX(0,$H13),N($K13)*IF(Lists!K$21&lt;$J13,0,(((YEAR(Lists!K$21)-YEAR($J13))*12+MONTH(Lists!K$21)-MONTH($J13))-(EDATE($J13,((YEAR(Lists!K$21)-YEAR($J13))*12+MONTH(Lists!K$21)-MONTH($J13)))&gt;Lists!K$21)+1)))-MIN(MAX(0,$H13),N($K13)*IF(Lists!K$22&lt;$J13,0,(((YEAR(Lists!K$22)-YEAR($J13))*12+MONTH(Lists!K$22)-MONTH($J13))-(EDATE($J13,((YEAR(Lists!K$22)-YEAR($J13))*12+MONTH(Lists!K$22)-MONTH($J13)))&gt;Lists!K$22)+1)))),N($C13)*IF($AE13-$AD13&lt;1,($AD13&gt;Lists!K$22)*($AD13&lt;=Lists!K$21),MAX(0,MIN(Lists!K$21,$AE13)-MAX(Lists!K$22,$AD13))/($AE13-$AD13))+N($D13)*IF($AG13-$AF13&lt;1,($AF13&gt;Lists!K$22)*($AF13&lt;=Lists!K$21),MAX(0,MIN(Lists!K$21,$AG13)-MAX(Lists!K$22,$AF13))/($AG13-$AF13))+N($E13)*IF($AI13-$AH13&lt;1,($AH13&gt;Lists!K$22)*($AH13&lt;=Lists!K$21),MAX(0,MIN(Lists!K$21,$AI13)-MAX(Lists!K$22,$AH13))/($AI13-$AH13))+N($F13)*IF($AK13-$AJ13&lt;1,($AJ13&gt;Lists!K$22)*($AJ13&lt;=Lists!K$21),MAX(0,MIN(Lists!K$21,$AK13)-MAX(Lists!K$22,$AJ13))/($AK13-$AJ13))+N($G13)*IF($AM13-$AL13&lt;1,($AL13&gt;Lists!K$22)*($AL13&lt;=Lists!K$21),MAX(0,MIN(Lists!K$21,$AM13)-MAX(Lists!K$22,$AL13))/($AM13-$AL13))))))))</f>
        <v>29633.3333333333</v>
      </c>
      <c r="V13" s="53" t="n">
        <f aca="false">IF($H13=0,0,IF($AP13="X",0,IF($AP13="S",$H13/$AO13*(MIN($AO13,MAX(0,INT((Lists!L$21-N($J13))/7)+1))-MIN($AO13,MAX(0,INT((Lists!L$22-N($J13))/7)+1))),IF($AP13="D",$H13*MAX(0,MIN(Lists!L$21,N($J13)+$AO13)-MAX(Lists!L$22,N($J13)))/$AO13,IF($AP13="M",$H13/$AO13*(IF(Lists!L$21&lt;$J13,0,MIN($AO13,(((YEAR(Lists!L$21)-YEAR($J13))*12+MONTH(Lists!L$21)-MONTH($J13))-(EDATE($J13,((YEAR(Lists!L$21)-YEAR($J13))*12+MONTH(Lists!L$21)-MONTH($J13)))&gt;Lists!L$21)+1)))-IF(Lists!L$22&lt;$J13,0,MIN($AO13,(((YEAR(Lists!L$22)-YEAR($J13))*12+MONTH(Lists!L$22)-MONTH($J13))-(EDATE($J13,((YEAR(Lists!L$22)-YEAR($J13))*12+MONTH(Lists!L$22)-MONTH($J13)))&gt;Lists!L$22)+1)))),IF($AP13="F",IF(N($K13)&lt;=0,0,MIN(MAX(0,$H13),N($K13)*IF(Lists!L$21&lt;$J13,0,(((YEAR(Lists!L$21)-YEAR($J13))*12+MONTH(Lists!L$21)-MONTH($J13))-(EDATE($J13,((YEAR(Lists!L$21)-YEAR($J13))*12+MONTH(Lists!L$21)-MONTH($J13)))&gt;Lists!L$21)+1)))-MIN(MAX(0,$H13),N($K13)*IF(Lists!L$22&lt;$J13,0,(((YEAR(Lists!L$22)-YEAR($J13))*12+MONTH(Lists!L$22)-MONTH($J13))-(EDATE($J13,((YEAR(Lists!L$22)-YEAR($J13))*12+MONTH(Lists!L$22)-MONTH($J13)))&gt;Lists!L$22)+1)))),N($C13)*IF($AE13-$AD13&lt;1,($AD13&gt;Lists!L$22)*($AD13&lt;=Lists!L$21),MAX(0,MIN(Lists!L$21,$AE13)-MAX(Lists!L$22,$AD13))/($AE13-$AD13))+N($D13)*IF($AG13-$AF13&lt;1,($AF13&gt;Lists!L$22)*($AF13&lt;=Lists!L$21),MAX(0,MIN(Lists!L$21,$AG13)-MAX(Lists!L$22,$AF13))/($AG13-$AF13))+N($E13)*IF($AI13-$AH13&lt;1,($AH13&gt;Lists!L$22)*($AH13&lt;=Lists!L$21),MAX(0,MIN(Lists!L$21,$AI13)-MAX(Lists!L$22,$AH13))/($AI13-$AH13))+N($F13)*IF($AK13-$AJ13&lt;1,($AJ13&gt;Lists!L$22)*($AJ13&lt;=Lists!L$21),MAX(0,MIN(Lists!L$21,$AK13)-MAX(Lists!L$22,$AJ13))/($AK13-$AJ13))+N($G13)*IF($AM13-$AL13&lt;1,($AL13&gt;Lists!L$22)*($AL13&lt;=Lists!L$21),MAX(0,MIN(Lists!L$21,$AM13)-MAX(Lists!L$22,$AL13))/($AM13-$AL13))))))))</f>
        <v>0</v>
      </c>
      <c r="W13" s="53" t="n">
        <f aca="false">IF($H13=0,0,IF($AP13="X",0,IF($AP13="S",$H13/$AO13*(MIN($AO13,MAX(0,INT((Lists!M$21-N($J13))/7)+1))-MIN($AO13,MAX(0,INT((Lists!M$22-N($J13))/7)+1))),IF($AP13="D",$H13*MAX(0,MIN(Lists!M$21,N($J13)+$AO13)-MAX(Lists!M$22,N($J13)))/$AO13,IF($AP13="M",$H13/$AO13*(IF(Lists!M$21&lt;$J13,0,MIN($AO13,(((YEAR(Lists!M$21)-YEAR($J13))*12+MONTH(Lists!M$21)-MONTH($J13))-(EDATE($J13,((YEAR(Lists!M$21)-YEAR($J13))*12+MONTH(Lists!M$21)-MONTH($J13)))&gt;Lists!M$21)+1)))-IF(Lists!M$22&lt;$J13,0,MIN($AO13,(((YEAR(Lists!M$22)-YEAR($J13))*12+MONTH(Lists!M$22)-MONTH($J13))-(EDATE($J13,((YEAR(Lists!M$22)-YEAR($J13))*12+MONTH(Lists!M$22)-MONTH($J13)))&gt;Lists!M$22)+1)))),IF($AP13="F",IF(N($K13)&lt;=0,0,MIN(MAX(0,$H13),N($K13)*IF(Lists!M$21&lt;$J13,0,(((YEAR(Lists!M$21)-YEAR($J13))*12+MONTH(Lists!M$21)-MONTH($J13))-(EDATE($J13,((YEAR(Lists!M$21)-YEAR($J13))*12+MONTH(Lists!M$21)-MONTH($J13)))&gt;Lists!M$21)+1)))-MIN(MAX(0,$H13),N($K13)*IF(Lists!M$22&lt;$J13,0,(((YEAR(Lists!M$22)-YEAR($J13))*12+MONTH(Lists!M$22)-MONTH($J13))-(EDATE($J13,((YEAR(Lists!M$22)-YEAR($J13))*12+MONTH(Lists!M$22)-MONTH($J13)))&gt;Lists!M$22)+1)))),N($C13)*IF($AE13-$AD13&lt;1,($AD13&gt;Lists!M$22)*($AD13&lt;=Lists!M$21),MAX(0,MIN(Lists!M$21,$AE13)-MAX(Lists!M$22,$AD13))/($AE13-$AD13))+N($D13)*IF($AG13-$AF13&lt;1,($AF13&gt;Lists!M$22)*($AF13&lt;=Lists!M$21),MAX(0,MIN(Lists!M$21,$AG13)-MAX(Lists!M$22,$AF13))/($AG13-$AF13))+N($E13)*IF($AI13-$AH13&lt;1,($AH13&gt;Lists!M$22)*($AH13&lt;=Lists!M$21),MAX(0,MIN(Lists!M$21,$AI13)-MAX(Lists!M$22,$AH13))/($AI13-$AH13))+N($F13)*IF($AK13-$AJ13&lt;1,($AJ13&gt;Lists!M$22)*($AJ13&lt;=Lists!M$21),MAX(0,MIN(Lists!M$21,$AK13)-MAX(Lists!M$22,$AJ13))/($AK13-$AJ13))+N($G13)*IF($AM13-$AL13&lt;1,($AL13&gt;Lists!M$22)*($AL13&lt;=Lists!M$21),MAX(0,MIN(Lists!M$21,$AM13)-MAX(Lists!M$22,$AL13))/($AM13-$AL13))))))))</f>
        <v>0</v>
      </c>
      <c r="X13" s="53" t="n">
        <f aca="false">IF($H13=0,0,IF($AP13="X",0,IF($AP13="S",$H13/$AO13*(MIN($AO13,MAX(0,INT((Lists!N$21-N($J13))/7)+1))-MIN($AO13,MAX(0,INT((Lists!N$22-N($J13))/7)+1))),IF($AP13="D",$H13*MAX(0,MIN(Lists!N$21,N($J13)+$AO13)-MAX(Lists!N$22,N($J13)))/$AO13,IF($AP13="M",$H13/$AO13*(IF(Lists!N$21&lt;$J13,0,MIN($AO13,(((YEAR(Lists!N$21)-YEAR($J13))*12+MONTH(Lists!N$21)-MONTH($J13))-(EDATE($J13,((YEAR(Lists!N$21)-YEAR($J13))*12+MONTH(Lists!N$21)-MONTH($J13)))&gt;Lists!N$21)+1)))-IF(Lists!N$22&lt;$J13,0,MIN($AO13,(((YEAR(Lists!N$22)-YEAR($J13))*12+MONTH(Lists!N$22)-MONTH($J13))-(EDATE($J13,((YEAR(Lists!N$22)-YEAR($J13))*12+MONTH(Lists!N$22)-MONTH($J13)))&gt;Lists!N$22)+1)))),IF($AP13="F",IF(N($K13)&lt;=0,0,MIN(MAX(0,$H13),N($K13)*IF(Lists!N$21&lt;$J13,0,(((YEAR(Lists!N$21)-YEAR($J13))*12+MONTH(Lists!N$21)-MONTH($J13))-(EDATE($J13,((YEAR(Lists!N$21)-YEAR($J13))*12+MONTH(Lists!N$21)-MONTH($J13)))&gt;Lists!N$21)+1)))-MIN(MAX(0,$H13),N($K13)*IF(Lists!N$22&lt;$J13,0,(((YEAR(Lists!N$22)-YEAR($J13))*12+MONTH(Lists!N$22)-MONTH($J13))-(EDATE($J13,((YEAR(Lists!N$22)-YEAR($J13))*12+MONTH(Lists!N$22)-MONTH($J13)))&gt;Lists!N$22)+1)))),N($C13)*IF($AE13-$AD13&lt;1,($AD13&gt;Lists!N$22)*($AD13&lt;=Lists!N$21),MAX(0,MIN(Lists!N$21,$AE13)-MAX(Lists!N$22,$AD13))/($AE13-$AD13))+N($D13)*IF($AG13-$AF13&lt;1,($AF13&gt;Lists!N$22)*($AF13&lt;=Lists!N$21),MAX(0,MIN(Lists!N$21,$AG13)-MAX(Lists!N$22,$AF13))/($AG13-$AF13))+N($E13)*IF($AI13-$AH13&lt;1,($AH13&gt;Lists!N$22)*($AH13&lt;=Lists!N$21),MAX(0,MIN(Lists!N$21,$AI13)-MAX(Lists!N$22,$AH13))/($AI13-$AH13))+N($F13)*IF($AK13-$AJ13&lt;1,($AJ13&gt;Lists!N$22)*($AJ13&lt;=Lists!N$21),MAX(0,MIN(Lists!N$21,$AK13)-MAX(Lists!N$22,$AJ13))/($AK13-$AJ13))+N($G13)*IF($AM13-$AL13&lt;1,($AL13&gt;Lists!N$22)*($AL13&lt;=Lists!N$21),MAX(0,MIN(Lists!N$21,$AM13)-MAX(Lists!N$22,$AL13))/($AM13-$AL13))))))))</f>
        <v>0</v>
      </c>
      <c r="Y13" s="53" t="n">
        <f aca="false">IF($H13=0,0,IF($AP13="X",0,IF($AP13="S",$H13/$AO13*(MIN($AO13,MAX(0,INT((Lists!O$21-N($J13))/7)+1))-MIN($AO13,MAX(0,INT((Lists!O$22-N($J13))/7)+1))),IF($AP13="D",$H13*MAX(0,MIN(Lists!O$21,N($J13)+$AO13)-MAX(Lists!O$22,N($J13)))/$AO13,IF($AP13="M",$H13/$AO13*(IF(Lists!O$21&lt;$J13,0,MIN($AO13,(((YEAR(Lists!O$21)-YEAR($J13))*12+MONTH(Lists!O$21)-MONTH($J13))-(EDATE($J13,((YEAR(Lists!O$21)-YEAR($J13))*12+MONTH(Lists!O$21)-MONTH($J13)))&gt;Lists!O$21)+1)))-IF(Lists!O$22&lt;$J13,0,MIN($AO13,(((YEAR(Lists!O$22)-YEAR($J13))*12+MONTH(Lists!O$22)-MONTH($J13))-(EDATE($J13,((YEAR(Lists!O$22)-YEAR($J13))*12+MONTH(Lists!O$22)-MONTH($J13)))&gt;Lists!O$22)+1)))),IF($AP13="F",IF(N($K13)&lt;=0,0,MIN(MAX(0,$H13),N($K13)*IF(Lists!O$21&lt;$J13,0,(((YEAR(Lists!O$21)-YEAR($J13))*12+MONTH(Lists!O$21)-MONTH($J13))-(EDATE($J13,((YEAR(Lists!O$21)-YEAR($J13))*12+MONTH(Lists!O$21)-MONTH($J13)))&gt;Lists!O$21)+1)))-MIN(MAX(0,$H13),N($K13)*IF(Lists!O$22&lt;$J13,0,(((YEAR(Lists!O$22)-YEAR($J13))*12+MONTH(Lists!O$22)-MONTH($J13))-(EDATE($J13,((YEAR(Lists!O$22)-YEAR($J13))*12+MONTH(Lists!O$22)-MONTH($J13)))&gt;Lists!O$22)+1)))),N($C13)*IF($AE13-$AD13&lt;1,($AD13&gt;Lists!O$22)*($AD13&lt;=Lists!O$21),MAX(0,MIN(Lists!O$21,$AE13)-MAX(Lists!O$22,$AD13))/($AE13-$AD13))+N($D13)*IF($AG13-$AF13&lt;1,($AF13&gt;Lists!O$22)*($AF13&lt;=Lists!O$21),MAX(0,MIN(Lists!O$21,$AG13)-MAX(Lists!O$22,$AF13))/($AG13-$AF13))+N($E13)*IF($AI13-$AH13&lt;1,($AH13&gt;Lists!O$22)*($AH13&lt;=Lists!O$21),MAX(0,MIN(Lists!O$21,$AI13)-MAX(Lists!O$22,$AH13))/($AI13-$AH13))+N($F13)*IF($AK13-$AJ13&lt;1,($AJ13&gt;Lists!O$22)*($AJ13&lt;=Lists!O$21),MAX(0,MIN(Lists!O$21,$AK13)-MAX(Lists!O$22,$AJ13))/($AK13-$AJ13))+N($G13)*IF($AM13-$AL13&lt;1,($AL13&gt;Lists!O$22)*($AL13&lt;=Lists!O$21),MAX(0,MIN(Lists!O$21,$AM13)-MAX(Lists!O$22,$AL13))/($AM13-$AL13))))))))</f>
        <v>0</v>
      </c>
      <c r="Z13" s="46" t="n">
        <f aca="false">SUM(M13:Y13)</f>
        <v>270000</v>
      </c>
      <c r="AA13" s="92" t="n">
        <f aca="false">H13-Z13</f>
        <v>5000</v>
      </c>
      <c r="AB13" s="55"/>
      <c r="AC13" s="2"/>
      <c r="AD13" s="93" t="n">
        <f aca="false">Setup!$D$10+MAX(0,$AN13-30)</f>
        <v>46365</v>
      </c>
      <c r="AE13" s="93" t="n">
        <f aca="false">Setup!$D$10+IF($AN13-30&lt;0,MAX(Setup!$D$22,$AN13-0),$AN13-0)</f>
        <v>46395</v>
      </c>
      <c r="AF13" s="93" t="n">
        <f aca="false">Setup!$D$10+MAX(0,$AN13-60)</f>
        <v>46335</v>
      </c>
      <c r="AG13" s="93" t="n">
        <f aca="false">Setup!$D$10+IF($AN13-60&lt;0,MAX(Setup!$D$22,$AN13-31),$AN13-31)</f>
        <v>46364</v>
      </c>
      <c r="AH13" s="93" t="n">
        <f aca="false">Setup!$D$10+MAX(0,$AN13-90)</f>
        <v>46335</v>
      </c>
      <c r="AI13" s="93" t="n">
        <f aca="false">Setup!$D$10+IF($AN13-90&lt;0,MAX(Setup!$D$22,$AN13-61),$AN13-61)</f>
        <v>46363</v>
      </c>
      <c r="AJ13" s="93" t="n">
        <f aca="false">Setup!$D$10+MAX(0,$AN13-120)</f>
        <v>46335</v>
      </c>
      <c r="AK13" s="93" t="n">
        <f aca="false">Setup!$D$10+IF($AN13-120&lt;0,MAX(Setup!$D$22,$AN13-91),$AN13-91)</f>
        <v>46363</v>
      </c>
      <c r="AL13" s="93" t="n">
        <f aca="false">IF(Setup!$D$23="Yes",2958465,Setup!$D$10)</f>
        <v>2958465</v>
      </c>
      <c r="AM13" s="93" t="n">
        <f aca="false">IF(AL13=2958465,AL13,Setup!$D$10+Setup!$D$22)</f>
        <v>2958465</v>
      </c>
      <c r="AN13" s="94" t="n">
        <f aca="false">IF(N(L13)=0,Setup!$D$20,L13)</f>
        <v>60</v>
      </c>
      <c r="AO13" s="94" t="n">
        <f aca="false">MAX(1,ROUND(N(K13),0))</f>
        <v>1</v>
      </c>
      <c r="AP13" s="95" t="str">
        <f aca="false">IF(I13="Doubtful","X",IF(N(J13)=0,"A",IF(I13="Specific date","S",IF(I13="Spread over days","D",IF(I13="Monthly on set day","M",IF(I13="Monthly fixed amount","F","A"))))))</f>
        <v>A</v>
      </c>
    </row>
    <row r="14" customFormat="false" ht="15" hidden="false" customHeight="false" outlineLevel="0" collapsed="false">
      <c r="A14" s="87" t="n">
        <v>6</v>
      </c>
      <c r="B14" s="55"/>
      <c r="C14" s="88"/>
      <c r="D14" s="88"/>
      <c r="E14" s="88"/>
      <c r="F14" s="88"/>
      <c r="G14" s="88"/>
      <c r="H14" s="89" t="n">
        <f aca="false">SUM(C14:G14)</f>
        <v>0</v>
      </c>
      <c r="I14" s="58"/>
      <c r="J14" s="90"/>
      <c r="K14" s="91"/>
      <c r="L14" s="80"/>
      <c r="M14" s="53" t="n">
        <f aca="false">IF($H14=0,0,IF($AP14="X",0,IF($AP14="S",$H14/$AO14*(MIN($AO14,MAX(0,INT((Lists!C$21-N($J14))/7)+1))-MIN($AO14,MAX(0,INT((Lists!C$22-N($J14))/7)+1))),IF($AP14="D",$H14*MAX(0,MIN(Lists!C$21,N($J14)+$AO14)-MAX(Lists!C$22,N($J14)))/$AO14,IF($AP14="M",$H14/$AO14*(IF(Lists!C$21&lt;$J14,0,MIN($AO14,(((YEAR(Lists!C$21)-YEAR($J14))*12+MONTH(Lists!C$21)-MONTH($J14))-(EDATE($J14,((YEAR(Lists!C$21)-YEAR($J14))*12+MONTH(Lists!C$21)-MONTH($J14)))&gt;Lists!C$21)+1)))-IF(Lists!C$22&lt;$J14,0,MIN($AO14,(((YEAR(Lists!C$22)-YEAR($J14))*12+MONTH(Lists!C$22)-MONTH($J14))-(EDATE($J14,((YEAR(Lists!C$22)-YEAR($J14))*12+MONTH(Lists!C$22)-MONTH($J14)))&gt;Lists!C$22)+1)))),IF($AP14="F",IF(N($K14)&lt;=0,0,MIN(MAX(0,$H14),N($K14)*IF(Lists!C$21&lt;$J14,0,(((YEAR(Lists!C$21)-YEAR($J14))*12+MONTH(Lists!C$21)-MONTH($J14))-(EDATE($J14,((YEAR(Lists!C$21)-YEAR($J14))*12+MONTH(Lists!C$21)-MONTH($J14)))&gt;Lists!C$21)+1)))-MIN(MAX(0,$H14),N($K14)*IF(Lists!C$22&lt;$J14,0,(((YEAR(Lists!C$22)-YEAR($J14))*12+MONTH(Lists!C$22)-MONTH($J14))-(EDATE($J14,((YEAR(Lists!C$22)-YEAR($J14))*12+MONTH(Lists!C$22)-MONTH($J14)))&gt;Lists!C$22)+1)))),N($C14)*IF($AE14-$AD14&lt;1,($AD14&gt;Lists!C$22)*($AD14&lt;=Lists!C$21),MAX(0,MIN(Lists!C$21,$AE14)-MAX(Lists!C$22,$AD14))/($AE14-$AD14))+N($D14)*IF($AG14-$AF14&lt;1,($AF14&gt;Lists!C$22)*($AF14&lt;=Lists!C$21),MAX(0,MIN(Lists!C$21,$AG14)-MAX(Lists!C$22,$AF14))/($AG14-$AF14))+N($E14)*IF($AI14-$AH14&lt;1,($AH14&gt;Lists!C$22)*($AH14&lt;=Lists!C$21),MAX(0,MIN(Lists!C$21,$AI14)-MAX(Lists!C$22,$AH14))/($AI14-$AH14))+N($F14)*IF($AK14-$AJ14&lt;1,($AJ14&gt;Lists!C$22)*($AJ14&lt;=Lists!C$21),MAX(0,MIN(Lists!C$21,$AK14)-MAX(Lists!C$22,$AJ14))/($AK14-$AJ14))+N($G14)*IF($AM14-$AL14&lt;1,($AL14&gt;Lists!C$22)*($AL14&lt;=Lists!C$21),MAX(0,MIN(Lists!C$21,$AM14)-MAX(Lists!C$22,$AL14))/($AM14-$AL14))))))))</f>
        <v>0</v>
      </c>
      <c r="N14" s="53" t="n">
        <f aca="false">IF($H14=0,0,IF($AP14="X",0,IF($AP14="S",$H14/$AO14*(MIN($AO14,MAX(0,INT((Lists!D$21-N($J14))/7)+1))-MIN($AO14,MAX(0,INT((Lists!D$22-N($J14))/7)+1))),IF($AP14="D",$H14*MAX(0,MIN(Lists!D$21,N($J14)+$AO14)-MAX(Lists!D$22,N($J14)))/$AO14,IF($AP14="M",$H14/$AO14*(IF(Lists!D$21&lt;$J14,0,MIN($AO14,(((YEAR(Lists!D$21)-YEAR($J14))*12+MONTH(Lists!D$21)-MONTH($J14))-(EDATE($J14,((YEAR(Lists!D$21)-YEAR($J14))*12+MONTH(Lists!D$21)-MONTH($J14)))&gt;Lists!D$21)+1)))-IF(Lists!D$22&lt;$J14,0,MIN($AO14,(((YEAR(Lists!D$22)-YEAR($J14))*12+MONTH(Lists!D$22)-MONTH($J14))-(EDATE($J14,((YEAR(Lists!D$22)-YEAR($J14))*12+MONTH(Lists!D$22)-MONTH($J14)))&gt;Lists!D$22)+1)))),IF($AP14="F",IF(N($K14)&lt;=0,0,MIN(MAX(0,$H14),N($K14)*IF(Lists!D$21&lt;$J14,0,(((YEAR(Lists!D$21)-YEAR($J14))*12+MONTH(Lists!D$21)-MONTH($J14))-(EDATE($J14,((YEAR(Lists!D$21)-YEAR($J14))*12+MONTH(Lists!D$21)-MONTH($J14)))&gt;Lists!D$21)+1)))-MIN(MAX(0,$H14),N($K14)*IF(Lists!D$22&lt;$J14,0,(((YEAR(Lists!D$22)-YEAR($J14))*12+MONTH(Lists!D$22)-MONTH($J14))-(EDATE($J14,((YEAR(Lists!D$22)-YEAR($J14))*12+MONTH(Lists!D$22)-MONTH($J14)))&gt;Lists!D$22)+1)))),N($C14)*IF($AE14-$AD14&lt;1,($AD14&gt;Lists!D$22)*($AD14&lt;=Lists!D$21),MAX(0,MIN(Lists!D$21,$AE14)-MAX(Lists!D$22,$AD14))/($AE14-$AD14))+N($D14)*IF($AG14-$AF14&lt;1,($AF14&gt;Lists!D$22)*($AF14&lt;=Lists!D$21),MAX(0,MIN(Lists!D$21,$AG14)-MAX(Lists!D$22,$AF14))/($AG14-$AF14))+N($E14)*IF($AI14-$AH14&lt;1,($AH14&gt;Lists!D$22)*($AH14&lt;=Lists!D$21),MAX(0,MIN(Lists!D$21,$AI14)-MAX(Lists!D$22,$AH14))/($AI14-$AH14))+N($F14)*IF($AK14-$AJ14&lt;1,($AJ14&gt;Lists!D$22)*($AJ14&lt;=Lists!D$21),MAX(0,MIN(Lists!D$21,$AK14)-MAX(Lists!D$22,$AJ14))/($AK14-$AJ14))+N($G14)*IF($AM14-$AL14&lt;1,($AL14&gt;Lists!D$22)*($AL14&lt;=Lists!D$21),MAX(0,MIN(Lists!D$21,$AM14)-MAX(Lists!D$22,$AL14))/($AM14-$AL14))))))))</f>
        <v>0</v>
      </c>
      <c r="O14" s="53" t="n">
        <f aca="false">IF($H14=0,0,IF($AP14="X",0,IF($AP14="S",$H14/$AO14*(MIN($AO14,MAX(0,INT((Lists!E$21-N($J14))/7)+1))-MIN($AO14,MAX(0,INT((Lists!E$22-N($J14))/7)+1))),IF($AP14="D",$H14*MAX(0,MIN(Lists!E$21,N($J14)+$AO14)-MAX(Lists!E$22,N($J14)))/$AO14,IF($AP14="M",$H14/$AO14*(IF(Lists!E$21&lt;$J14,0,MIN($AO14,(((YEAR(Lists!E$21)-YEAR($J14))*12+MONTH(Lists!E$21)-MONTH($J14))-(EDATE($J14,((YEAR(Lists!E$21)-YEAR($J14))*12+MONTH(Lists!E$21)-MONTH($J14)))&gt;Lists!E$21)+1)))-IF(Lists!E$22&lt;$J14,0,MIN($AO14,(((YEAR(Lists!E$22)-YEAR($J14))*12+MONTH(Lists!E$22)-MONTH($J14))-(EDATE($J14,((YEAR(Lists!E$22)-YEAR($J14))*12+MONTH(Lists!E$22)-MONTH($J14)))&gt;Lists!E$22)+1)))),IF($AP14="F",IF(N($K14)&lt;=0,0,MIN(MAX(0,$H14),N($K14)*IF(Lists!E$21&lt;$J14,0,(((YEAR(Lists!E$21)-YEAR($J14))*12+MONTH(Lists!E$21)-MONTH($J14))-(EDATE($J14,((YEAR(Lists!E$21)-YEAR($J14))*12+MONTH(Lists!E$21)-MONTH($J14)))&gt;Lists!E$21)+1)))-MIN(MAX(0,$H14),N($K14)*IF(Lists!E$22&lt;$J14,0,(((YEAR(Lists!E$22)-YEAR($J14))*12+MONTH(Lists!E$22)-MONTH($J14))-(EDATE($J14,((YEAR(Lists!E$22)-YEAR($J14))*12+MONTH(Lists!E$22)-MONTH($J14)))&gt;Lists!E$22)+1)))),N($C14)*IF($AE14-$AD14&lt;1,($AD14&gt;Lists!E$22)*($AD14&lt;=Lists!E$21),MAX(0,MIN(Lists!E$21,$AE14)-MAX(Lists!E$22,$AD14))/($AE14-$AD14))+N($D14)*IF($AG14-$AF14&lt;1,($AF14&gt;Lists!E$22)*($AF14&lt;=Lists!E$21),MAX(0,MIN(Lists!E$21,$AG14)-MAX(Lists!E$22,$AF14))/($AG14-$AF14))+N($E14)*IF($AI14-$AH14&lt;1,($AH14&gt;Lists!E$22)*($AH14&lt;=Lists!E$21),MAX(0,MIN(Lists!E$21,$AI14)-MAX(Lists!E$22,$AH14))/($AI14-$AH14))+N($F14)*IF($AK14-$AJ14&lt;1,($AJ14&gt;Lists!E$22)*($AJ14&lt;=Lists!E$21),MAX(0,MIN(Lists!E$21,$AK14)-MAX(Lists!E$22,$AJ14))/($AK14-$AJ14))+N($G14)*IF($AM14-$AL14&lt;1,($AL14&gt;Lists!E$22)*($AL14&lt;=Lists!E$21),MAX(0,MIN(Lists!E$21,$AM14)-MAX(Lists!E$22,$AL14))/($AM14-$AL14))))))))</f>
        <v>0</v>
      </c>
      <c r="P14" s="53" t="n">
        <f aca="false">IF($H14=0,0,IF($AP14="X",0,IF($AP14="S",$H14/$AO14*(MIN($AO14,MAX(0,INT((Lists!F$21-N($J14))/7)+1))-MIN($AO14,MAX(0,INT((Lists!F$22-N($J14))/7)+1))),IF($AP14="D",$H14*MAX(0,MIN(Lists!F$21,N($J14)+$AO14)-MAX(Lists!F$22,N($J14)))/$AO14,IF($AP14="M",$H14/$AO14*(IF(Lists!F$21&lt;$J14,0,MIN($AO14,(((YEAR(Lists!F$21)-YEAR($J14))*12+MONTH(Lists!F$21)-MONTH($J14))-(EDATE($J14,((YEAR(Lists!F$21)-YEAR($J14))*12+MONTH(Lists!F$21)-MONTH($J14)))&gt;Lists!F$21)+1)))-IF(Lists!F$22&lt;$J14,0,MIN($AO14,(((YEAR(Lists!F$22)-YEAR($J14))*12+MONTH(Lists!F$22)-MONTH($J14))-(EDATE($J14,((YEAR(Lists!F$22)-YEAR($J14))*12+MONTH(Lists!F$22)-MONTH($J14)))&gt;Lists!F$22)+1)))),IF($AP14="F",IF(N($K14)&lt;=0,0,MIN(MAX(0,$H14),N($K14)*IF(Lists!F$21&lt;$J14,0,(((YEAR(Lists!F$21)-YEAR($J14))*12+MONTH(Lists!F$21)-MONTH($J14))-(EDATE($J14,((YEAR(Lists!F$21)-YEAR($J14))*12+MONTH(Lists!F$21)-MONTH($J14)))&gt;Lists!F$21)+1)))-MIN(MAX(0,$H14),N($K14)*IF(Lists!F$22&lt;$J14,0,(((YEAR(Lists!F$22)-YEAR($J14))*12+MONTH(Lists!F$22)-MONTH($J14))-(EDATE($J14,((YEAR(Lists!F$22)-YEAR($J14))*12+MONTH(Lists!F$22)-MONTH($J14)))&gt;Lists!F$22)+1)))),N($C14)*IF($AE14-$AD14&lt;1,($AD14&gt;Lists!F$22)*($AD14&lt;=Lists!F$21),MAX(0,MIN(Lists!F$21,$AE14)-MAX(Lists!F$22,$AD14))/($AE14-$AD14))+N($D14)*IF($AG14-$AF14&lt;1,($AF14&gt;Lists!F$22)*($AF14&lt;=Lists!F$21),MAX(0,MIN(Lists!F$21,$AG14)-MAX(Lists!F$22,$AF14))/($AG14-$AF14))+N($E14)*IF($AI14-$AH14&lt;1,($AH14&gt;Lists!F$22)*($AH14&lt;=Lists!F$21),MAX(0,MIN(Lists!F$21,$AI14)-MAX(Lists!F$22,$AH14))/($AI14-$AH14))+N($F14)*IF($AK14-$AJ14&lt;1,($AJ14&gt;Lists!F$22)*($AJ14&lt;=Lists!F$21),MAX(0,MIN(Lists!F$21,$AK14)-MAX(Lists!F$22,$AJ14))/($AK14-$AJ14))+N($G14)*IF($AM14-$AL14&lt;1,($AL14&gt;Lists!F$22)*($AL14&lt;=Lists!F$21),MAX(0,MIN(Lists!F$21,$AM14)-MAX(Lists!F$22,$AL14))/($AM14-$AL14))))))))</f>
        <v>0</v>
      </c>
      <c r="Q14" s="53" t="n">
        <f aca="false">IF($H14=0,0,IF($AP14="X",0,IF($AP14="S",$H14/$AO14*(MIN($AO14,MAX(0,INT((Lists!G$21-N($J14))/7)+1))-MIN($AO14,MAX(0,INT((Lists!G$22-N($J14))/7)+1))),IF($AP14="D",$H14*MAX(0,MIN(Lists!G$21,N($J14)+$AO14)-MAX(Lists!G$22,N($J14)))/$AO14,IF($AP14="M",$H14/$AO14*(IF(Lists!G$21&lt;$J14,0,MIN($AO14,(((YEAR(Lists!G$21)-YEAR($J14))*12+MONTH(Lists!G$21)-MONTH($J14))-(EDATE($J14,((YEAR(Lists!G$21)-YEAR($J14))*12+MONTH(Lists!G$21)-MONTH($J14)))&gt;Lists!G$21)+1)))-IF(Lists!G$22&lt;$J14,0,MIN($AO14,(((YEAR(Lists!G$22)-YEAR($J14))*12+MONTH(Lists!G$22)-MONTH($J14))-(EDATE($J14,((YEAR(Lists!G$22)-YEAR($J14))*12+MONTH(Lists!G$22)-MONTH($J14)))&gt;Lists!G$22)+1)))),IF($AP14="F",IF(N($K14)&lt;=0,0,MIN(MAX(0,$H14),N($K14)*IF(Lists!G$21&lt;$J14,0,(((YEAR(Lists!G$21)-YEAR($J14))*12+MONTH(Lists!G$21)-MONTH($J14))-(EDATE($J14,((YEAR(Lists!G$21)-YEAR($J14))*12+MONTH(Lists!G$21)-MONTH($J14)))&gt;Lists!G$21)+1)))-MIN(MAX(0,$H14),N($K14)*IF(Lists!G$22&lt;$J14,0,(((YEAR(Lists!G$22)-YEAR($J14))*12+MONTH(Lists!G$22)-MONTH($J14))-(EDATE($J14,((YEAR(Lists!G$22)-YEAR($J14))*12+MONTH(Lists!G$22)-MONTH($J14)))&gt;Lists!G$22)+1)))),N($C14)*IF($AE14-$AD14&lt;1,($AD14&gt;Lists!G$22)*($AD14&lt;=Lists!G$21),MAX(0,MIN(Lists!G$21,$AE14)-MAX(Lists!G$22,$AD14))/($AE14-$AD14))+N($D14)*IF($AG14-$AF14&lt;1,($AF14&gt;Lists!G$22)*($AF14&lt;=Lists!G$21),MAX(0,MIN(Lists!G$21,$AG14)-MAX(Lists!G$22,$AF14))/($AG14-$AF14))+N($E14)*IF($AI14-$AH14&lt;1,($AH14&gt;Lists!G$22)*($AH14&lt;=Lists!G$21),MAX(0,MIN(Lists!G$21,$AI14)-MAX(Lists!G$22,$AH14))/($AI14-$AH14))+N($F14)*IF($AK14-$AJ14&lt;1,($AJ14&gt;Lists!G$22)*($AJ14&lt;=Lists!G$21),MAX(0,MIN(Lists!G$21,$AK14)-MAX(Lists!G$22,$AJ14))/($AK14-$AJ14))+N($G14)*IF($AM14-$AL14&lt;1,($AL14&gt;Lists!G$22)*($AL14&lt;=Lists!G$21),MAX(0,MIN(Lists!G$21,$AM14)-MAX(Lists!G$22,$AL14))/($AM14-$AL14))))))))</f>
        <v>0</v>
      </c>
      <c r="R14" s="53" t="n">
        <f aca="false">IF($H14=0,0,IF($AP14="X",0,IF($AP14="S",$H14/$AO14*(MIN($AO14,MAX(0,INT((Lists!H$21-N($J14))/7)+1))-MIN($AO14,MAX(0,INT((Lists!H$22-N($J14))/7)+1))),IF($AP14="D",$H14*MAX(0,MIN(Lists!H$21,N($J14)+$AO14)-MAX(Lists!H$22,N($J14)))/$AO14,IF($AP14="M",$H14/$AO14*(IF(Lists!H$21&lt;$J14,0,MIN($AO14,(((YEAR(Lists!H$21)-YEAR($J14))*12+MONTH(Lists!H$21)-MONTH($J14))-(EDATE($J14,((YEAR(Lists!H$21)-YEAR($J14))*12+MONTH(Lists!H$21)-MONTH($J14)))&gt;Lists!H$21)+1)))-IF(Lists!H$22&lt;$J14,0,MIN($AO14,(((YEAR(Lists!H$22)-YEAR($J14))*12+MONTH(Lists!H$22)-MONTH($J14))-(EDATE($J14,((YEAR(Lists!H$22)-YEAR($J14))*12+MONTH(Lists!H$22)-MONTH($J14)))&gt;Lists!H$22)+1)))),IF($AP14="F",IF(N($K14)&lt;=0,0,MIN(MAX(0,$H14),N($K14)*IF(Lists!H$21&lt;$J14,0,(((YEAR(Lists!H$21)-YEAR($J14))*12+MONTH(Lists!H$21)-MONTH($J14))-(EDATE($J14,((YEAR(Lists!H$21)-YEAR($J14))*12+MONTH(Lists!H$21)-MONTH($J14)))&gt;Lists!H$21)+1)))-MIN(MAX(0,$H14),N($K14)*IF(Lists!H$22&lt;$J14,0,(((YEAR(Lists!H$22)-YEAR($J14))*12+MONTH(Lists!H$22)-MONTH($J14))-(EDATE($J14,((YEAR(Lists!H$22)-YEAR($J14))*12+MONTH(Lists!H$22)-MONTH($J14)))&gt;Lists!H$22)+1)))),N($C14)*IF($AE14-$AD14&lt;1,($AD14&gt;Lists!H$22)*($AD14&lt;=Lists!H$21),MAX(0,MIN(Lists!H$21,$AE14)-MAX(Lists!H$22,$AD14))/($AE14-$AD14))+N($D14)*IF($AG14-$AF14&lt;1,($AF14&gt;Lists!H$22)*($AF14&lt;=Lists!H$21),MAX(0,MIN(Lists!H$21,$AG14)-MAX(Lists!H$22,$AF14))/($AG14-$AF14))+N($E14)*IF($AI14-$AH14&lt;1,($AH14&gt;Lists!H$22)*($AH14&lt;=Lists!H$21),MAX(0,MIN(Lists!H$21,$AI14)-MAX(Lists!H$22,$AH14))/($AI14-$AH14))+N($F14)*IF($AK14-$AJ14&lt;1,($AJ14&gt;Lists!H$22)*($AJ14&lt;=Lists!H$21),MAX(0,MIN(Lists!H$21,$AK14)-MAX(Lists!H$22,$AJ14))/($AK14-$AJ14))+N($G14)*IF($AM14-$AL14&lt;1,($AL14&gt;Lists!H$22)*($AL14&lt;=Lists!H$21),MAX(0,MIN(Lists!H$21,$AM14)-MAX(Lists!H$22,$AL14))/($AM14-$AL14))))))))</f>
        <v>0</v>
      </c>
      <c r="S14" s="53" t="n">
        <f aca="false">IF($H14=0,0,IF($AP14="X",0,IF($AP14="S",$H14/$AO14*(MIN($AO14,MAX(0,INT((Lists!I$21-N($J14))/7)+1))-MIN($AO14,MAX(0,INT((Lists!I$22-N($J14))/7)+1))),IF($AP14="D",$H14*MAX(0,MIN(Lists!I$21,N($J14)+$AO14)-MAX(Lists!I$22,N($J14)))/$AO14,IF($AP14="M",$H14/$AO14*(IF(Lists!I$21&lt;$J14,0,MIN($AO14,(((YEAR(Lists!I$21)-YEAR($J14))*12+MONTH(Lists!I$21)-MONTH($J14))-(EDATE($J14,((YEAR(Lists!I$21)-YEAR($J14))*12+MONTH(Lists!I$21)-MONTH($J14)))&gt;Lists!I$21)+1)))-IF(Lists!I$22&lt;$J14,0,MIN($AO14,(((YEAR(Lists!I$22)-YEAR($J14))*12+MONTH(Lists!I$22)-MONTH($J14))-(EDATE($J14,((YEAR(Lists!I$22)-YEAR($J14))*12+MONTH(Lists!I$22)-MONTH($J14)))&gt;Lists!I$22)+1)))),IF($AP14="F",IF(N($K14)&lt;=0,0,MIN(MAX(0,$H14),N($K14)*IF(Lists!I$21&lt;$J14,0,(((YEAR(Lists!I$21)-YEAR($J14))*12+MONTH(Lists!I$21)-MONTH($J14))-(EDATE($J14,((YEAR(Lists!I$21)-YEAR($J14))*12+MONTH(Lists!I$21)-MONTH($J14)))&gt;Lists!I$21)+1)))-MIN(MAX(0,$H14),N($K14)*IF(Lists!I$22&lt;$J14,0,(((YEAR(Lists!I$22)-YEAR($J14))*12+MONTH(Lists!I$22)-MONTH($J14))-(EDATE($J14,((YEAR(Lists!I$22)-YEAR($J14))*12+MONTH(Lists!I$22)-MONTH($J14)))&gt;Lists!I$22)+1)))),N($C14)*IF($AE14-$AD14&lt;1,($AD14&gt;Lists!I$22)*($AD14&lt;=Lists!I$21),MAX(0,MIN(Lists!I$21,$AE14)-MAX(Lists!I$22,$AD14))/($AE14-$AD14))+N($D14)*IF($AG14-$AF14&lt;1,($AF14&gt;Lists!I$22)*($AF14&lt;=Lists!I$21),MAX(0,MIN(Lists!I$21,$AG14)-MAX(Lists!I$22,$AF14))/($AG14-$AF14))+N($E14)*IF($AI14-$AH14&lt;1,($AH14&gt;Lists!I$22)*($AH14&lt;=Lists!I$21),MAX(0,MIN(Lists!I$21,$AI14)-MAX(Lists!I$22,$AH14))/($AI14-$AH14))+N($F14)*IF($AK14-$AJ14&lt;1,($AJ14&gt;Lists!I$22)*($AJ14&lt;=Lists!I$21),MAX(0,MIN(Lists!I$21,$AK14)-MAX(Lists!I$22,$AJ14))/($AK14-$AJ14))+N($G14)*IF($AM14-$AL14&lt;1,($AL14&gt;Lists!I$22)*($AL14&lt;=Lists!I$21),MAX(0,MIN(Lists!I$21,$AM14)-MAX(Lists!I$22,$AL14))/($AM14-$AL14))))))))</f>
        <v>0</v>
      </c>
      <c r="T14" s="53" t="n">
        <f aca="false">IF($H14=0,0,IF($AP14="X",0,IF($AP14="S",$H14/$AO14*(MIN($AO14,MAX(0,INT((Lists!J$21-N($J14))/7)+1))-MIN($AO14,MAX(0,INT((Lists!J$22-N($J14))/7)+1))),IF($AP14="D",$H14*MAX(0,MIN(Lists!J$21,N($J14)+$AO14)-MAX(Lists!J$22,N($J14)))/$AO14,IF($AP14="M",$H14/$AO14*(IF(Lists!J$21&lt;$J14,0,MIN($AO14,(((YEAR(Lists!J$21)-YEAR($J14))*12+MONTH(Lists!J$21)-MONTH($J14))-(EDATE($J14,((YEAR(Lists!J$21)-YEAR($J14))*12+MONTH(Lists!J$21)-MONTH($J14)))&gt;Lists!J$21)+1)))-IF(Lists!J$22&lt;$J14,0,MIN($AO14,(((YEAR(Lists!J$22)-YEAR($J14))*12+MONTH(Lists!J$22)-MONTH($J14))-(EDATE($J14,((YEAR(Lists!J$22)-YEAR($J14))*12+MONTH(Lists!J$22)-MONTH($J14)))&gt;Lists!J$22)+1)))),IF($AP14="F",IF(N($K14)&lt;=0,0,MIN(MAX(0,$H14),N($K14)*IF(Lists!J$21&lt;$J14,0,(((YEAR(Lists!J$21)-YEAR($J14))*12+MONTH(Lists!J$21)-MONTH($J14))-(EDATE($J14,((YEAR(Lists!J$21)-YEAR($J14))*12+MONTH(Lists!J$21)-MONTH($J14)))&gt;Lists!J$21)+1)))-MIN(MAX(0,$H14),N($K14)*IF(Lists!J$22&lt;$J14,0,(((YEAR(Lists!J$22)-YEAR($J14))*12+MONTH(Lists!J$22)-MONTH($J14))-(EDATE($J14,((YEAR(Lists!J$22)-YEAR($J14))*12+MONTH(Lists!J$22)-MONTH($J14)))&gt;Lists!J$22)+1)))),N($C14)*IF($AE14-$AD14&lt;1,($AD14&gt;Lists!J$22)*($AD14&lt;=Lists!J$21),MAX(0,MIN(Lists!J$21,$AE14)-MAX(Lists!J$22,$AD14))/($AE14-$AD14))+N($D14)*IF($AG14-$AF14&lt;1,($AF14&gt;Lists!J$22)*($AF14&lt;=Lists!J$21),MAX(0,MIN(Lists!J$21,$AG14)-MAX(Lists!J$22,$AF14))/($AG14-$AF14))+N($E14)*IF($AI14-$AH14&lt;1,($AH14&gt;Lists!J$22)*($AH14&lt;=Lists!J$21),MAX(0,MIN(Lists!J$21,$AI14)-MAX(Lists!J$22,$AH14))/($AI14-$AH14))+N($F14)*IF($AK14-$AJ14&lt;1,($AJ14&gt;Lists!J$22)*($AJ14&lt;=Lists!J$21),MAX(0,MIN(Lists!J$21,$AK14)-MAX(Lists!J$22,$AJ14))/($AK14-$AJ14))+N($G14)*IF($AM14-$AL14&lt;1,($AL14&gt;Lists!J$22)*($AL14&lt;=Lists!J$21),MAX(0,MIN(Lists!J$21,$AM14)-MAX(Lists!J$22,$AL14))/($AM14-$AL14))))))))</f>
        <v>0</v>
      </c>
      <c r="U14" s="53" t="n">
        <f aca="false">IF($H14=0,0,IF($AP14="X",0,IF($AP14="S",$H14/$AO14*(MIN($AO14,MAX(0,INT((Lists!K$21-N($J14))/7)+1))-MIN($AO14,MAX(0,INT((Lists!K$22-N($J14))/7)+1))),IF($AP14="D",$H14*MAX(0,MIN(Lists!K$21,N($J14)+$AO14)-MAX(Lists!K$22,N($J14)))/$AO14,IF($AP14="M",$H14/$AO14*(IF(Lists!K$21&lt;$J14,0,MIN($AO14,(((YEAR(Lists!K$21)-YEAR($J14))*12+MONTH(Lists!K$21)-MONTH($J14))-(EDATE($J14,((YEAR(Lists!K$21)-YEAR($J14))*12+MONTH(Lists!K$21)-MONTH($J14)))&gt;Lists!K$21)+1)))-IF(Lists!K$22&lt;$J14,0,MIN($AO14,(((YEAR(Lists!K$22)-YEAR($J14))*12+MONTH(Lists!K$22)-MONTH($J14))-(EDATE($J14,((YEAR(Lists!K$22)-YEAR($J14))*12+MONTH(Lists!K$22)-MONTH($J14)))&gt;Lists!K$22)+1)))),IF($AP14="F",IF(N($K14)&lt;=0,0,MIN(MAX(0,$H14),N($K14)*IF(Lists!K$21&lt;$J14,0,(((YEAR(Lists!K$21)-YEAR($J14))*12+MONTH(Lists!K$21)-MONTH($J14))-(EDATE($J14,((YEAR(Lists!K$21)-YEAR($J14))*12+MONTH(Lists!K$21)-MONTH($J14)))&gt;Lists!K$21)+1)))-MIN(MAX(0,$H14),N($K14)*IF(Lists!K$22&lt;$J14,0,(((YEAR(Lists!K$22)-YEAR($J14))*12+MONTH(Lists!K$22)-MONTH($J14))-(EDATE($J14,((YEAR(Lists!K$22)-YEAR($J14))*12+MONTH(Lists!K$22)-MONTH($J14)))&gt;Lists!K$22)+1)))),N($C14)*IF($AE14-$AD14&lt;1,($AD14&gt;Lists!K$22)*($AD14&lt;=Lists!K$21),MAX(0,MIN(Lists!K$21,$AE14)-MAX(Lists!K$22,$AD14))/($AE14-$AD14))+N($D14)*IF($AG14-$AF14&lt;1,($AF14&gt;Lists!K$22)*($AF14&lt;=Lists!K$21),MAX(0,MIN(Lists!K$21,$AG14)-MAX(Lists!K$22,$AF14))/($AG14-$AF14))+N($E14)*IF($AI14-$AH14&lt;1,($AH14&gt;Lists!K$22)*($AH14&lt;=Lists!K$21),MAX(0,MIN(Lists!K$21,$AI14)-MAX(Lists!K$22,$AH14))/($AI14-$AH14))+N($F14)*IF($AK14-$AJ14&lt;1,($AJ14&gt;Lists!K$22)*($AJ14&lt;=Lists!K$21),MAX(0,MIN(Lists!K$21,$AK14)-MAX(Lists!K$22,$AJ14))/($AK14-$AJ14))+N($G14)*IF($AM14-$AL14&lt;1,($AL14&gt;Lists!K$22)*($AL14&lt;=Lists!K$21),MAX(0,MIN(Lists!K$21,$AM14)-MAX(Lists!K$22,$AL14))/($AM14-$AL14))))))))</f>
        <v>0</v>
      </c>
      <c r="V14" s="53" t="n">
        <f aca="false">IF($H14=0,0,IF($AP14="X",0,IF($AP14="S",$H14/$AO14*(MIN($AO14,MAX(0,INT((Lists!L$21-N($J14))/7)+1))-MIN($AO14,MAX(0,INT((Lists!L$22-N($J14))/7)+1))),IF($AP14="D",$H14*MAX(0,MIN(Lists!L$21,N($J14)+$AO14)-MAX(Lists!L$22,N($J14)))/$AO14,IF($AP14="M",$H14/$AO14*(IF(Lists!L$21&lt;$J14,0,MIN($AO14,(((YEAR(Lists!L$21)-YEAR($J14))*12+MONTH(Lists!L$21)-MONTH($J14))-(EDATE($J14,((YEAR(Lists!L$21)-YEAR($J14))*12+MONTH(Lists!L$21)-MONTH($J14)))&gt;Lists!L$21)+1)))-IF(Lists!L$22&lt;$J14,0,MIN($AO14,(((YEAR(Lists!L$22)-YEAR($J14))*12+MONTH(Lists!L$22)-MONTH($J14))-(EDATE($J14,((YEAR(Lists!L$22)-YEAR($J14))*12+MONTH(Lists!L$22)-MONTH($J14)))&gt;Lists!L$22)+1)))),IF($AP14="F",IF(N($K14)&lt;=0,0,MIN(MAX(0,$H14),N($K14)*IF(Lists!L$21&lt;$J14,0,(((YEAR(Lists!L$21)-YEAR($J14))*12+MONTH(Lists!L$21)-MONTH($J14))-(EDATE($J14,((YEAR(Lists!L$21)-YEAR($J14))*12+MONTH(Lists!L$21)-MONTH($J14)))&gt;Lists!L$21)+1)))-MIN(MAX(0,$H14),N($K14)*IF(Lists!L$22&lt;$J14,0,(((YEAR(Lists!L$22)-YEAR($J14))*12+MONTH(Lists!L$22)-MONTH($J14))-(EDATE($J14,((YEAR(Lists!L$22)-YEAR($J14))*12+MONTH(Lists!L$22)-MONTH($J14)))&gt;Lists!L$22)+1)))),N($C14)*IF($AE14-$AD14&lt;1,($AD14&gt;Lists!L$22)*($AD14&lt;=Lists!L$21),MAX(0,MIN(Lists!L$21,$AE14)-MAX(Lists!L$22,$AD14))/($AE14-$AD14))+N($D14)*IF($AG14-$AF14&lt;1,($AF14&gt;Lists!L$22)*($AF14&lt;=Lists!L$21),MAX(0,MIN(Lists!L$21,$AG14)-MAX(Lists!L$22,$AF14))/($AG14-$AF14))+N($E14)*IF($AI14-$AH14&lt;1,($AH14&gt;Lists!L$22)*($AH14&lt;=Lists!L$21),MAX(0,MIN(Lists!L$21,$AI14)-MAX(Lists!L$22,$AH14))/($AI14-$AH14))+N($F14)*IF($AK14-$AJ14&lt;1,($AJ14&gt;Lists!L$22)*($AJ14&lt;=Lists!L$21),MAX(0,MIN(Lists!L$21,$AK14)-MAX(Lists!L$22,$AJ14))/($AK14-$AJ14))+N($G14)*IF($AM14-$AL14&lt;1,($AL14&gt;Lists!L$22)*($AL14&lt;=Lists!L$21),MAX(0,MIN(Lists!L$21,$AM14)-MAX(Lists!L$22,$AL14))/($AM14-$AL14))))))))</f>
        <v>0</v>
      </c>
      <c r="W14" s="53" t="n">
        <f aca="false">IF($H14=0,0,IF($AP14="X",0,IF($AP14="S",$H14/$AO14*(MIN($AO14,MAX(0,INT((Lists!M$21-N($J14))/7)+1))-MIN($AO14,MAX(0,INT((Lists!M$22-N($J14))/7)+1))),IF($AP14="D",$H14*MAX(0,MIN(Lists!M$21,N($J14)+$AO14)-MAX(Lists!M$22,N($J14)))/$AO14,IF($AP14="M",$H14/$AO14*(IF(Lists!M$21&lt;$J14,0,MIN($AO14,(((YEAR(Lists!M$21)-YEAR($J14))*12+MONTH(Lists!M$21)-MONTH($J14))-(EDATE($J14,((YEAR(Lists!M$21)-YEAR($J14))*12+MONTH(Lists!M$21)-MONTH($J14)))&gt;Lists!M$21)+1)))-IF(Lists!M$22&lt;$J14,0,MIN($AO14,(((YEAR(Lists!M$22)-YEAR($J14))*12+MONTH(Lists!M$22)-MONTH($J14))-(EDATE($J14,((YEAR(Lists!M$22)-YEAR($J14))*12+MONTH(Lists!M$22)-MONTH($J14)))&gt;Lists!M$22)+1)))),IF($AP14="F",IF(N($K14)&lt;=0,0,MIN(MAX(0,$H14),N($K14)*IF(Lists!M$21&lt;$J14,0,(((YEAR(Lists!M$21)-YEAR($J14))*12+MONTH(Lists!M$21)-MONTH($J14))-(EDATE($J14,((YEAR(Lists!M$21)-YEAR($J14))*12+MONTH(Lists!M$21)-MONTH($J14)))&gt;Lists!M$21)+1)))-MIN(MAX(0,$H14),N($K14)*IF(Lists!M$22&lt;$J14,0,(((YEAR(Lists!M$22)-YEAR($J14))*12+MONTH(Lists!M$22)-MONTH($J14))-(EDATE($J14,((YEAR(Lists!M$22)-YEAR($J14))*12+MONTH(Lists!M$22)-MONTH($J14)))&gt;Lists!M$22)+1)))),N($C14)*IF($AE14-$AD14&lt;1,($AD14&gt;Lists!M$22)*($AD14&lt;=Lists!M$21),MAX(0,MIN(Lists!M$21,$AE14)-MAX(Lists!M$22,$AD14))/($AE14-$AD14))+N($D14)*IF($AG14-$AF14&lt;1,($AF14&gt;Lists!M$22)*($AF14&lt;=Lists!M$21),MAX(0,MIN(Lists!M$21,$AG14)-MAX(Lists!M$22,$AF14))/($AG14-$AF14))+N($E14)*IF($AI14-$AH14&lt;1,($AH14&gt;Lists!M$22)*($AH14&lt;=Lists!M$21),MAX(0,MIN(Lists!M$21,$AI14)-MAX(Lists!M$22,$AH14))/($AI14-$AH14))+N($F14)*IF($AK14-$AJ14&lt;1,($AJ14&gt;Lists!M$22)*($AJ14&lt;=Lists!M$21),MAX(0,MIN(Lists!M$21,$AK14)-MAX(Lists!M$22,$AJ14))/($AK14-$AJ14))+N($G14)*IF($AM14-$AL14&lt;1,($AL14&gt;Lists!M$22)*($AL14&lt;=Lists!M$21),MAX(0,MIN(Lists!M$21,$AM14)-MAX(Lists!M$22,$AL14))/($AM14-$AL14))))))))</f>
        <v>0</v>
      </c>
      <c r="X14" s="53" t="n">
        <f aca="false">IF($H14=0,0,IF($AP14="X",0,IF($AP14="S",$H14/$AO14*(MIN($AO14,MAX(0,INT((Lists!N$21-N($J14))/7)+1))-MIN($AO14,MAX(0,INT((Lists!N$22-N($J14))/7)+1))),IF($AP14="D",$H14*MAX(0,MIN(Lists!N$21,N($J14)+$AO14)-MAX(Lists!N$22,N($J14)))/$AO14,IF($AP14="M",$H14/$AO14*(IF(Lists!N$21&lt;$J14,0,MIN($AO14,(((YEAR(Lists!N$21)-YEAR($J14))*12+MONTH(Lists!N$21)-MONTH($J14))-(EDATE($J14,((YEAR(Lists!N$21)-YEAR($J14))*12+MONTH(Lists!N$21)-MONTH($J14)))&gt;Lists!N$21)+1)))-IF(Lists!N$22&lt;$J14,0,MIN($AO14,(((YEAR(Lists!N$22)-YEAR($J14))*12+MONTH(Lists!N$22)-MONTH($J14))-(EDATE($J14,((YEAR(Lists!N$22)-YEAR($J14))*12+MONTH(Lists!N$22)-MONTH($J14)))&gt;Lists!N$22)+1)))),IF($AP14="F",IF(N($K14)&lt;=0,0,MIN(MAX(0,$H14),N($K14)*IF(Lists!N$21&lt;$J14,0,(((YEAR(Lists!N$21)-YEAR($J14))*12+MONTH(Lists!N$21)-MONTH($J14))-(EDATE($J14,((YEAR(Lists!N$21)-YEAR($J14))*12+MONTH(Lists!N$21)-MONTH($J14)))&gt;Lists!N$21)+1)))-MIN(MAX(0,$H14),N($K14)*IF(Lists!N$22&lt;$J14,0,(((YEAR(Lists!N$22)-YEAR($J14))*12+MONTH(Lists!N$22)-MONTH($J14))-(EDATE($J14,((YEAR(Lists!N$22)-YEAR($J14))*12+MONTH(Lists!N$22)-MONTH($J14)))&gt;Lists!N$22)+1)))),N($C14)*IF($AE14-$AD14&lt;1,($AD14&gt;Lists!N$22)*($AD14&lt;=Lists!N$21),MAX(0,MIN(Lists!N$21,$AE14)-MAX(Lists!N$22,$AD14))/($AE14-$AD14))+N($D14)*IF($AG14-$AF14&lt;1,($AF14&gt;Lists!N$22)*($AF14&lt;=Lists!N$21),MAX(0,MIN(Lists!N$21,$AG14)-MAX(Lists!N$22,$AF14))/($AG14-$AF14))+N($E14)*IF($AI14-$AH14&lt;1,($AH14&gt;Lists!N$22)*($AH14&lt;=Lists!N$21),MAX(0,MIN(Lists!N$21,$AI14)-MAX(Lists!N$22,$AH14))/($AI14-$AH14))+N($F14)*IF($AK14-$AJ14&lt;1,($AJ14&gt;Lists!N$22)*($AJ14&lt;=Lists!N$21),MAX(0,MIN(Lists!N$21,$AK14)-MAX(Lists!N$22,$AJ14))/($AK14-$AJ14))+N($G14)*IF($AM14-$AL14&lt;1,($AL14&gt;Lists!N$22)*($AL14&lt;=Lists!N$21),MAX(0,MIN(Lists!N$21,$AM14)-MAX(Lists!N$22,$AL14))/($AM14-$AL14))))))))</f>
        <v>0</v>
      </c>
      <c r="Y14" s="53" t="n">
        <f aca="false">IF($H14=0,0,IF($AP14="X",0,IF($AP14="S",$H14/$AO14*(MIN($AO14,MAX(0,INT((Lists!O$21-N($J14))/7)+1))-MIN($AO14,MAX(0,INT((Lists!O$22-N($J14))/7)+1))),IF($AP14="D",$H14*MAX(0,MIN(Lists!O$21,N($J14)+$AO14)-MAX(Lists!O$22,N($J14)))/$AO14,IF($AP14="M",$H14/$AO14*(IF(Lists!O$21&lt;$J14,0,MIN($AO14,(((YEAR(Lists!O$21)-YEAR($J14))*12+MONTH(Lists!O$21)-MONTH($J14))-(EDATE($J14,((YEAR(Lists!O$21)-YEAR($J14))*12+MONTH(Lists!O$21)-MONTH($J14)))&gt;Lists!O$21)+1)))-IF(Lists!O$22&lt;$J14,0,MIN($AO14,(((YEAR(Lists!O$22)-YEAR($J14))*12+MONTH(Lists!O$22)-MONTH($J14))-(EDATE($J14,((YEAR(Lists!O$22)-YEAR($J14))*12+MONTH(Lists!O$22)-MONTH($J14)))&gt;Lists!O$22)+1)))),IF($AP14="F",IF(N($K14)&lt;=0,0,MIN(MAX(0,$H14),N($K14)*IF(Lists!O$21&lt;$J14,0,(((YEAR(Lists!O$21)-YEAR($J14))*12+MONTH(Lists!O$21)-MONTH($J14))-(EDATE($J14,((YEAR(Lists!O$21)-YEAR($J14))*12+MONTH(Lists!O$21)-MONTH($J14)))&gt;Lists!O$21)+1)))-MIN(MAX(0,$H14),N($K14)*IF(Lists!O$22&lt;$J14,0,(((YEAR(Lists!O$22)-YEAR($J14))*12+MONTH(Lists!O$22)-MONTH($J14))-(EDATE($J14,((YEAR(Lists!O$22)-YEAR($J14))*12+MONTH(Lists!O$22)-MONTH($J14)))&gt;Lists!O$22)+1)))),N($C14)*IF($AE14-$AD14&lt;1,($AD14&gt;Lists!O$22)*($AD14&lt;=Lists!O$21),MAX(0,MIN(Lists!O$21,$AE14)-MAX(Lists!O$22,$AD14))/($AE14-$AD14))+N($D14)*IF($AG14-$AF14&lt;1,($AF14&gt;Lists!O$22)*($AF14&lt;=Lists!O$21),MAX(0,MIN(Lists!O$21,$AG14)-MAX(Lists!O$22,$AF14))/($AG14-$AF14))+N($E14)*IF($AI14-$AH14&lt;1,($AH14&gt;Lists!O$22)*($AH14&lt;=Lists!O$21),MAX(0,MIN(Lists!O$21,$AI14)-MAX(Lists!O$22,$AH14))/($AI14-$AH14))+N($F14)*IF($AK14-$AJ14&lt;1,($AJ14&gt;Lists!O$22)*($AJ14&lt;=Lists!O$21),MAX(0,MIN(Lists!O$21,$AK14)-MAX(Lists!O$22,$AJ14))/($AK14-$AJ14))+N($G14)*IF($AM14-$AL14&lt;1,($AL14&gt;Lists!O$22)*($AL14&lt;=Lists!O$21),MAX(0,MIN(Lists!O$21,$AM14)-MAX(Lists!O$22,$AL14))/($AM14-$AL14))))))))</f>
        <v>0</v>
      </c>
      <c r="Z14" s="46" t="n">
        <f aca="false">SUM(M14:Y14)</f>
        <v>0</v>
      </c>
      <c r="AA14" s="92" t="n">
        <f aca="false">H14-Z14</f>
        <v>0</v>
      </c>
      <c r="AB14" s="55"/>
      <c r="AC14" s="2"/>
      <c r="AD14" s="93" t="n">
        <f aca="false">Setup!$D$10+MAX(0,$AN14-30)</f>
        <v>46365</v>
      </c>
      <c r="AE14" s="93" t="n">
        <f aca="false">Setup!$D$10+IF($AN14-30&lt;0,MAX(Setup!$D$22,$AN14-0),$AN14-0)</f>
        <v>46395</v>
      </c>
      <c r="AF14" s="93" t="n">
        <f aca="false">Setup!$D$10+MAX(0,$AN14-60)</f>
        <v>46335</v>
      </c>
      <c r="AG14" s="93" t="n">
        <f aca="false">Setup!$D$10+IF($AN14-60&lt;0,MAX(Setup!$D$22,$AN14-31),$AN14-31)</f>
        <v>46364</v>
      </c>
      <c r="AH14" s="93" t="n">
        <f aca="false">Setup!$D$10+MAX(0,$AN14-90)</f>
        <v>46335</v>
      </c>
      <c r="AI14" s="93" t="n">
        <f aca="false">Setup!$D$10+IF($AN14-90&lt;0,MAX(Setup!$D$22,$AN14-61),$AN14-61)</f>
        <v>46363</v>
      </c>
      <c r="AJ14" s="93" t="n">
        <f aca="false">Setup!$D$10+MAX(0,$AN14-120)</f>
        <v>46335</v>
      </c>
      <c r="AK14" s="93" t="n">
        <f aca="false">Setup!$D$10+IF($AN14-120&lt;0,MAX(Setup!$D$22,$AN14-91),$AN14-91)</f>
        <v>46363</v>
      </c>
      <c r="AL14" s="93" t="n">
        <f aca="false">IF(Setup!$D$23="Yes",2958465,Setup!$D$10)</f>
        <v>2958465</v>
      </c>
      <c r="AM14" s="93" t="n">
        <f aca="false">IF(AL14=2958465,AL14,Setup!$D$10+Setup!$D$22)</f>
        <v>2958465</v>
      </c>
      <c r="AN14" s="94" t="n">
        <f aca="false">IF(N(L14)=0,Setup!$D$20,L14)</f>
        <v>60</v>
      </c>
      <c r="AO14" s="94" t="n">
        <f aca="false">MAX(1,ROUND(N(K14),0))</f>
        <v>1</v>
      </c>
      <c r="AP14" s="95" t="str">
        <f aca="false">IF(I14="Doubtful","X",IF(N(J14)=0,"A",IF(I14="Specific date","S",IF(I14="Spread over days","D",IF(I14="Monthly on set day","M",IF(I14="Monthly fixed amount","F","A"))))))</f>
        <v>A</v>
      </c>
    </row>
    <row r="15" customFormat="false" ht="15" hidden="false" customHeight="false" outlineLevel="0" collapsed="false">
      <c r="A15" s="87" t="n">
        <v>7</v>
      </c>
      <c r="B15" s="55"/>
      <c r="C15" s="88"/>
      <c r="D15" s="88"/>
      <c r="E15" s="88"/>
      <c r="F15" s="88"/>
      <c r="G15" s="88"/>
      <c r="H15" s="89" t="n">
        <f aca="false">SUM(C15:G15)</f>
        <v>0</v>
      </c>
      <c r="I15" s="58"/>
      <c r="J15" s="90"/>
      <c r="K15" s="91"/>
      <c r="L15" s="80"/>
      <c r="M15" s="53" t="n">
        <f aca="false">IF($H15=0,0,IF($AP15="X",0,IF($AP15="S",$H15/$AO15*(MIN($AO15,MAX(0,INT((Lists!C$21-N($J15))/7)+1))-MIN($AO15,MAX(0,INT((Lists!C$22-N($J15))/7)+1))),IF($AP15="D",$H15*MAX(0,MIN(Lists!C$21,N($J15)+$AO15)-MAX(Lists!C$22,N($J15)))/$AO15,IF($AP15="M",$H15/$AO15*(IF(Lists!C$21&lt;$J15,0,MIN($AO15,(((YEAR(Lists!C$21)-YEAR($J15))*12+MONTH(Lists!C$21)-MONTH($J15))-(EDATE($J15,((YEAR(Lists!C$21)-YEAR($J15))*12+MONTH(Lists!C$21)-MONTH($J15)))&gt;Lists!C$21)+1)))-IF(Lists!C$22&lt;$J15,0,MIN($AO15,(((YEAR(Lists!C$22)-YEAR($J15))*12+MONTH(Lists!C$22)-MONTH($J15))-(EDATE($J15,((YEAR(Lists!C$22)-YEAR($J15))*12+MONTH(Lists!C$22)-MONTH($J15)))&gt;Lists!C$22)+1)))),IF($AP15="F",IF(N($K15)&lt;=0,0,MIN(MAX(0,$H15),N($K15)*IF(Lists!C$21&lt;$J15,0,(((YEAR(Lists!C$21)-YEAR($J15))*12+MONTH(Lists!C$21)-MONTH($J15))-(EDATE($J15,((YEAR(Lists!C$21)-YEAR($J15))*12+MONTH(Lists!C$21)-MONTH($J15)))&gt;Lists!C$21)+1)))-MIN(MAX(0,$H15),N($K15)*IF(Lists!C$22&lt;$J15,0,(((YEAR(Lists!C$22)-YEAR($J15))*12+MONTH(Lists!C$22)-MONTH($J15))-(EDATE($J15,((YEAR(Lists!C$22)-YEAR($J15))*12+MONTH(Lists!C$22)-MONTH($J15)))&gt;Lists!C$22)+1)))),N($C15)*IF($AE15-$AD15&lt;1,($AD15&gt;Lists!C$22)*($AD15&lt;=Lists!C$21),MAX(0,MIN(Lists!C$21,$AE15)-MAX(Lists!C$22,$AD15))/($AE15-$AD15))+N($D15)*IF($AG15-$AF15&lt;1,($AF15&gt;Lists!C$22)*($AF15&lt;=Lists!C$21),MAX(0,MIN(Lists!C$21,$AG15)-MAX(Lists!C$22,$AF15))/($AG15-$AF15))+N($E15)*IF($AI15-$AH15&lt;1,($AH15&gt;Lists!C$22)*($AH15&lt;=Lists!C$21),MAX(0,MIN(Lists!C$21,$AI15)-MAX(Lists!C$22,$AH15))/($AI15-$AH15))+N($F15)*IF($AK15-$AJ15&lt;1,($AJ15&gt;Lists!C$22)*($AJ15&lt;=Lists!C$21),MAX(0,MIN(Lists!C$21,$AK15)-MAX(Lists!C$22,$AJ15))/($AK15-$AJ15))+N($G15)*IF($AM15-$AL15&lt;1,($AL15&gt;Lists!C$22)*($AL15&lt;=Lists!C$21),MAX(0,MIN(Lists!C$21,$AM15)-MAX(Lists!C$22,$AL15))/($AM15-$AL15))))))))</f>
        <v>0</v>
      </c>
      <c r="N15" s="53" t="n">
        <f aca="false">IF($H15=0,0,IF($AP15="X",0,IF($AP15="S",$H15/$AO15*(MIN($AO15,MAX(0,INT((Lists!D$21-N($J15))/7)+1))-MIN($AO15,MAX(0,INT((Lists!D$22-N($J15))/7)+1))),IF($AP15="D",$H15*MAX(0,MIN(Lists!D$21,N($J15)+$AO15)-MAX(Lists!D$22,N($J15)))/$AO15,IF($AP15="M",$H15/$AO15*(IF(Lists!D$21&lt;$J15,0,MIN($AO15,(((YEAR(Lists!D$21)-YEAR($J15))*12+MONTH(Lists!D$21)-MONTH($J15))-(EDATE($J15,((YEAR(Lists!D$21)-YEAR($J15))*12+MONTH(Lists!D$21)-MONTH($J15)))&gt;Lists!D$21)+1)))-IF(Lists!D$22&lt;$J15,0,MIN($AO15,(((YEAR(Lists!D$22)-YEAR($J15))*12+MONTH(Lists!D$22)-MONTH($J15))-(EDATE($J15,((YEAR(Lists!D$22)-YEAR($J15))*12+MONTH(Lists!D$22)-MONTH($J15)))&gt;Lists!D$22)+1)))),IF($AP15="F",IF(N($K15)&lt;=0,0,MIN(MAX(0,$H15),N($K15)*IF(Lists!D$21&lt;$J15,0,(((YEAR(Lists!D$21)-YEAR($J15))*12+MONTH(Lists!D$21)-MONTH($J15))-(EDATE($J15,((YEAR(Lists!D$21)-YEAR($J15))*12+MONTH(Lists!D$21)-MONTH($J15)))&gt;Lists!D$21)+1)))-MIN(MAX(0,$H15),N($K15)*IF(Lists!D$22&lt;$J15,0,(((YEAR(Lists!D$22)-YEAR($J15))*12+MONTH(Lists!D$22)-MONTH($J15))-(EDATE($J15,((YEAR(Lists!D$22)-YEAR($J15))*12+MONTH(Lists!D$22)-MONTH($J15)))&gt;Lists!D$22)+1)))),N($C15)*IF($AE15-$AD15&lt;1,($AD15&gt;Lists!D$22)*($AD15&lt;=Lists!D$21),MAX(0,MIN(Lists!D$21,$AE15)-MAX(Lists!D$22,$AD15))/($AE15-$AD15))+N($D15)*IF($AG15-$AF15&lt;1,($AF15&gt;Lists!D$22)*($AF15&lt;=Lists!D$21),MAX(0,MIN(Lists!D$21,$AG15)-MAX(Lists!D$22,$AF15))/($AG15-$AF15))+N($E15)*IF($AI15-$AH15&lt;1,($AH15&gt;Lists!D$22)*($AH15&lt;=Lists!D$21),MAX(0,MIN(Lists!D$21,$AI15)-MAX(Lists!D$22,$AH15))/($AI15-$AH15))+N($F15)*IF($AK15-$AJ15&lt;1,($AJ15&gt;Lists!D$22)*($AJ15&lt;=Lists!D$21),MAX(0,MIN(Lists!D$21,$AK15)-MAX(Lists!D$22,$AJ15))/($AK15-$AJ15))+N($G15)*IF($AM15-$AL15&lt;1,($AL15&gt;Lists!D$22)*($AL15&lt;=Lists!D$21),MAX(0,MIN(Lists!D$21,$AM15)-MAX(Lists!D$22,$AL15))/($AM15-$AL15))))))))</f>
        <v>0</v>
      </c>
      <c r="O15" s="53" t="n">
        <f aca="false">IF($H15=0,0,IF($AP15="X",0,IF($AP15="S",$H15/$AO15*(MIN($AO15,MAX(0,INT((Lists!E$21-N($J15))/7)+1))-MIN($AO15,MAX(0,INT((Lists!E$22-N($J15))/7)+1))),IF($AP15="D",$H15*MAX(0,MIN(Lists!E$21,N($J15)+$AO15)-MAX(Lists!E$22,N($J15)))/$AO15,IF($AP15="M",$H15/$AO15*(IF(Lists!E$21&lt;$J15,0,MIN($AO15,(((YEAR(Lists!E$21)-YEAR($J15))*12+MONTH(Lists!E$21)-MONTH($J15))-(EDATE($J15,((YEAR(Lists!E$21)-YEAR($J15))*12+MONTH(Lists!E$21)-MONTH($J15)))&gt;Lists!E$21)+1)))-IF(Lists!E$22&lt;$J15,0,MIN($AO15,(((YEAR(Lists!E$22)-YEAR($J15))*12+MONTH(Lists!E$22)-MONTH($J15))-(EDATE($J15,((YEAR(Lists!E$22)-YEAR($J15))*12+MONTH(Lists!E$22)-MONTH($J15)))&gt;Lists!E$22)+1)))),IF($AP15="F",IF(N($K15)&lt;=0,0,MIN(MAX(0,$H15),N($K15)*IF(Lists!E$21&lt;$J15,0,(((YEAR(Lists!E$21)-YEAR($J15))*12+MONTH(Lists!E$21)-MONTH($J15))-(EDATE($J15,((YEAR(Lists!E$21)-YEAR($J15))*12+MONTH(Lists!E$21)-MONTH($J15)))&gt;Lists!E$21)+1)))-MIN(MAX(0,$H15),N($K15)*IF(Lists!E$22&lt;$J15,0,(((YEAR(Lists!E$22)-YEAR($J15))*12+MONTH(Lists!E$22)-MONTH($J15))-(EDATE($J15,((YEAR(Lists!E$22)-YEAR($J15))*12+MONTH(Lists!E$22)-MONTH($J15)))&gt;Lists!E$22)+1)))),N($C15)*IF($AE15-$AD15&lt;1,($AD15&gt;Lists!E$22)*($AD15&lt;=Lists!E$21),MAX(0,MIN(Lists!E$21,$AE15)-MAX(Lists!E$22,$AD15))/($AE15-$AD15))+N($D15)*IF($AG15-$AF15&lt;1,($AF15&gt;Lists!E$22)*($AF15&lt;=Lists!E$21),MAX(0,MIN(Lists!E$21,$AG15)-MAX(Lists!E$22,$AF15))/($AG15-$AF15))+N($E15)*IF($AI15-$AH15&lt;1,($AH15&gt;Lists!E$22)*($AH15&lt;=Lists!E$21),MAX(0,MIN(Lists!E$21,$AI15)-MAX(Lists!E$22,$AH15))/($AI15-$AH15))+N($F15)*IF($AK15-$AJ15&lt;1,($AJ15&gt;Lists!E$22)*($AJ15&lt;=Lists!E$21),MAX(0,MIN(Lists!E$21,$AK15)-MAX(Lists!E$22,$AJ15))/($AK15-$AJ15))+N($G15)*IF($AM15-$AL15&lt;1,($AL15&gt;Lists!E$22)*($AL15&lt;=Lists!E$21),MAX(0,MIN(Lists!E$21,$AM15)-MAX(Lists!E$22,$AL15))/($AM15-$AL15))))))))</f>
        <v>0</v>
      </c>
      <c r="P15" s="53" t="n">
        <f aca="false">IF($H15=0,0,IF($AP15="X",0,IF($AP15="S",$H15/$AO15*(MIN($AO15,MAX(0,INT((Lists!F$21-N($J15))/7)+1))-MIN($AO15,MAX(0,INT((Lists!F$22-N($J15))/7)+1))),IF($AP15="D",$H15*MAX(0,MIN(Lists!F$21,N($J15)+$AO15)-MAX(Lists!F$22,N($J15)))/$AO15,IF($AP15="M",$H15/$AO15*(IF(Lists!F$21&lt;$J15,0,MIN($AO15,(((YEAR(Lists!F$21)-YEAR($J15))*12+MONTH(Lists!F$21)-MONTH($J15))-(EDATE($J15,((YEAR(Lists!F$21)-YEAR($J15))*12+MONTH(Lists!F$21)-MONTH($J15)))&gt;Lists!F$21)+1)))-IF(Lists!F$22&lt;$J15,0,MIN($AO15,(((YEAR(Lists!F$22)-YEAR($J15))*12+MONTH(Lists!F$22)-MONTH($J15))-(EDATE($J15,((YEAR(Lists!F$22)-YEAR($J15))*12+MONTH(Lists!F$22)-MONTH($J15)))&gt;Lists!F$22)+1)))),IF($AP15="F",IF(N($K15)&lt;=0,0,MIN(MAX(0,$H15),N($K15)*IF(Lists!F$21&lt;$J15,0,(((YEAR(Lists!F$21)-YEAR($J15))*12+MONTH(Lists!F$21)-MONTH($J15))-(EDATE($J15,((YEAR(Lists!F$21)-YEAR($J15))*12+MONTH(Lists!F$21)-MONTH($J15)))&gt;Lists!F$21)+1)))-MIN(MAX(0,$H15),N($K15)*IF(Lists!F$22&lt;$J15,0,(((YEAR(Lists!F$22)-YEAR($J15))*12+MONTH(Lists!F$22)-MONTH($J15))-(EDATE($J15,((YEAR(Lists!F$22)-YEAR($J15))*12+MONTH(Lists!F$22)-MONTH($J15)))&gt;Lists!F$22)+1)))),N($C15)*IF($AE15-$AD15&lt;1,($AD15&gt;Lists!F$22)*($AD15&lt;=Lists!F$21),MAX(0,MIN(Lists!F$21,$AE15)-MAX(Lists!F$22,$AD15))/($AE15-$AD15))+N($D15)*IF($AG15-$AF15&lt;1,($AF15&gt;Lists!F$22)*($AF15&lt;=Lists!F$21),MAX(0,MIN(Lists!F$21,$AG15)-MAX(Lists!F$22,$AF15))/($AG15-$AF15))+N($E15)*IF($AI15-$AH15&lt;1,($AH15&gt;Lists!F$22)*($AH15&lt;=Lists!F$21),MAX(0,MIN(Lists!F$21,$AI15)-MAX(Lists!F$22,$AH15))/($AI15-$AH15))+N($F15)*IF($AK15-$AJ15&lt;1,($AJ15&gt;Lists!F$22)*($AJ15&lt;=Lists!F$21),MAX(0,MIN(Lists!F$21,$AK15)-MAX(Lists!F$22,$AJ15))/($AK15-$AJ15))+N($G15)*IF($AM15-$AL15&lt;1,($AL15&gt;Lists!F$22)*($AL15&lt;=Lists!F$21),MAX(0,MIN(Lists!F$21,$AM15)-MAX(Lists!F$22,$AL15))/($AM15-$AL15))))))))</f>
        <v>0</v>
      </c>
      <c r="Q15" s="53" t="n">
        <f aca="false">IF($H15=0,0,IF($AP15="X",0,IF($AP15="S",$H15/$AO15*(MIN($AO15,MAX(0,INT((Lists!G$21-N($J15))/7)+1))-MIN($AO15,MAX(0,INT((Lists!G$22-N($J15))/7)+1))),IF($AP15="D",$H15*MAX(0,MIN(Lists!G$21,N($J15)+$AO15)-MAX(Lists!G$22,N($J15)))/$AO15,IF($AP15="M",$H15/$AO15*(IF(Lists!G$21&lt;$J15,0,MIN($AO15,(((YEAR(Lists!G$21)-YEAR($J15))*12+MONTH(Lists!G$21)-MONTH($J15))-(EDATE($J15,((YEAR(Lists!G$21)-YEAR($J15))*12+MONTH(Lists!G$21)-MONTH($J15)))&gt;Lists!G$21)+1)))-IF(Lists!G$22&lt;$J15,0,MIN($AO15,(((YEAR(Lists!G$22)-YEAR($J15))*12+MONTH(Lists!G$22)-MONTH($J15))-(EDATE($J15,((YEAR(Lists!G$22)-YEAR($J15))*12+MONTH(Lists!G$22)-MONTH($J15)))&gt;Lists!G$22)+1)))),IF($AP15="F",IF(N($K15)&lt;=0,0,MIN(MAX(0,$H15),N($K15)*IF(Lists!G$21&lt;$J15,0,(((YEAR(Lists!G$21)-YEAR($J15))*12+MONTH(Lists!G$21)-MONTH($J15))-(EDATE($J15,((YEAR(Lists!G$21)-YEAR($J15))*12+MONTH(Lists!G$21)-MONTH($J15)))&gt;Lists!G$21)+1)))-MIN(MAX(0,$H15),N($K15)*IF(Lists!G$22&lt;$J15,0,(((YEAR(Lists!G$22)-YEAR($J15))*12+MONTH(Lists!G$22)-MONTH($J15))-(EDATE($J15,((YEAR(Lists!G$22)-YEAR($J15))*12+MONTH(Lists!G$22)-MONTH($J15)))&gt;Lists!G$22)+1)))),N($C15)*IF($AE15-$AD15&lt;1,($AD15&gt;Lists!G$22)*($AD15&lt;=Lists!G$21),MAX(0,MIN(Lists!G$21,$AE15)-MAX(Lists!G$22,$AD15))/($AE15-$AD15))+N($D15)*IF($AG15-$AF15&lt;1,($AF15&gt;Lists!G$22)*($AF15&lt;=Lists!G$21),MAX(0,MIN(Lists!G$21,$AG15)-MAX(Lists!G$22,$AF15))/($AG15-$AF15))+N($E15)*IF($AI15-$AH15&lt;1,($AH15&gt;Lists!G$22)*($AH15&lt;=Lists!G$21),MAX(0,MIN(Lists!G$21,$AI15)-MAX(Lists!G$22,$AH15))/($AI15-$AH15))+N($F15)*IF($AK15-$AJ15&lt;1,($AJ15&gt;Lists!G$22)*($AJ15&lt;=Lists!G$21),MAX(0,MIN(Lists!G$21,$AK15)-MAX(Lists!G$22,$AJ15))/($AK15-$AJ15))+N($G15)*IF($AM15-$AL15&lt;1,($AL15&gt;Lists!G$22)*($AL15&lt;=Lists!G$21),MAX(0,MIN(Lists!G$21,$AM15)-MAX(Lists!G$22,$AL15))/($AM15-$AL15))))))))</f>
        <v>0</v>
      </c>
      <c r="R15" s="53" t="n">
        <f aca="false">IF($H15=0,0,IF($AP15="X",0,IF($AP15="S",$H15/$AO15*(MIN($AO15,MAX(0,INT((Lists!H$21-N($J15))/7)+1))-MIN($AO15,MAX(0,INT((Lists!H$22-N($J15))/7)+1))),IF($AP15="D",$H15*MAX(0,MIN(Lists!H$21,N($J15)+$AO15)-MAX(Lists!H$22,N($J15)))/$AO15,IF($AP15="M",$H15/$AO15*(IF(Lists!H$21&lt;$J15,0,MIN($AO15,(((YEAR(Lists!H$21)-YEAR($J15))*12+MONTH(Lists!H$21)-MONTH($J15))-(EDATE($J15,((YEAR(Lists!H$21)-YEAR($J15))*12+MONTH(Lists!H$21)-MONTH($J15)))&gt;Lists!H$21)+1)))-IF(Lists!H$22&lt;$J15,0,MIN($AO15,(((YEAR(Lists!H$22)-YEAR($J15))*12+MONTH(Lists!H$22)-MONTH($J15))-(EDATE($J15,((YEAR(Lists!H$22)-YEAR($J15))*12+MONTH(Lists!H$22)-MONTH($J15)))&gt;Lists!H$22)+1)))),IF($AP15="F",IF(N($K15)&lt;=0,0,MIN(MAX(0,$H15),N($K15)*IF(Lists!H$21&lt;$J15,0,(((YEAR(Lists!H$21)-YEAR($J15))*12+MONTH(Lists!H$21)-MONTH($J15))-(EDATE($J15,((YEAR(Lists!H$21)-YEAR($J15))*12+MONTH(Lists!H$21)-MONTH($J15)))&gt;Lists!H$21)+1)))-MIN(MAX(0,$H15),N($K15)*IF(Lists!H$22&lt;$J15,0,(((YEAR(Lists!H$22)-YEAR($J15))*12+MONTH(Lists!H$22)-MONTH($J15))-(EDATE($J15,((YEAR(Lists!H$22)-YEAR($J15))*12+MONTH(Lists!H$22)-MONTH($J15)))&gt;Lists!H$22)+1)))),N($C15)*IF($AE15-$AD15&lt;1,($AD15&gt;Lists!H$22)*($AD15&lt;=Lists!H$21),MAX(0,MIN(Lists!H$21,$AE15)-MAX(Lists!H$22,$AD15))/($AE15-$AD15))+N($D15)*IF($AG15-$AF15&lt;1,($AF15&gt;Lists!H$22)*($AF15&lt;=Lists!H$21),MAX(0,MIN(Lists!H$21,$AG15)-MAX(Lists!H$22,$AF15))/($AG15-$AF15))+N($E15)*IF($AI15-$AH15&lt;1,($AH15&gt;Lists!H$22)*($AH15&lt;=Lists!H$21),MAX(0,MIN(Lists!H$21,$AI15)-MAX(Lists!H$22,$AH15))/($AI15-$AH15))+N($F15)*IF($AK15-$AJ15&lt;1,($AJ15&gt;Lists!H$22)*($AJ15&lt;=Lists!H$21),MAX(0,MIN(Lists!H$21,$AK15)-MAX(Lists!H$22,$AJ15))/($AK15-$AJ15))+N($G15)*IF($AM15-$AL15&lt;1,($AL15&gt;Lists!H$22)*($AL15&lt;=Lists!H$21),MAX(0,MIN(Lists!H$21,$AM15)-MAX(Lists!H$22,$AL15))/($AM15-$AL15))))))))</f>
        <v>0</v>
      </c>
      <c r="S15" s="53" t="n">
        <f aca="false">IF($H15=0,0,IF($AP15="X",0,IF($AP15="S",$H15/$AO15*(MIN($AO15,MAX(0,INT((Lists!I$21-N($J15))/7)+1))-MIN($AO15,MAX(0,INT((Lists!I$22-N($J15))/7)+1))),IF($AP15="D",$H15*MAX(0,MIN(Lists!I$21,N($J15)+$AO15)-MAX(Lists!I$22,N($J15)))/$AO15,IF($AP15="M",$H15/$AO15*(IF(Lists!I$21&lt;$J15,0,MIN($AO15,(((YEAR(Lists!I$21)-YEAR($J15))*12+MONTH(Lists!I$21)-MONTH($J15))-(EDATE($J15,((YEAR(Lists!I$21)-YEAR($J15))*12+MONTH(Lists!I$21)-MONTH($J15)))&gt;Lists!I$21)+1)))-IF(Lists!I$22&lt;$J15,0,MIN($AO15,(((YEAR(Lists!I$22)-YEAR($J15))*12+MONTH(Lists!I$22)-MONTH($J15))-(EDATE($J15,((YEAR(Lists!I$22)-YEAR($J15))*12+MONTH(Lists!I$22)-MONTH($J15)))&gt;Lists!I$22)+1)))),IF($AP15="F",IF(N($K15)&lt;=0,0,MIN(MAX(0,$H15),N($K15)*IF(Lists!I$21&lt;$J15,0,(((YEAR(Lists!I$21)-YEAR($J15))*12+MONTH(Lists!I$21)-MONTH($J15))-(EDATE($J15,((YEAR(Lists!I$21)-YEAR($J15))*12+MONTH(Lists!I$21)-MONTH($J15)))&gt;Lists!I$21)+1)))-MIN(MAX(0,$H15),N($K15)*IF(Lists!I$22&lt;$J15,0,(((YEAR(Lists!I$22)-YEAR($J15))*12+MONTH(Lists!I$22)-MONTH($J15))-(EDATE($J15,((YEAR(Lists!I$22)-YEAR($J15))*12+MONTH(Lists!I$22)-MONTH($J15)))&gt;Lists!I$22)+1)))),N($C15)*IF($AE15-$AD15&lt;1,($AD15&gt;Lists!I$22)*($AD15&lt;=Lists!I$21),MAX(0,MIN(Lists!I$21,$AE15)-MAX(Lists!I$22,$AD15))/($AE15-$AD15))+N($D15)*IF($AG15-$AF15&lt;1,($AF15&gt;Lists!I$22)*($AF15&lt;=Lists!I$21),MAX(0,MIN(Lists!I$21,$AG15)-MAX(Lists!I$22,$AF15))/($AG15-$AF15))+N($E15)*IF($AI15-$AH15&lt;1,($AH15&gt;Lists!I$22)*($AH15&lt;=Lists!I$21),MAX(0,MIN(Lists!I$21,$AI15)-MAX(Lists!I$22,$AH15))/($AI15-$AH15))+N($F15)*IF($AK15-$AJ15&lt;1,($AJ15&gt;Lists!I$22)*($AJ15&lt;=Lists!I$21),MAX(0,MIN(Lists!I$21,$AK15)-MAX(Lists!I$22,$AJ15))/($AK15-$AJ15))+N($G15)*IF($AM15-$AL15&lt;1,($AL15&gt;Lists!I$22)*($AL15&lt;=Lists!I$21),MAX(0,MIN(Lists!I$21,$AM15)-MAX(Lists!I$22,$AL15))/($AM15-$AL15))))))))</f>
        <v>0</v>
      </c>
      <c r="T15" s="53" t="n">
        <f aca="false">IF($H15=0,0,IF($AP15="X",0,IF($AP15="S",$H15/$AO15*(MIN($AO15,MAX(0,INT((Lists!J$21-N($J15))/7)+1))-MIN($AO15,MAX(0,INT((Lists!J$22-N($J15))/7)+1))),IF($AP15="D",$H15*MAX(0,MIN(Lists!J$21,N($J15)+$AO15)-MAX(Lists!J$22,N($J15)))/$AO15,IF($AP15="M",$H15/$AO15*(IF(Lists!J$21&lt;$J15,0,MIN($AO15,(((YEAR(Lists!J$21)-YEAR($J15))*12+MONTH(Lists!J$21)-MONTH($J15))-(EDATE($J15,((YEAR(Lists!J$21)-YEAR($J15))*12+MONTH(Lists!J$21)-MONTH($J15)))&gt;Lists!J$21)+1)))-IF(Lists!J$22&lt;$J15,0,MIN($AO15,(((YEAR(Lists!J$22)-YEAR($J15))*12+MONTH(Lists!J$22)-MONTH($J15))-(EDATE($J15,((YEAR(Lists!J$22)-YEAR($J15))*12+MONTH(Lists!J$22)-MONTH($J15)))&gt;Lists!J$22)+1)))),IF($AP15="F",IF(N($K15)&lt;=0,0,MIN(MAX(0,$H15),N($K15)*IF(Lists!J$21&lt;$J15,0,(((YEAR(Lists!J$21)-YEAR($J15))*12+MONTH(Lists!J$21)-MONTH($J15))-(EDATE($J15,((YEAR(Lists!J$21)-YEAR($J15))*12+MONTH(Lists!J$21)-MONTH($J15)))&gt;Lists!J$21)+1)))-MIN(MAX(0,$H15),N($K15)*IF(Lists!J$22&lt;$J15,0,(((YEAR(Lists!J$22)-YEAR($J15))*12+MONTH(Lists!J$22)-MONTH($J15))-(EDATE($J15,((YEAR(Lists!J$22)-YEAR($J15))*12+MONTH(Lists!J$22)-MONTH($J15)))&gt;Lists!J$22)+1)))),N($C15)*IF($AE15-$AD15&lt;1,($AD15&gt;Lists!J$22)*($AD15&lt;=Lists!J$21),MAX(0,MIN(Lists!J$21,$AE15)-MAX(Lists!J$22,$AD15))/($AE15-$AD15))+N($D15)*IF($AG15-$AF15&lt;1,($AF15&gt;Lists!J$22)*($AF15&lt;=Lists!J$21),MAX(0,MIN(Lists!J$21,$AG15)-MAX(Lists!J$22,$AF15))/($AG15-$AF15))+N($E15)*IF($AI15-$AH15&lt;1,($AH15&gt;Lists!J$22)*($AH15&lt;=Lists!J$21),MAX(0,MIN(Lists!J$21,$AI15)-MAX(Lists!J$22,$AH15))/($AI15-$AH15))+N($F15)*IF($AK15-$AJ15&lt;1,($AJ15&gt;Lists!J$22)*($AJ15&lt;=Lists!J$21),MAX(0,MIN(Lists!J$21,$AK15)-MAX(Lists!J$22,$AJ15))/($AK15-$AJ15))+N($G15)*IF($AM15-$AL15&lt;1,($AL15&gt;Lists!J$22)*($AL15&lt;=Lists!J$21),MAX(0,MIN(Lists!J$21,$AM15)-MAX(Lists!J$22,$AL15))/($AM15-$AL15))))))))</f>
        <v>0</v>
      </c>
      <c r="U15" s="53" t="n">
        <f aca="false">IF($H15=0,0,IF($AP15="X",0,IF($AP15="S",$H15/$AO15*(MIN($AO15,MAX(0,INT((Lists!K$21-N($J15))/7)+1))-MIN($AO15,MAX(0,INT((Lists!K$22-N($J15))/7)+1))),IF($AP15="D",$H15*MAX(0,MIN(Lists!K$21,N($J15)+$AO15)-MAX(Lists!K$22,N($J15)))/$AO15,IF($AP15="M",$H15/$AO15*(IF(Lists!K$21&lt;$J15,0,MIN($AO15,(((YEAR(Lists!K$21)-YEAR($J15))*12+MONTH(Lists!K$21)-MONTH($J15))-(EDATE($J15,((YEAR(Lists!K$21)-YEAR($J15))*12+MONTH(Lists!K$21)-MONTH($J15)))&gt;Lists!K$21)+1)))-IF(Lists!K$22&lt;$J15,0,MIN($AO15,(((YEAR(Lists!K$22)-YEAR($J15))*12+MONTH(Lists!K$22)-MONTH($J15))-(EDATE($J15,((YEAR(Lists!K$22)-YEAR($J15))*12+MONTH(Lists!K$22)-MONTH($J15)))&gt;Lists!K$22)+1)))),IF($AP15="F",IF(N($K15)&lt;=0,0,MIN(MAX(0,$H15),N($K15)*IF(Lists!K$21&lt;$J15,0,(((YEAR(Lists!K$21)-YEAR($J15))*12+MONTH(Lists!K$21)-MONTH($J15))-(EDATE($J15,((YEAR(Lists!K$21)-YEAR($J15))*12+MONTH(Lists!K$21)-MONTH($J15)))&gt;Lists!K$21)+1)))-MIN(MAX(0,$H15),N($K15)*IF(Lists!K$22&lt;$J15,0,(((YEAR(Lists!K$22)-YEAR($J15))*12+MONTH(Lists!K$22)-MONTH($J15))-(EDATE($J15,((YEAR(Lists!K$22)-YEAR($J15))*12+MONTH(Lists!K$22)-MONTH($J15)))&gt;Lists!K$22)+1)))),N($C15)*IF($AE15-$AD15&lt;1,($AD15&gt;Lists!K$22)*($AD15&lt;=Lists!K$21),MAX(0,MIN(Lists!K$21,$AE15)-MAX(Lists!K$22,$AD15))/($AE15-$AD15))+N($D15)*IF($AG15-$AF15&lt;1,($AF15&gt;Lists!K$22)*($AF15&lt;=Lists!K$21),MAX(0,MIN(Lists!K$21,$AG15)-MAX(Lists!K$22,$AF15))/($AG15-$AF15))+N($E15)*IF($AI15-$AH15&lt;1,($AH15&gt;Lists!K$22)*($AH15&lt;=Lists!K$21),MAX(0,MIN(Lists!K$21,$AI15)-MAX(Lists!K$22,$AH15))/($AI15-$AH15))+N($F15)*IF($AK15-$AJ15&lt;1,($AJ15&gt;Lists!K$22)*($AJ15&lt;=Lists!K$21),MAX(0,MIN(Lists!K$21,$AK15)-MAX(Lists!K$22,$AJ15))/($AK15-$AJ15))+N($G15)*IF($AM15-$AL15&lt;1,($AL15&gt;Lists!K$22)*($AL15&lt;=Lists!K$21),MAX(0,MIN(Lists!K$21,$AM15)-MAX(Lists!K$22,$AL15))/($AM15-$AL15))))))))</f>
        <v>0</v>
      </c>
      <c r="V15" s="53" t="n">
        <f aca="false">IF($H15=0,0,IF($AP15="X",0,IF($AP15="S",$H15/$AO15*(MIN($AO15,MAX(0,INT((Lists!L$21-N($J15))/7)+1))-MIN($AO15,MAX(0,INT((Lists!L$22-N($J15))/7)+1))),IF($AP15="D",$H15*MAX(0,MIN(Lists!L$21,N($J15)+$AO15)-MAX(Lists!L$22,N($J15)))/$AO15,IF($AP15="M",$H15/$AO15*(IF(Lists!L$21&lt;$J15,0,MIN($AO15,(((YEAR(Lists!L$21)-YEAR($J15))*12+MONTH(Lists!L$21)-MONTH($J15))-(EDATE($J15,((YEAR(Lists!L$21)-YEAR($J15))*12+MONTH(Lists!L$21)-MONTH($J15)))&gt;Lists!L$21)+1)))-IF(Lists!L$22&lt;$J15,0,MIN($AO15,(((YEAR(Lists!L$22)-YEAR($J15))*12+MONTH(Lists!L$22)-MONTH($J15))-(EDATE($J15,((YEAR(Lists!L$22)-YEAR($J15))*12+MONTH(Lists!L$22)-MONTH($J15)))&gt;Lists!L$22)+1)))),IF($AP15="F",IF(N($K15)&lt;=0,0,MIN(MAX(0,$H15),N($K15)*IF(Lists!L$21&lt;$J15,0,(((YEAR(Lists!L$21)-YEAR($J15))*12+MONTH(Lists!L$21)-MONTH($J15))-(EDATE($J15,((YEAR(Lists!L$21)-YEAR($J15))*12+MONTH(Lists!L$21)-MONTH($J15)))&gt;Lists!L$21)+1)))-MIN(MAX(0,$H15),N($K15)*IF(Lists!L$22&lt;$J15,0,(((YEAR(Lists!L$22)-YEAR($J15))*12+MONTH(Lists!L$22)-MONTH($J15))-(EDATE($J15,((YEAR(Lists!L$22)-YEAR($J15))*12+MONTH(Lists!L$22)-MONTH($J15)))&gt;Lists!L$22)+1)))),N($C15)*IF($AE15-$AD15&lt;1,($AD15&gt;Lists!L$22)*($AD15&lt;=Lists!L$21),MAX(0,MIN(Lists!L$21,$AE15)-MAX(Lists!L$22,$AD15))/($AE15-$AD15))+N($D15)*IF($AG15-$AF15&lt;1,($AF15&gt;Lists!L$22)*($AF15&lt;=Lists!L$21),MAX(0,MIN(Lists!L$21,$AG15)-MAX(Lists!L$22,$AF15))/($AG15-$AF15))+N($E15)*IF($AI15-$AH15&lt;1,($AH15&gt;Lists!L$22)*($AH15&lt;=Lists!L$21),MAX(0,MIN(Lists!L$21,$AI15)-MAX(Lists!L$22,$AH15))/($AI15-$AH15))+N($F15)*IF($AK15-$AJ15&lt;1,($AJ15&gt;Lists!L$22)*($AJ15&lt;=Lists!L$21),MAX(0,MIN(Lists!L$21,$AK15)-MAX(Lists!L$22,$AJ15))/($AK15-$AJ15))+N($G15)*IF($AM15-$AL15&lt;1,($AL15&gt;Lists!L$22)*($AL15&lt;=Lists!L$21),MAX(0,MIN(Lists!L$21,$AM15)-MAX(Lists!L$22,$AL15))/($AM15-$AL15))))))))</f>
        <v>0</v>
      </c>
      <c r="W15" s="53" t="n">
        <f aca="false">IF($H15=0,0,IF($AP15="X",0,IF($AP15="S",$H15/$AO15*(MIN($AO15,MAX(0,INT((Lists!M$21-N($J15))/7)+1))-MIN($AO15,MAX(0,INT((Lists!M$22-N($J15))/7)+1))),IF($AP15="D",$H15*MAX(0,MIN(Lists!M$21,N($J15)+$AO15)-MAX(Lists!M$22,N($J15)))/$AO15,IF($AP15="M",$H15/$AO15*(IF(Lists!M$21&lt;$J15,0,MIN($AO15,(((YEAR(Lists!M$21)-YEAR($J15))*12+MONTH(Lists!M$21)-MONTH($J15))-(EDATE($J15,((YEAR(Lists!M$21)-YEAR($J15))*12+MONTH(Lists!M$21)-MONTH($J15)))&gt;Lists!M$21)+1)))-IF(Lists!M$22&lt;$J15,0,MIN($AO15,(((YEAR(Lists!M$22)-YEAR($J15))*12+MONTH(Lists!M$22)-MONTH($J15))-(EDATE($J15,((YEAR(Lists!M$22)-YEAR($J15))*12+MONTH(Lists!M$22)-MONTH($J15)))&gt;Lists!M$22)+1)))),IF($AP15="F",IF(N($K15)&lt;=0,0,MIN(MAX(0,$H15),N($K15)*IF(Lists!M$21&lt;$J15,0,(((YEAR(Lists!M$21)-YEAR($J15))*12+MONTH(Lists!M$21)-MONTH($J15))-(EDATE($J15,((YEAR(Lists!M$21)-YEAR($J15))*12+MONTH(Lists!M$21)-MONTH($J15)))&gt;Lists!M$21)+1)))-MIN(MAX(0,$H15),N($K15)*IF(Lists!M$22&lt;$J15,0,(((YEAR(Lists!M$22)-YEAR($J15))*12+MONTH(Lists!M$22)-MONTH($J15))-(EDATE($J15,((YEAR(Lists!M$22)-YEAR($J15))*12+MONTH(Lists!M$22)-MONTH($J15)))&gt;Lists!M$22)+1)))),N($C15)*IF($AE15-$AD15&lt;1,($AD15&gt;Lists!M$22)*($AD15&lt;=Lists!M$21),MAX(0,MIN(Lists!M$21,$AE15)-MAX(Lists!M$22,$AD15))/($AE15-$AD15))+N($D15)*IF($AG15-$AF15&lt;1,($AF15&gt;Lists!M$22)*($AF15&lt;=Lists!M$21),MAX(0,MIN(Lists!M$21,$AG15)-MAX(Lists!M$22,$AF15))/($AG15-$AF15))+N($E15)*IF($AI15-$AH15&lt;1,($AH15&gt;Lists!M$22)*($AH15&lt;=Lists!M$21),MAX(0,MIN(Lists!M$21,$AI15)-MAX(Lists!M$22,$AH15))/($AI15-$AH15))+N($F15)*IF($AK15-$AJ15&lt;1,($AJ15&gt;Lists!M$22)*($AJ15&lt;=Lists!M$21),MAX(0,MIN(Lists!M$21,$AK15)-MAX(Lists!M$22,$AJ15))/($AK15-$AJ15))+N($G15)*IF($AM15-$AL15&lt;1,($AL15&gt;Lists!M$22)*($AL15&lt;=Lists!M$21),MAX(0,MIN(Lists!M$21,$AM15)-MAX(Lists!M$22,$AL15))/($AM15-$AL15))))))))</f>
        <v>0</v>
      </c>
      <c r="X15" s="53" t="n">
        <f aca="false">IF($H15=0,0,IF($AP15="X",0,IF($AP15="S",$H15/$AO15*(MIN($AO15,MAX(0,INT((Lists!N$21-N($J15))/7)+1))-MIN($AO15,MAX(0,INT((Lists!N$22-N($J15))/7)+1))),IF($AP15="D",$H15*MAX(0,MIN(Lists!N$21,N($J15)+$AO15)-MAX(Lists!N$22,N($J15)))/$AO15,IF($AP15="M",$H15/$AO15*(IF(Lists!N$21&lt;$J15,0,MIN($AO15,(((YEAR(Lists!N$21)-YEAR($J15))*12+MONTH(Lists!N$21)-MONTH($J15))-(EDATE($J15,((YEAR(Lists!N$21)-YEAR($J15))*12+MONTH(Lists!N$21)-MONTH($J15)))&gt;Lists!N$21)+1)))-IF(Lists!N$22&lt;$J15,0,MIN($AO15,(((YEAR(Lists!N$22)-YEAR($J15))*12+MONTH(Lists!N$22)-MONTH($J15))-(EDATE($J15,((YEAR(Lists!N$22)-YEAR($J15))*12+MONTH(Lists!N$22)-MONTH($J15)))&gt;Lists!N$22)+1)))),IF($AP15="F",IF(N($K15)&lt;=0,0,MIN(MAX(0,$H15),N($K15)*IF(Lists!N$21&lt;$J15,0,(((YEAR(Lists!N$21)-YEAR($J15))*12+MONTH(Lists!N$21)-MONTH($J15))-(EDATE($J15,((YEAR(Lists!N$21)-YEAR($J15))*12+MONTH(Lists!N$21)-MONTH($J15)))&gt;Lists!N$21)+1)))-MIN(MAX(0,$H15),N($K15)*IF(Lists!N$22&lt;$J15,0,(((YEAR(Lists!N$22)-YEAR($J15))*12+MONTH(Lists!N$22)-MONTH($J15))-(EDATE($J15,((YEAR(Lists!N$22)-YEAR($J15))*12+MONTH(Lists!N$22)-MONTH($J15)))&gt;Lists!N$22)+1)))),N($C15)*IF($AE15-$AD15&lt;1,($AD15&gt;Lists!N$22)*($AD15&lt;=Lists!N$21),MAX(0,MIN(Lists!N$21,$AE15)-MAX(Lists!N$22,$AD15))/($AE15-$AD15))+N($D15)*IF($AG15-$AF15&lt;1,($AF15&gt;Lists!N$22)*($AF15&lt;=Lists!N$21),MAX(0,MIN(Lists!N$21,$AG15)-MAX(Lists!N$22,$AF15))/($AG15-$AF15))+N($E15)*IF($AI15-$AH15&lt;1,($AH15&gt;Lists!N$22)*($AH15&lt;=Lists!N$21),MAX(0,MIN(Lists!N$21,$AI15)-MAX(Lists!N$22,$AH15))/($AI15-$AH15))+N($F15)*IF($AK15-$AJ15&lt;1,($AJ15&gt;Lists!N$22)*($AJ15&lt;=Lists!N$21),MAX(0,MIN(Lists!N$21,$AK15)-MAX(Lists!N$22,$AJ15))/($AK15-$AJ15))+N($G15)*IF($AM15-$AL15&lt;1,($AL15&gt;Lists!N$22)*($AL15&lt;=Lists!N$21),MAX(0,MIN(Lists!N$21,$AM15)-MAX(Lists!N$22,$AL15))/($AM15-$AL15))))))))</f>
        <v>0</v>
      </c>
      <c r="Y15" s="53" t="n">
        <f aca="false">IF($H15=0,0,IF($AP15="X",0,IF($AP15="S",$H15/$AO15*(MIN($AO15,MAX(0,INT((Lists!O$21-N($J15))/7)+1))-MIN($AO15,MAX(0,INT((Lists!O$22-N($J15))/7)+1))),IF($AP15="D",$H15*MAX(0,MIN(Lists!O$21,N($J15)+$AO15)-MAX(Lists!O$22,N($J15)))/$AO15,IF($AP15="M",$H15/$AO15*(IF(Lists!O$21&lt;$J15,0,MIN($AO15,(((YEAR(Lists!O$21)-YEAR($J15))*12+MONTH(Lists!O$21)-MONTH($J15))-(EDATE($J15,((YEAR(Lists!O$21)-YEAR($J15))*12+MONTH(Lists!O$21)-MONTH($J15)))&gt;Lists!O$21)+1)))-IF(Lists!O$22&lt;$J15,0,MIN($AO15,(((YEAR(Lists!O$22)-YEAR($J15))*12+MONTH(Lists!O$22)-MONTH($J15))-(EDATE($J15,((YEAR(Lists!O$22)-YEAR($J15))*12+MONTH(Lists!O$22)-MONTH($J15)))&gt;Lists!O$22)+1)))),IF($AP15="F",IF(N($K15)&lt;=0,0,MIN(MAX(0,$H15),N($K15)*IF(Lists!O$21&lt;$J15,0,(((YEAR(Lists!O$21)-YEAR($J15))*12+MONTH(Lists!O$21)-MONTH($J15))-(EDATE($J15,((YEAR(Lists!O$21)-YEAR($J15))*12+MONTH(Lists!O$21)-MONTH($J15)))&gt;Lists!O$21)+1)))-MIN(MAX(0,$H15),N($K15)*IF(Lists!O$22&lt;$J15,0,(((YEAR(Lists!O$22)-YEAR($J15))*12+MONTH(Lists!O$22)-MONTH($J15))-(EDATE($J15,((YEAR(Lists!O$22)-YEAR($J15))*12+MONTH(Lists!O$22)-MONTH($J15)))&gt;Lists!O$22)+1)))),N($C15)*IF($AE15-$AD15&lt;1,($AD15&gt;Lists!O$22)*($AD15&lt;=Lists!O$21),MAX(0,MIN(Lists!O$21,$AE15)-MAX(Lists!O$22,$AD15))/($AE15-$AD15))+N($D15)*IF($AG15-$AF15&lt;1,($AF15&gt;Lists!O$22)*($AF15&lt;=Lists!O$21),MAX(0,MIN(Lists!O$21,$AG15)-MAX(Lists!O$22,$AF15))/($AG15-$AF15))+N($E15)*IF($AI15-$AH15&lt;1,($AH15&gt;Lists!O$22)*($AH15&lt;=Lists!O$21),MAX(0,MIN(Lists!O$21,$AI15)-MAX(Lists!O$22,$AH15))/($AI15-$AH15))+N($F15)*IF($AK15-$AJ15&lt;1,($AJ15&gt;Lists!O$22)*($AJ15&lt;=Lists!O$21),MAX(0,MIN(Lists!O$21,$AK15)-MAX(Lists!O$22,$AJ15))/($AK15-$AJ15))+N($G15)*IF($AM15-$AL15&lt;1,($AL15&gt;Lists!O$22)*($AL15&lt;=Lists!O$21),MAX(0,MIN(Lists!O$21,$AM15)-MAX(Lists!O$22,$AL15))/($AM15-$AL15))))))))</f>
        <v>0</v>
      </c>
      <c r="Z15" s="46" t="n">
        <f aca="false">SUM(M15:Y15)</f>
        <v>0</v>
      </c>
      <c r="AA15" s="92" t="n">
        <f aca="false">H15-Z15</f>
        <v>0</v>
      </c>
      <c r="AB15" s="55"/>
      <c r="AC15" s="2"/>
      <c r="AD15" s="93" t="n">
        <f aca="false">Setup!$D$10+MAX(0,$AN15-30)</f>
        <v>46365</v>
      </c>
      <c r="AE15" s="93" t="n">
        <f aca="false">Setup!$D$10+IF($AN15-30&lt;0,MAX(Setup!$D$22,$AN15-0),$AN15-0)</f>
        <v>46395</v>
      </c>
      <c r="AF15" s="93" t="n">
        <f aca="false">Setup!$D$10+MAX(0,$AN15-60)</f>
        <v>46335</v>
      </c>
      <c r="AG15" s="93" t="n">
        <f aca="false">Setup!$D$10+IF($AN15-60&lt;0,MAX(Setup!$D$22,$AN15-31),$AN15-31)</f>
        <v>46364</v>
      </c>
      <c r="AH15" s="93" t="n">
        <f aca="false">Setup!$D$10+MAX(0,$AN15-90)</f>
        <v>46335</v>
      </c>
      <c r="AI15" s="93" t="n">
        <f aca="false">Setup!$D$10+IF($AN15-90&lt;0,MAX(Setup!$D$22,$AN15-61),$AN15-61)</f>
        <v>46363</v>
      </c>
      <c r="AJ15" s="93" t="n">
        <f aca="false">Setup!$D$10+MAX(0,$AN15-120)</f>
        <v>46335</v>
      </c>
      <c r="AK15" s="93" t="n">
        <f aca="false">Setup!$D$10+IF($AN15-120&lt;0,MAX(Setup!$D$22,$AN15-91),$AN15-91)</f>
        <v>46363</v>
      </c>
      <c r="AL15" s="93" t="n">
        <f aca="false">IF(Setup!$D$23="Yes",2958465,Setup!$D$10)</f>
        <v>2958465</v>
      </c>
      <c r="AM15" s="93" t="n">
        <f aca="false">IF(AL15=2958465,AL15,Setup!$D$10+Setup!$D$22)</f>
        <v>2958465</v>
      </c>
      <c r="AN15" s="94" t="n">
        <f aca="false">IF(N(L15)=0,Setup!$D$20,L15)</f>
        <v>60</v>
      </c>
      <c r="AO15" s="94" t="n">
        <f aca="false">MAX(1,ROUND(N(K15),0))</f>
        <v>1</v>
      </c>
      <c r="AP15" s="95" t="str">
        <f aca="false">IF(I15="Doubtful","X",IF(N(J15)=0,"A",IF(I15="Specific date","S",IF(I15="Spread over days","D",IF(I15="Monthly on set day","M",IF(I15="Monthly fixed amount","F","A"))))))</f>
        <v>A</v>
      </c>
    </row>
    <row r="16" customFormat="false" ht="15" hidden="false" customHeight="false" outlineLevel="0" collapsed="false">
      <c r="A16" s="87" t="n">
        <v>8</v>
      </c>
      <c r="B16" s="55"/>
      <c r="C16" s="88"/>
      <c r="D16" s="88"/>
      <c r="E16" s="88"/>
      <c r="F16" s="88"/>
      <c r="G16" s="88"/>
      <c r="H16" s="89" t="n">
        <f aca="false">SUM(C16:G16)</f>
        <v>0</v>
      </c>
      <c r="I16" s="58"/>
      <c r="J16" s="90"/>
      <c r="K16" s="91"/>
      <c r="L16" s="80"/>
      <c r="M16" s="53" t="n">
        <f aca="false">IF($H16=0,0,IF($AP16="X",0,IF($AP16="S",$H16/$AO16*(MIN($AO16,MAX(0,INT((Lists!C$21-N($J16))/7)+1))-MIN($AO16,MAX(0,INT((Lists!C$22-N($J16))/7)+1))),IF($AP16="D",$H16*MAX(0,MIN(Lists!C$21,N($J16)+$AO16)-MAX(Lists!C$22,N($J16)))/$AO16,IF($AP16="M",$H16/$AO16*(IF(Lists!C$21&lt;$J16,0,MIN($AO16,(((YEAR(Lists!C$21)-YEAR($J16))*12+MONTH(Lists!C$21)-MONTH($J16))-(EDATE($J16,((YEAR(Lists!C$21)-YEAR($J16))*12+MONTH(Lists!C$21)-MONTH($J16)))&gt;Lists!C$21)+1)))-IF(Lists!C$22&lt;$J16,0,MIN($AO16,(((YEAR(Lists!C$22)-YEAR($J16))*12+MONTH(Lists!C$22)-MONTH($J16))-(EDATE($J16,((YEAR(Lists!C$22)-YEAR($J16))*12+MONTH(Lists!C$22)-MONTH($J16)))&gt;Lists!C$22)+1)))),IF($AP16="F",IF(N($K16)&lt;=0,0,MIN(MAX(0,$H16),N($K16)*IF(Lists!C$21&lt;$J16,0,(((YEAR(Lists!C$21)-YEAR($J16))*12+MONTH(Lists!C$21)-MONTH($J16))-(EDATE($J16,((YEAR(Lists!C$21)-YEAR($J16))*12+MONTH(Lists!C$21)-MONTH($J16)))&gt;Lists!C$21)+1)))-MIN(MAX(0,$H16),N($K16)*IF(Lists!C$22&lt;$J16,0,(((YEAR(Lists!C$22)-YEAR($J16))*12+MONTH(Lists!C$22)-MONTH($J16))-(EDATE($J16,((YEAR(Lists!C$22)-YEAR($J16))*12+MONTH(Lists!C$22)-MONTH($J16)))&gt;Lists!C$22)+1)))),N($C16)*IF($AE16-$AD16&lt;1,($AD16&gt;Lists!C$22)*($AD16&lt;=Lists!C$21),MAX(0,MIN(Lists!C$21,$AE16)-MAX(Lists!C$22,$AD16))/($AE16-$AD16))+N($D16)*IF($AG16-$AF16&lt;1,($AF16&gt;Lists!C$22)*($AF16&lt;=Lists!C$21),MAX(0,MIN(Lists!C$21,$AG16)-MAX(Lists!C$22,$AF16))/($AG16-$AF16))+N($E16)*IF($AI16-$AH16&lt;1,($AH16&gt;Lists!C$22)*($AH16&lt;=Lists!C$21),MAX(0,MIN(Lists!C$21,$AI16)-MAX(Lists!C$22,$AH16))/($AI16-$AH16))+N($F16)*IF($AK16-$AJ16&lt;1,($AJ16&gt;Lists!C$22)*($AJ16&lt;=Lists!C$21),MAX(0,MIN(Lists!C$21,$AK16)-MAX(Lists!C$22,$AJ16))/($AK16-$AJ16))+N($G16)*IF($AM16-$AL16&lt;1,($AL16&gt;Lists!C$22)*($AL16&lt;=Lists!C$21),MAX(0,MIN(Lists!C$21,$AM16)-MAX(Lists!C$22,$AL16))/($AM16-$AL16))))))))</f>
        <v>0</v>
      </c>
      <c r="N16" s="53" t="n">
        <f aca="false">IF($H16=0,0,IF($AP16="X",0,IF($AP16="S",$H16/$AO16*(MIN($AO16,MAX(0,INT((Lists!D$21-N($J16))/7)+1))-MIN($AO16,MAX(0,INT((Lists!D$22-N($J16))/7)+1))),IF($AP16="D",$H16*MAX(0,MIN(Lists!D$21,N($J16)+$AO16)-MAX(Lists!D$22,N($J16)))/$AO16,IF($AP16="M",$H16/$AO16*(IF(Lists!D$21&lt;$J16,0,MIN($AO16,(((YEAR(Lists!D$21)-YEAR($J16))*12+MONTH(Lists!D$21)-MONTH($J16))-(EDATE($J16,((YEAR(Lists!D$21)-YEAR($J16))*12+MONTH(Lists!D$21)-MONTH($J16)))&gt;Lists!D$21)+1)))-IF(Lists!D$22&lt;$J16,0,MIN($AO16,(((YEAR(Lists!D$22)-YEAR($J16))*12+MONTH(Lists!D$22)-MONTH($J16))-(EDATE($J16,((YEAR(Lists!D$22)-YEAR($J16))*12+MONTH(Lists!D$22)-MONTH($J16)))&gt;Lists!D$22)+1)))),IF($AP16="F",IF(N($K16)&lt;=0,0,MIN(MAX(0,$H16),N($K16)*IF(Lists!D$21&lt;$J16,0,(((YEAR(Lists!D$21)-YEAR($J16))*12+MONTH(Lists!D$21)-MONTH($J16))-(EDATE($J16,((YEAR(Lists!D$21)-YEAR($J16))*12+MONTH(Lists!D$21)-MONTH($J16)))&gt;Lists!D$21)+1)))-MIN(MAX(0,$H16),N($K16)*IF(Lists!D$22&lt;$J16,0,(((YEAR(Lists!D$22)-YEAR($J16))*12+MONTH(Lists!D$22)-MONTH($J16))-(EDATE($J16,((YEAR(Lists!D$22)-YEAR($J16))*12+MONTH(Lists!D$22)-MONTH($J16)))&gt;Lists!D$22)+1)))),N($C16)*IF($AE16-$AD16&lt;1,($AD16&gt;Lists!D$22)*($AD16&lt;=Lists!D$21),MAX(0,MIN(Lists!D$21,$AE16)-MAX(Lists!D$22,$AD16))/($AE16-$AD16))+N($D16)*IF($AG16-$AF16&lt;1,($AF16&gt;Lists!D$22)*($AF16&lt;=Lists!D$21),MAX(0,MIN(Lists!D$21,$AG16)-MAX(Lists!D$22,$AF16))/($AG16-$AF16))+N($E16)*IF($AI16-$AH16&lt;1,($AH16&gt;Lists!D$22)*($AH16&lt;=Lists!D$21),MAX(0,MIN(Lists!D$21,$AI16)-MAX(Lists!D$22,$AH16))/($AI16-$AH16))+N($F16)*IF($AK16-$AJ16&lt;1,($AJ16&gt;Lists!D$22)*($AJ16&lt;=Lists!D$21),MAX(0,MIN(Lists!D$21,$AK16)-MAX(Lists!D$22,$AJ16))/($AK16-$AJ16))+N($G16)*IF($AM16-$AL16&lt;1,($AL16&gt;Lists!D$22)*($AL16&lt;=Lists!D$21),MAX(0,MIN(Lists!D$21,$AM16)-MAX(Lists!D$22,$AL16))/($AM16-$AL16))))))))</f>
        <v>0</v>
      </c>
      <c r="O16" s="53" t="n">
        <f aca="false">IF($H16=0,0,IF($AP16="X",0,IF($AP16="S",$H16/$AO16*(MIN($AO16,MAX(0,INT((Lists!E$21-N($J16))/7)+1))-MIN($AO16,MAX(0,INT((Lists!E$22-N($J16))/7)+1))),IF($AP16="D",$H16*MAX(0,MIN(Lists!E$21,N($J16)+$AO16)-MAX(Lists!E$22,N($J16)))/$AO16,IF($AP16="M",$H16/$AO16*(IF(Lists!E$21&lt;$J16,0,MIN($AO16,(((YEAR(Lists!E$21)-YEAR($J16))*12+MONTH(Lists!E$21)-MONTH($J16))-(EDATE($J16,((YEAR(Lists!E$21)-YEAR($J16))*12+MONTH(Lists!E$21)-MONTH($J16)))&gt;Lists!E$21)+1)))-IF(Lists!E$22&lt;$J16,0,MIN($AO16,(((YEAR(Lists!E$22)-YEAR($J16))*12+MONTH(Lists!E$22)-MONTH($J16))-(EDATE($J16,((YEAR(Lists!E$22)-YEAR($J16))*12+MONTH(Lists!E$22)-MONTH($J16)))&gt;Lists!E$22)+1)))),IF($AP16="F",IF(N($K16)&lt;=0,0,MIN(MAX(0,$H16),N($K16)*IF(Lists!E$21&lt;$J16,0,(((YEAR(Lists!E$21)-YEAR($J16))*12+MONTH(Lists!E$21)-MONTH($J16))-(EDATE($J16,((YEAR(Lists!E$21)-YEAR($J16))*12+MONTH(Lists!E$21)-MONTH($J16)))&gt;Lists!E$21)+1)))-MIN(MAX(0,$H16),N($K16)*IF(Lists!E$22&lt;$J16,0,(((YEAR(Lists!E$22)-YEAR($J16))*12+MONTH(Lists!E$22)-MONTH($J16))-(EDATE($J16,((YEAR(Lists!E$22)-YEAR($J16))*12+MONTH(Lists!E$22)-MONTH($J16)))&gt;Lists!E$22)+1)))),N($C16)*IF($AE16-$AD16&lt;1,($AD16&gt;Lists!E$22)*($AD16&lt;=Lists!E$21),MAX(0,MIN(Lists!E$21,$AE16)-MAX(Lists!E$22,$AD16))/($AE16-$AD16))+N($D16)*IF($AG16-$AF16&lt;1,($AF16&gt;Lists!E$22)*($AF16&lt;=Lists!E$21),MAX(0,MIN(Lists!E$21,$AG16)-MAX(Lists!E$22,$AF16))/($AG16-$AF16))+N($E16)*IF($AI16-$AH16&lt;1,($AH16&gt;Lists!E$22)*($AH16&lt;=Lists!E$21),MAX(0,MIN(Lists!E$21,$AI16)-MAX(Lists!E$22,$AH16))/($AI16-$AH16))+N($F16)*IF($AK16-$AJ16&lt;1,($AJ16&gt;Lists!E$22)*($AJ16&lt;=Lists!E$21),MAX(0,MIN(Lists!E$21,$AK16)-MAX(Lists!E$22,$AJ16))/($AK16-$AJ16))+N($G16)*IF($AM16-$AL16&lt;1,($AL16&gt;Lists!E$22)*($AL16&lt;=Lists!E$21),MAX(0,MIN(Lists!E$21,$AM16)-MAX(Lists!E$22,$AL16))/($AM16-$AL16))))))))</f>
        <v>0</v>
      </c>
      <c r="P16" s="53" t="n">
        <f aca="false">IF($H16=0,0,IF($AP16="X",0,IF($AP16="S",$H16/$AO16*(MIN($AO16,MAX(0,INT((Lists!F$21-N($J16))/7)+1))-MIN($AO16,MAX(0,INT((Lists!F$22-N($J16))/7)+1))),IF($AP16="D",$H16*MAX(0,MIN(Lists!F$21,N($J16)+$AO16)-MAX(Lists!F$22,N($J16)))/$AO16,IF($AP16="M",$H16/$AO16*(IF(Lists!F$21&lt;$J16,0,MIN($AO16,(((YEAR(Lists!F$21)-YEAR($J16))*12+MONTH(Lists!F$21)-MONTH($J16))-(EDATE($J16,((YEAR(Lists!F$21)-YEAR($J16))*12+MONTH(Lists!F$21)-MONTH($J16)))&gt;Lists!F$21)+1)))-IF(Lists!F$22&lt;$J16,0,MIN($AO16,(((YEAR(Lists!F$22)-YEAR($J16))*12+MONTH(Lists!F$22)-MONTH($J16))-(EDATE($J16,((YEAR(Lists!F$22)-YEAR($J16))*12+MONTH(Lists!F$22)-MONTH($J16)))&gt;Lists!F$22)+1)))),IF($AP16="F",IF(N($K16)&lt;=0,0,MIN(MAX(0,$H16),N($K16)*IF(Lists!F$21&lt;$J16,0,(((YEAR(Lists!F$21)-YEAR($J16))*12+MONTH(Lists!F$21)-MONTH($J16))-(EDATE($J16,((YEAR(Lists!F$21)-YEAR($J16))*12+MONTH(Lists!F$21)-MONTH($J16)))&gt;Lists!F$21)+1)))-MIN(MAX(0,$H16),N($K16)*IF(Lists!F$22&lt;$J16,0,(((YEAR(Lists!F$22)-YEAR($J16))*12+MONTH(Lists!F$22)-MONTH($J16))-(EDATE($J16,((YEAR(Lists!F$22)-YEAR($J16))*12+MONTH(Lists!F$22)-MONTH($J16)))&gt;Lists!F$22)+1)))),N($C16)*IF($AE16-$AD16&lt;1,($AD16&gt;Lists!F$22)*($AD16&lt;=Lists!F$21),MAX(0,MIN(Lists!F$21,$AE16)-MAX(Lists!F$22,$AD16))/($AE16-$AD16))+N($D16)*IF($AG16-$AF16&lt;1,($AF16&gt;Lists!F$22)*($AF16&lt;=Lists!F$21),MAX(0,MIN(Lists!F$21,$AG16)-MAX(Lists!F$22,$AF16))/($AG16-$AF16))+N($E16)*IF($AI16-$AH16&lt;1,($AH16&gt;Lists!F$22)*($AH16&lt;=Lists!F$21),MAX(0,MIN(Lists!F$21,$AI16)-MAX(Lists!F$22,$AH16))/($AI16-$AH16))+N($F16)*IF($AK16-$AJ16&lt;1,($AJ16&gt;Lists!F$22)*($AJ16&lt;=Lists!F$21),MAX(0,MIN(Lists!F$21,$AK16)-MAX(Lists!F$22,$AJ16))/($AK16-$AJ16))+N($G16)*IF($AM16-$AL16&lt;1,($AL16&gt;Lists!F$22)*($AL16&lt;=Lists!F$21),MAX(0,MIN(Lists!F$21,$AM16)-MAX(Lists!F$22,$AL16))/($AM16-$AL16))))))))</f>
        <v>0</v>
      </c>
      <c r="Q16" s="53" t="n">
        <f aca="false">IF($H16=0,0,IF($AP16="X",0,IF($AP16="S",$H16/$AO16*(MIN($AO16,MAX(0,INT((Lists!G$21-N($J16))/7)+1))-MIN($AO16,MAX(0,INT((Lists!G$22-N($J16))/7)+1))),IF($AP16="D",$H16*MAX(0,MIN(Lists!G$21,N($J16)+$AO16)-MAX(Lists!G$22,N($J16)))/$AO16,IF($AP16="M",$H16/$AO16*(IF(Lists!G$21&lt;$J16,0,MIN($AO16,(((YEAR(Lists!G$21)-YEAR($J16))*12+MONTH(Lists!G$21)-MONTH($J16))-(EDATE($J16,((YEAR(Lists!G$21)-YEAR($J16))*12+MONTH(Lists!G$21)-MONTH($J16)))&gt;Lists!G$21)+1)))-IF(Lists!G$22&lt;$J16,0,MIN($AO16,(((YEAR(Lists!G$22)-YEAR($J16))*12+MONTH(Lists!G$22)-MONTH($J16))-(EDATE($J16,((YEAR(Lists!G$22)-YEAR($J16))*12+MONTH(Lists!G$22)-MONTH($J16)))&gt;Lists!G$22)+1)))),IF($AP16="F",IF(N($K16)&lt;=0,0,MIN(MAX(0,$H16),N($K16)*IF(Lists!G$21&lt;$J16,0,(((YEAR(Lists!G$21)-YEAR($J16))*12+MONTH(Lists!G$21)-MONTH($J16))-(EDATE($J16,((YEAR(Lists!G$21)-YEAR($J16))*12+MONTH(Lists!G$21)-MONTH($J16)))&gt;Lists!G$21)+1)))-MIN(MAX(0,$H16),N($K16)*IF(Lists!G$22&lt;$J16,0,(((YEAR(Lists!G$22)-YEAR($J16))*12+MONTH(Lists!G$22)-MONTH($J16))-(EDATE($J16,((YEAR(Lists!G$22)-YEAR($J16))*12+MONTH(Lists!G$22)-MONTH($J16)))&gt;Lists!G$22)+1)))),N($C16)*IF($AE16-$AD16&lt;1,($AD16&gt;Lists!G$22)*($AD16&lt;=Lists!G$21),MAX(0,MIN(Lists!G$21,$AE16)-MAX(Lists!G$22,$AD16))/($AE16-$AD16))+N($D16)*IF($AG16-$AF16&lt;1,($AF16&gt;Lists!G$22)*($AF16&lt;=Lists!G$21),MAX(0,MIN(Lists!G$21,$AG16)-MAX(Lists!G$22,$AF16))/($AG16-$AF16))+N($E16)*IF($AI16-$AH16&lt;1,($AH16&gt;Lists!G$22)*($AH16&lt;=Lists!G$21),MAX(0,MIN(Lists!G$21,$AI16)-MAX(Lists!G$22,$AH16))/($AI16-$AH16))+N($F16)*IF($AK16-$AJ16&lt;1,($AJ16&gt;Lists!G$22)*($AJ16&lt;=Lists!G$21),MAX(0,MIN(Lists!G$21,$AK16)-MAX(Lists!G$22,$AJ16))/($AK16-$AJ16))+N($G16)*IF($AM16-$AL16&lt;1,($AL16&gt;Lists!G$22)*($AL16&lt;=Lists!G$21),MAX(0,MIN(Lists!G$21,$AM16)-MAX(Lists!G$22,$AL16))/($AM16-$AL16))))))))</f>
        <v>0</v>
      </c>
      <c r="R16" s="53" t="n">
        <f aca="false">IF($H16=0,0,IF($AP16="X",0,IF($AP16="S",$H16/$AO16*(MIN($AO16,MAX(0,INT((Lists!H$21-N($J16))/7)+1))-MIN($AO16,MAX(0,INT((Lists!H$22-N($J16))/7)+1))),IF($AP16="D",$H16*MAX(0,MIN(Lists!H$21,N($J16)+$AO16)-MAX(Lists!H$22,N($J16)))/$AO16,IF($AP16="M",$H16/$AO16*(IF(Lists!H$21&lt;$J16,0,MIN($AO16,(((YEAR(Lists!H$21)-YEAR($J16))*12+MONTH(Lists!H$21)-MONTH($J16))-(EDATE($J16,((YEAR(Lists!H$21)-YEAR($J16))*12+MONTH(Lists!H$21)-MONTH($J16)))&gt;Lists!H$21)+1)))-IF(Lists!H$22&lt;$J16,0,MIN($AO16,(((YEAR(Lists!H$22)-YEAR($J16))*12+MONTH(Lists!H$22)-MONTH($J16))-(EDATE($J16,((YEAR(Lists!H$22)-YEAR($J16))*12+MONTH(Lists!H$22)-MONTH($J16)))&gt;Lists!H$22)+1)))),IF($AP16="F",IF(N($K16)&lt;=0,0,MIN(MAX(0,$H16),N($K16)*IF(Lists!H$21&lt;$J16,0,(((YEAR(Lists!H$21)-YEAR($J16))*12+MONTH(Lists!H$21)-MONTH($J16))-(EDATE($J16,((YEAR(Lists!H$21)-YEAR($J16))*12+MONTH(Lists!H$21)-MONTH($J16)))&gt;Lists!H$21)+1)))-MIN(MAX(0,$H16),N($K16)*IF(Lists!H$22&lt;$J16,0,(((YEAR(Lists!H$22)-YEAR($J16))*12+MONTH(Lists!H$22)-MONTH($J16))-(EDATE($J16,((YEAR(Lists!H$22)-YEAR($J16))*12+MONTH(Lists!H$22)-MONTH($J16)))&gt;Lists!H$22)+1)))),N($C16)*IF($AE16-$AD16&lt;1,($AD16&gt;Lists!H$22)*($AD16&lt;=Lists!H$21),MAX(0,MIN(Lists!H$21,$AE16)-MAX(Lists!H$22,$AD16))/($AE16-$AD16))+N($D16)*IF($AG16-$AF16&lt;1,($AF16&gt;Lists!H$22)*($AF16&lt;=Lists!H$21),MAX(0,MIN(Lists!H$21,$AG16)-MAX(Lists!H$22,$AF16))/($AG16-$AF16))+N($E16)*IF($AI16-$AH16&lt;1,($AH16&gt;Lists!H$22)*($AH16&lt;=Lists!H$21),MAX(0,MIN(Lists!H$21,$AI16)-MAX(Lists!H$22,$AH16))/($AI16-$AH16))+N($F16)*IF($AK16-$AJ16&lt;1,($AJ16&gt;Lists!H$22)*($AJ16&lt;=Lists!H$21),MAX(0,MIN(Lists!H$21,$AK16)-MAX(Lists!H$22,$AJ16))/($AK16-$AJ16))+N($G16)*IF($AM16-$AL16&lt;1,($AL16&gt;Lists!H$22)*($AL16&lt;=Lists!H$21),MAX(0,MIN(Lists!H$21,$AM16)-MAX(Lists!H$22,$AL16))/($AM16-$AL16))))))))</f>
        <v>0</v>
      </c>
      <c r="S16" s="53" t="n">
        <f aca="false">IF($H16=0,0,IF($AP16="X",0,IF($AP16="S",$H16/$AO16*(MIN($AO16,MAX(0,INT((Lists!I$21-N($J16))/7)+1))-MIN($AO16,MAX(0,INT((Lists!I$22-N($J16))/7)+1))),IF($AP16="D",$H16*MAX(0,MIN(Lists!I$21,N($J16)+$AO16)-MAX(Lists!I$22,N($J16)))/$AO16,IF($AP16="M",$H16/$AO16*(IF(Lists!I$21&lt;$J16,0,MIN($AO16,(((YEAR(Lists!I$21)-YEAR($J16))*12+MONTH(Lists!I$21)-MONTH($J16))-(EDATE($J16,((YEAR(Lists!I$21)-YEAR($J16))*12+MONTH(Lists!I$21)-MONTH($J16)))&gt;Lists!I$21)+1)))-IF(Lists!I$22&lt;$J16,0,MIN($AO16,(((YEAR(Lists!I$22)-YEAR($J16))*12+MONTH(Lists!I$22)-MONTH($J16))-(EDATE($J16,((YEAR(Lists!I$22)-YEAR($J16))*12+MONTH(Lists!I$22)-MONTH($J16)))&gt;Lists!I$22)+1)))),IF($AP16="F",IF(N($K16)&lt;=0,0,MIN(MAX(0,$H16),N($K16)*IF(Lists!I$21&lt;$J16,0,(((YEAR(Lists!I$21)-YEAR($J16))*12+MONTH(Lists!I$21)-MONTH($J16))-(EDATE($J16,((YEAR(Lists!I$21)-YEAR($J16))*12+MONTH(Lists!I$21)-MONTH($J16)))&gt;Lists!I$21)+1)))-MIN(MAX(0,$H16),N($K16)*IF(Lists!I$22&lt;$J16,0,(((YEAR(Lists!I$22)-YEAR($J16))*12+MONTH(Lists!I$22)-MONTH($J16))-(EDATE($J16,((YEAR(Lists!I$22)-YEAR($J16))*12+MONTH(Lists!I$22)-MONTH($J16)))&gt;Lists!I$22)+1)))),N($C16)*IF($AE16-$AD16&lt;1,($AD16&gt;Lists!I$22)*($AD16&lt;=Lists!I$21),MAX(0,MIN(Lists!I$21,$AE16)-MAX(Lists!I$22,$AD16))/($AE16-$AD16))+N($D16)*IF($AG16-$AF16&lt;1,($AF16&gt;Lists!I$22)*($AF16&lt;=Lists!I$21),MAX(0,MIN(Lists!I$21,$AG16)-MAX(Lists!I$22,$AF16))/($AG16-$AF16))+N($E16)*IF($AI16-$AH16&lt;1,($AH16&gt;Lists!I$22)*($AH16&lt;=Lists!I$21),MAX(0,MIN(Lists!I$21,$AI16)-MAX(Lists!I$22,$AH16))/($AI16-$AH16))+N($F16)*IF($AK16-$AJ16&lt;1,($AJ16&gt;Lists!I$22)*($AJ16&lt;=Lists!I$21),MAX(0,MIN(Lists!I$21,$AK16)-MAX(Lists!I$22,$AJ16))/($AK16-$AJ16))+N($G16)*IF($AM16-$AL16&lt;1,($AL16&gt;Lists!I$22)*($AL16&lt;=Lists!I$21),MAX(0,MIN(Lists!I$21,$AM16)-MAX(Lists!I$22,$AL16))/($AM16-$AL16))))))))</f>
        <v>0</v>
      </c>
      <c r="T16" s="53" t="n">
        <f aca="false">IF($H16=0,0,IF($AP16="X",0,IF($AP16="S",$H16/$AO16*(MIN($AO16,MAX(0,INT((Lists!J$21-N($J16))/7)+1))-MIN($AO16,MAX(0,INT((Lists!J$22-N($J16))/7)+1))),IF($AP16="D",$H16*MAX(0,MIN(Lists!J$21,N($J16)+$AO16)-MAX(Lists!J$22,N($J16)))/$AO16,IF($AP16="M",$H16/$AO16*(IF(Lists!J$21&lt;$J16,0,MIN($AO16,(((YEAR(Lists!J$21)-YEAR($J16))*12+MONTH(Lists!J$21)-MONTH($J16))-(EDATE($J16,((YEAR(Lists!J$21)-YEAR($J16))*12+MONTH(Lists!J$21)-MONTH($J16)))&gt;Lists!J$21)+1)))-IF(Lists!J$22&lt;$J16,0,MIN($AO16,(((YEAR(Lists!J$22)-YEAR($J16))*12+MONTH(Lists!J$22)-MONTH($J16))-(EDATE($J16,((YEAR(Lists!J$22)-YEAR($J16))*12+MONTH(Lists!J$22)-MONTH($J16)))&gt;Lists!J$22)+1)))),IF($AP16="F",IF(N($K16)&lt;=0,0,MIN(MAX(0,$H16),N($K16)*IF(Lists!J$21&lt;$J16,0,(((YEAR(Lists!J$21)-YEAR($J16))*12+MONTH(Lists!J$21)-MONTH($J16))-(EDATE($J16,((YEAR(Lists!J$21)-YEAR($J16))*12+MONTH(Lists!J$21)-MONTH($J16)))&gt;Lists!J$21)+1)))-MIN(MAX(0,$H16),N($K16)*IF(Lists!J$22&lt;$J16,0,(((YEAR(Lists!J$22)-YEAR($J16))*12+MONTH(Lists!J$22)-MONTH($J16))-(EDATE($J16,((YEAR(Lists!J$22)-YEAR($J16))*12+MONTH(Lists!J$22)-MONTH($J16)))&gt;Lists!J$22)+1)))),N($C16)*IF($AE16-$AD16&lt;1,($AD16&gt;Lists!J$22)*($AD16&lt;=Lists!J$21),MAX(0,MIN(Lists!J$21,$AE16)-MAX(Lists!J$22,$AD16))/($AE16-$AD16))+N($D16)*IF($AG16-$AF16&lt;1,($AF16&gt;Lists!J$22)*($AF16&lt;=Lists!J$21),MAX(0,MIN(Lists!J$21,$AG16)-MAX(Lists!J$22,$AF16))/($AG16-$AF16))+N($E16)*IF($AI16-$AH16&lt;1,($AH16&gt;Lists!J$22)*($AH16&lt;=Lists!J$21),MAX(0,MIN(Lists!J$21,$AI16)-MAX(Lists!J$22,$AH16))/($AI16-$AH16))+N($F16)*IF($AK16-$AJ16&lt;1,($AJ16&gt;Lists!J$22)*($AJ16&lt;=Lists!J$21),MAX(0,MIN(Lists!J$21,$AK16)-MAX(Lists!J$22,$AJ16))/($AK16-$AJ16))+N($G16)*IF($AM16-$AL16&lt;1,($AL16&gt;Lists!J$22)*($AL16&lt;=Lists!J$21),MAX(0,MIN(Lists!J$21,$AM16)-MAX(Lists!J$22,$AL16))/($AM16-$AL16))))))))</f>
        <v>0</v>
      </c>
      <c r="U16" s="53" t="n">
        <f aca="false">IF($H16=0,0,IF($AP16="X",0,IF($AP16="S",$H16/$AO16*(MIN($AO16,MAX(0,INT((Lists!K$21-N($J16))/7)+1))-MIN($AO16,MAX(0,INT((Lists!K$22-N($J16))/7)+1))),IF($AP16="D",$H16*MAX(0,MIN(Lists!K$21,N($J16)+$AO16)-MAX(Lists!K$22,N($J16)))/$AO16,IF($AP16="M",$H16/$AO16*(IF(Lists!K$21&lt;$J16,0,MIN($AO16,(((YEAR(Lists!K$21)-YEAR($J16))*12+MONTH(Lists!K$21)-MONTH($J16))-(EDATE($J16,((YEAR(Lists!K$21)-YEAR($J16))*12+MONTH(Lists!K$21)-MONTH($J16)))&gt;Lists!K$21)+1)))-IF(Lists!K$22&lt;$J16,0,MIN($AO16,(((YEAR(Lists!K$22)-YEAR($J16))*12+MONTH(Lists!K$22)-MONTH($J16))-(EDATE($J16,((YEAR(Lists!K$22)-YEAR($J16))*12+MONTH(Lists!K$22)-MONTH($J16)))&gt;Lists!K$22)+1)))),IF($AP16="F",IF(N($K16)&lt;=0,0,MIN(MAX(0,$H16),N($K16)*IF(Lists!K$21&lt;$J16,0,(((YEAR(Lists!K$21)-YEAR($J16))*12+MONTH(Lists!K$21)-MONTH($J16))-(EDATE($J16,((YEAR(Lists!K$21)-YEAR($J16))*12+MONTH(Lists!K$21)-MONTH($J16)))&gt;Lists!K$21)+1)))-MIN(MAX(0,$H16),N($K16)*IF(Lists!K$22&lt;$J16,0,(((YEAR(Lists!K$22)-YEAR($J16))*12+MONTH(Lists!K$22)-MONTH($J16))-(EDATE($J16,((YEAR(Lists!K$22)-YEAR($J16))*12+MONTH(Lists!K$22)-MONTH($J16)))&gt;Lists!K$22)+1)))),N($C16)*IF($AE16-$AD16&lt;1,($AD16&gt;Lists!K$22)*($AD16&lt;=Lists!K$21),MAX(0,MIN(Lists!K$21,$AE16)-MAX(Lists!K$22,$AD16))/($AE16-$AD16))+N($D16)*IF($AG16-$AF16&lt;1,($AF16&gt;Lists!K$22)*($AF16&lt;=Lists!K$21),MAX(0,MIN(Lists!K$21,$AG16)-MAX(Lists!K$22,$AF16))/($AG16-$AF16))+N($E16)*IF($AI16-$AH16&lt;1,($AH16&gt;Lists!K$22)*($AH16&lt;=Lists!K$21),MAX(0,MIN(Lists!K$21,$AI16)-MAX(Lists!K$22,$AH16))/($AI16-$AH16))+N($F16)*IF($AK16-$AJ16&lt;1,($AJ16&gt;Lists!K$22)*($AJ16&lt;=Lists!K$21),MAX(0,MIN(Lists!K$21,$AK16)-MAX(Lists!K$22,$AJ16))/($AK16-$AJ16))+N($G16)*IF($AM16-$AL16&lt;1,($AL16&gt;Lists!K$22)*($AL16&lt;=Lists!K$21),MAX(0,MIN(Lists!K$21,$AM16)-MAX(Lists!K$22,$AL16))/($AM16-$AL16))))))))</f>
        <v>0</v>
      </c>
      <c r="V16" s="53" t="n">
        <f aca="false">IF($H16=0,0,IF($AP16="X",0,IF($AP16="S",$H16/$AO16*(MIN($AO16,MAX(0,INT((Lists!L$21-N($J16))/7)+1))-MIN($AO16,MAX(0,INT((Lists!L$22-N($J16))/7)+1))),IF($AP16="D",$H16*MAX(0,MIN(Lists!L$21,N($J16)+$AO16)-MAX(Lists!L$22,N($J16)))/$AO16,IF($AP16="M",$H16/$AO16*(IF(Lists!L$21&lt;$J16,0,MIN($AO16,(((YEAR(Lists!L$21)-YEAR($J16))*12+MONTH(Lists!L$21)-MONTH($J16))-(EDATE($J16,((YEAR(Lists!L$21)-YEAR($J16))*12+MONTH(Lists!L$21)-MONTH($J16)))&gt;Lists!L$21)+1)))-IF(Lists!L$22&lt;$J16,0,MIN($AO16,(((YEAR(Lists!L$22)-YEAR($J16))*12+MONTH(Lists!L$22)-MONTH($J16))-(EDATE($J16,((YEAR(Lists!L$22)-YEAR($J16))*12+MONTH(Lists!L$22)-MONTH($J16)))&gt;Lists!L$22)+1)))),IF($AP16="F",IF(N($K16)&lt;=0,0,MIN(MAX(0,$H16),N($K16)*IF(Lists!L$21&lt;$J16,0,(((YEAR(Lists!L$21)-YEAR($J16))*12+MONTH(Lists!L$21)-MONTH($J16))-(EDATE($J16,((YEAR(Lists!L$21)-YEAR($J16))*12+MONTH(Lists!L$21)-MONTH($J16)))&gt;Lists!L$21)+1)))-MIN(MAX(0,$H16),N($K16)*IF(Lists!L$22&lt;$J16,0,(((YEAR(Lists!L$22)-YEAR($J16))*12+MONTH(Lists!L$22)-MONTH($J16))-(EDATE($J16,((YEAR(Lists!L$22)-YEAR($J16))*12+MONTH(Lists!L$22)-MONTH($J16)))&gt;Lists!L$22)+1)))),N($C16)*IF($AE16-$AD16&lt;1,($AD16&gt;Lists!L$22)*($AD16&lt;=Lists!L$21),MAX(0,MIN(Lists!L$21,$AE16)-MAX(Lists!L$22,$AD16))/($AE16-$AD16))+N($D16)*IF($AG16-$AF16&lt;1,($AF16&gt;Lists!L$22)*($AF16&lt;=Lists!L$21),MAX(0,MIN(Lists!L$21,$AG16)-MAX(Lists!L$22,$AF16))/($AG16-$AF16))+N($E16)*IF($AI16-$AH16&lt;1,($AH16&gt;Lists!L$22)*($AH16&lt;=Lists!L$21),MAX(0,MIN(Lists!L$21,$AI16)-MAX(Lists!L$22,$AH16))/($AI16-$AH16))+N($F16)*IF($AK16-$AJ16&lt;1,($AJ16&gt;Lists!L$22)*($AJ16&lt;=Lists!L$21),MAX(0,MIN(Lists!L$21,$AK16)-MAX(Lists!L$22,$AJ16))/($AK16-$AJ16))+N($G16)*IF($AM16-$AL16&lt;1,($AL16&gt;Lists!L$22)*($AL16&lt;=Lists!L$21),MAX(0,MIN(Lists!L$21,$AM16)-MAX(Lists!L$22,$AL16))/($AM16-$AL16))))))))</f>
        <v>0</v>
      </c>
      <c r="W16" s="53" t="n">
        <f aca="false">IF($H16=0,0,IF($AP16="X",0,IF($AP16="S",$H16/$AO16*(MIN($AO16,MAX(0,INT((Lists!M$21-N($J16))/7)+1))-MIN($AO16,MAX(0,INT((Lists!M$22-N($J16))/7)+1))),IF($AP16="D",$H16*MAX(0,MIN(Lists!M$21,N($J16)+$AO16)-MAX(Lists!M$22,N($J16)))/$AO16,IF($AP16="M",$H16/$AO16*(IF(Lists!M$21&lt;$J16,0,MIN($AO16,(((YEAR(Lists!M$21)-YEAR($J16))*12+MONTH(Lists!M$21)-MONTH($J16))-(EDATE($J16,((YEAR(Lists!M$21)-YEAR($J16))*12+MONTH(Lists!M$21)-MONTH($J16)))&gt;Lists!M$21)+1)))-IF(Lists!M$22&lt;$J16,0,MIN($AO16,(((YEAR(Lists!M$22)-YEAR($J16))*12+MONTH(Lists!M$22)-MONTH($J16))-(EDATE($J16,((YEAR(Lists!M$22)-YEAR($J16))*12+MONTH(Lists!M$22)-MONTH($J16)))&gt;Lists!M$22)+1)))),IF($AP16="F",IF(N($K16)&lt;=0,0,MIN(MAX(0,$H16),N($K16)*IF(Lists!M$21&lt;$J16,0,(((YEAR(Lists!M$21)-YEAR($J16))*12+MONTH(Lists!M$21)-MONTH($J16))-(EDATE($J16,((YEAR(Lists!M$21)-YEAR($J16))*12+MONTH(Lists!M$21)-MONTH($J16)))&gt;Lists!M$21)+1)))-MIN(MAX(0,$H16),N($K16)*IF(Lists!M$22&lt;$J16,0,(((YEAR(Lists!M$22)-YEAR($J16))*12+MONTH(Lists!M$22)-MONTH($J16))-(EDATE($J16,((YEAR(Lists!M$22)-YEAR($J16))*12+MONTH(Lists!M$22)-MONTH($J16)))&gt;Lists!M$22)+1)))),N($C16)*IF($AE16-$AD16&lt;1,($AD16&gt;Lists!M$22)*($AD16&lt;=Lists!M$21),MAX(0,MIN(Lists!M$21,$AE16)-MAX(Lists!M$22,$AD16))/($AE16-$AD16))+N($D16)*IF($AG16-$AF16&lt;1,($AF16&gt;Lists!M$22)*($AF16&lt;=Lists!M$21),MAX(0,MIN(Lists!M$21,$AG16)-MAX(Lists!M$22,$AF16))/($AG16-$AF16))+N($E16)*IF($AI16-$AH16&lt;1,($AH16&gt;Lists!M$22)*($AH16&lt;=Lists!M$21),MAX(0,MIN(Lists!M$21,$AI16)-MAX(Lists!M$22,$AH16))/($AI16-$AH16))+N($F16)*IF($AK16-$AJ16&lt;1,($AJ16&gt;Lists!M$22)*($AJ16&lt;=Lists!M$21),MAX(0,MIN(Lists!M$21,$AK16)-MAX(Lists!M$22,$AJ16))/($AK16-$AJ16))+N($G16)*IF($AM16-$AL16&lt;1,($AL16&gt;Lists!M$22)*($AL16&lt;=Lists!M$21),MAX(0,MIN(Lists!M$21,$AM16)-MAX(Lists!M$22,$AL16))/($AM16-$AL16))))))))</f>
        <v>0</v>
      </c>
      <c r="X16" s="53" t="n">
        <f aca="false">IF($H16=0,0,IF($AP16="X",0,IF($AP16="S",$H16/$AO16*(MIN($AO16,MAX(0,INT((Lists!N$21-N($J16))/7)+1))-MIN($AO16,MAX(0,INT((Lists!N$22-N($J16))/7)+1))),IF($AP16="D",$H16*MAX(0,MIN(Lists!N$21,N($J16)+$AO16)-MAX(Lists!N$22,N($J16)))/$AO16,IF($AP16="M",$H16/$AO16*(IF(Lists!N$21&lt;$J16,0,MIN($AO16,(((YEAR(Lists!N$21)-YEAR($J16))*12+MONTH(Lists!N$21)-MONTH($J16))-(EDATE($J16,((YEAR(Lists!N$21)-YEAR($J16))*12+MONTH(Lists!N$21)-MONTH($J16)))&gt;Lists!N$21)+1)))-IF(Lists!N$22&lt;$J16,0,MIN($AO16,(((YEAR(Lists!N$22)-YEAR($J16))*12+MONTH(Lists!N$22)-MONTH($J16))-(EDATE($J16,((YEAR(Lists!N$22)-YEAR($J16))*12+MONTH(Lists!N$22)-MONTH($J16)))&gt;Lists!N$22)+1)))),IF($AP16="F",IF(N($K16)&lt;=0,0,MIN(MAX(0,$H16),N($K16)*IF(Lists!N$21&lt;$J16,0,(((YEAR(Lists!N$21)-YEAR($J16))*12+MONTH(Lists!N$21)-MONTH($J16))-(EDATE($J16,((YEAR(Lists!N$21)-YEAR($J16))*12+MONTH(Lists!N$21)-MONTH($J16)))&gt;Lists!N$21)+1)))-MIN(MAX(0,$H16),N($K16)*IF(Lists!N$22&lt;$J16,0,(((YEAR(Lists!N$22)-YEAR($J16))*12+MONTH(Lists!N$22)-MONTH($J16))-(EDATE($J16,((YEAR(Lists!N$22)-YEAR($J16))*12+MONTH(Lists!N$22)-MONTH($J16)))&gt;Lists!N$22)+1)))),N($C16)*IF($AE16-$AD16&lt;1,($AD16&gt;Lists!N$22)*($AD16&lt;=Lists!N$21),MAX(0,MIN(Lists!N$21,$AE16)-MAX(Lists!N$22,$AD16))/($AE16-$AD16))+N($D16)*IF($AG16-$AF16&lt;1,($AF16&gt;Lists!N$22)*($AF16&lt;=Lists!N$21),MAX(0,MIN(Lists!N$21,$AG16)-MAX(Lists!N$22,$AF16))/($AG16-$AF16))+N($E16)*IF($AI16-$AH16&lt;1,($AH16&gt;Lists!N$22)*($AH16&lt;=Lists!N$21),MAX(0,MIN(Lists!N$21,$AI16)-MAX(Lists!N$22,$AH16))/($AI16-$AH16))+N($F16)*IF($AK16-$AJ16&lt;1,($AJ16&gt;Lists!N$22)*($AJ16&lt;=Lists!N$21),MAX(0,MIN(Lists!N$21,$AK16)-MAX(Lists!N$22,$AJ16))/($AK16-$AJ16))+N($G16)*IF($AM16-$AL16&lt;1,($AL16&gt;Lists!N$22)*($AL16&lt;=Lists!N$21),MAX(0,MIN(Lists!N$21,$AM16)-MAX(Lists!N$22,$AL16))/($AM16-$AL16))))))))</f>
        <v>0</v>
      </c>
      <c r="Y16" s="53" t="n">
        <f aca="false">IF($H16=0,0,IF($AP16="X",0,IF($AP16="S",$H16/$AO16*(MIN($AO16,MAX(0,INT((Lists!O$21-N($J16))/7)+1))-MIN($AO16,MAX(0,INT((Lists!O$22-N($J16))/7)+1))),IF($AP16="D",$H16*MAX(0,MIN(Lists!O$21,N($J16)+$AO16)-MAX(Lists!O$22,N($J16)))/$AO16,IF($AP16="M",$H16/$AO16*(IF(Lists!O$21&lt;$J16,0,MIN($AO16,(((YEAR(Lists!O$21)-YEAR($J16))*12+MONTH(Lists!O$21)-MONTH($J16))-(EDATE($J16,((YEAR(Lists!O$21)-YEAR($J16))*12+MONTH(Lists!O$21)-MONTH($J16)))&gt;Lists!O$21)+1)))-IF(Lists!O$22&lt;$J16,0,MIN($AO16,(((YEAR(Lists!O$22)-YEAR($J16))*12+MONTH(Lists!O$22)-MONTH($J16))-(EDATE($J16,((YEAR(Lists!O$22)-YEAR($J16))*12+MONTH(Lists!O$22)-MONTH($J16)))&gt;Lists!O$22)+1)))),IF($AP16="F",IF(N($K16)&lt;=0,0,MIN(MAX(0,$H16),N($K16)*IF(Lists!O$21&lt;$J16,0,(((YEAR(Lists!O$21)-YEAR($J16))*12+MONTH(Lists!O$21)-MONTH($J16))-(EDATE($J16,((YEAR(Lists!O$21)-YEAR($J16))*12+MONTH(Lists!O$21)-MONTH($J16)))&gt;Lists!O$21)+1)))-MIN(MAX(0,$H16),N($K16)*IF(Lists!O$22&lt;$J16,0,(((YEAR(Lists!O$22)-YEAR($J16))*12+MONTH(Lists!O$22)-MONTH($J16))-(EDATE($J16,((YEAR(Lists!O$22)-YEAR($J16))*12+MONTH(Lists!O$22)-MONTH($J16)))&gt;Lists!O$22)+1)))),N($C16)*IF($AE16-$AD16&lt;1,($AD16&gt;Lists!O$22)*($AD16&lt;=Lists!O$21),MAX(0,MIN(Lists!O$21,$AE16)-MAX(Lists!O$22,$AD16))/($AE16-$AD16))+N($D16)*IF($AG16-$AF16&lt;1,($AF16&gt;Lists!O$22)*($AF16&lt;=Lists!O$21),MAX(0,MIN(Lists!O$21,$AG16)-MAX(Lists!O$22,$AF16))/($AG16-$AF16))+N($E16)*IF($AI16-$AH16&lt;1,($AH16&gt;Lists!O$22)*($AH16&lt;=Lists!O$21),MAX(0,MIN(Lists!O$21,$AI16)-MAX(Lists!O$22,$AH16))/($AI16-$AH16))+N($F16)*IF($AK16-$AJ16&lt;1,($AJ16&gt;Lists!O$22)*($AJ16&lt;=Lists!O$21),MAX(0,MIN(Lists!O$21,$AK16)-MAX(Lists!O$22,$AJ16))/($AK16-$AJ16))+N($G16)*IF($AM16-$AL16&lt;1,($AL16&gt;Lists!O$22)*($AL16&lt;=Lists!O$21),MAX(0,MIN(Lists!O$21,$AM16)-MAX(Lists!O$22,$AL16))/($AM16-$AL16))))))))</f>
        <v>0</v>
      </c>
      <c r="Z16" s="46" t="n">
        <f aca="false">SUM(M16:Y16)</f>
        <v>0</v>
      </c>
      <c r="AA16" s="92" t="n">
        <f aca="false">H16-Z16</f>
        <v>0</v>
      </c>
      <c r="AB16" s="55"/>
      <c r="AC16" s="2"/>
      <c r="AD16" s="93" t="n">
        <f aca="false">Setup!$D$10+MAX(0,$AN16-30)</f>
        <v>46365</v>
      </c>
      <c r="AE16" s="93" t="n">
        <f aca="false">Setup!$D$10+IF($AN16-30&lt;0,MAX(Setup!$D$22,$AN16-0),$AN16-0)</f>
        <v>46395</v>
      </c>
      <c r="AF16" s="93" t="n">
        <f aca="false">Setup!$D$10+MAX(0,$AN16-60)</f>
        <v>46335</v>
      </c>
      <c r="AG16" s="93" t="n">
        <f aca="false">Setup!$D$10+IF($AN16-60&lt;0,MAX(Setup!$D$22,$AN16-31),$AN16-31)</f>
        <v>46364</v>
      </c>
      <c r="AH16" s="93" t="n">
        <f aca="false">Setup!$D$10+MAX(0,$AN16-90)</f>
        <v>46335</v>
      </c>
      <c r="AI16" s="93" t="n">
        <f aca="false">Setup!$D$10+IF($AN16-90&lt;0,MAX(Setup!$D$22,$AN16-61),$AN16-61)</f>
        <v>46363</v>
      </c>
      <c r="AJ16" s="93" t="n">
        <f aca="false">Setup!$D$10+MAX(0,$AN16-120)</f>
        <v>46335</v>
      </c>
      <c r="AK16" s="93" t="n">
        <f aca="false">Setup!$D$10+IF($AN16-120&lt;0,MAX(Setup!$D$22,$AN16-91),$AN16-91)</f>
        <v>46363</v>
      </c>
      <c r="AL16" s="93" t="n">
        <f aca="false">IF(Setup!$D$23="Yes",2958465,Setup!$D$10)</f>
        <v>2958465</v>
      </c>
      <c r="AM16" s="93" t="n">
        <f aca="false">IF(AL16=2958465,AL16,Setup!$D$10+Setup!$D$22)</f>
        <v>2958465</v>
      </c>
      <c r="AN16" s="94" t="n">
        <f aca="false">IF(N(L16)=0,Setup!$D$20,L16)</f>
        <v>60</v>
      </c>
      <c r="AO16" s="94" t="n">
        <f aca="false">MAX(1,ROUND(N(K16),0))</f>
        <v>1</v>
      </c>
      <c r="AP16" s="95" t="str">
        <f aca="false">IF(I16="Doubtful","X",IF(N(J16)=0,"A",IF(I16="Specific date","S",IF(I16="Spread over days","D",IF(I16="Monthly on set day","M",IF(I16="Monthly fixed amount","F","A"))))))</f>
        <v>A</v>
      </c>
    </row>
    <row r="17" customFormat="false" ht="15" hidden="false" customHeight="false" outlineLevel="0" collapsed="false">
      <c r="A17" s="87" t="n">
        <v>9</v>
      </c>
      <c r="B17" s="55"/>
      <c r="C17" s="88"/>
      <c r="D17" s="88"/>
      <c r="E17" s="88"/>
      <c r="F17" s="88"/>
      <c r="G17" s="88"/>
      <c r="H17" s="89" t="n">
        <f aca="false">SUM(C17:G17)</f>
        <v>0</v>
      </c>
      <c r="I17" s="58"/>
      <c r="J17" s="90"/>
      <c r="K17" s="91"/>
      <c r="L17" s="80"/>
      <c r="M17" s="53" t="n">
        <f aca="false">IF($H17=0,0,IF($AP17="X",0,IF($AP17="S",$H17/$AO17*(MIN($AO17,MAX(0,INT((Lists!C$21-N($J17))/7)+1))-MIN($AO17,MAX(0,INT((Lists!C$22-N($J17))/7)+1))),IF($AP17="D",$H17*MAX(0,MIN(Lists!C$21,N($J17)+$AO17)-MAX(Lists!C$22,N($J17)))/$AO17,IF($AP17="M",$H17/$AO17*(IF(Lists!C$21&lt;$J17,0,MIN($AO17,(((YEAR(Lists!C$21)-YEAR($J17))*12+MONTH(Lists!C$21)-MONTH($J17))-(EDATE($J17,((YEAR(Lists!C$21)-YEAR($J17))*12+MONTH(Lists!C$21)-MONTH($J17)))&gt;Lists!C$21)+1)))-IF(Lists!C$22&lt;$J17,0,MIN($AO17,(((YEAR(Lists!C$22)-YEAR($J17))*12+MONTH(Lists!C$22)-MONTH($J17))-(EDATE($J17,((YEAR(Lists!C$22)-YEAR($J17))*12+MONTH(Lists!C$22)-MONTH($J17)))&gt;Lists!C$22)+1)))),IF($AP17="F",IF(N($K17)&lt;=0,0,MIN(MAX(0,$H17),N($K17)*IF(Lists!C$21&lt;$J17,0,(((YEAR(Lists!C$21)-YEAR($J17))*12+MONTH(Lists!C$21)-MONTH($J17))-(EDATE($J17,((YEAR(Lists!C$21)-YEAR($J17))*12+MONTH(Lists!C$21)-MONTH($J17)))&gt;Lists!C$21)+1)))-MIN(MAX(0,$H17),N($K17)*IF(Lists!C$22&lt;$J17,0,(((YEAR(Lists!C$22)-YEAR($J17))*12+MONTH(Lists!C$22)-MONTH($J17))-(EDATE($J17,((YEAR(Lists!C$22)-YEAR($J17))*12+MONTH(Lists!C$22)-MONTH($J17)))&gt;Lists!C$22)+1)))),N($C17)*IF($AE17-$AD17&lt;1,($AD17&gt;Lists!C$22)*($AD17&lt;=Lists!C$21),MAX(0,MIN(Lists!C$21,$AE17)-MAX(Lists!C$22,$AD17))/($AE17-$AD17))+N($D17)*IF($AG17-$AF17&lt;1,($AF17&gt;Lists!C$22)*($AF17&lt;=Lists!C$21),MAX(0,MIN(Lists!C$21,$AG17)-MAX(Lists!C$22,$AF17))/($AG17-$AF17))+N($E17)*IF($AI17-$AH17&lt;1,($AH17&gt;Lists!C$22)*($AH17&lt;=Lists!C$21),MAX(0,MIN(Lists!C$21,$AI17)-MAX(Lists!C$22,$AH17))/($AI17-$AH17))+N($F17)*IF($AK17-$AJ17&lt;1,($AJ17&gt;Lists!C$22)*($AJ17&lt;=Lists!C$21),MAX(0,MIN(Lists!C$21,$AK17)-MAX(Lists!C$22,$AJ17))/($AK17-$AJ17))+N($G17)*IF($AM17-$AL17&lt;1,($AL17&gt;Lists!C$22)*($AL17&lt;=Lists!C$21),MAX(0,MIN(Lists!C$21,$AM17)-MAX(Lists!C$22,$AL17))/($AM17-$AL17))))))))</f>
        <v>0</v>
      </c>
      <c r="N17" s="53" t="n">
        <f aca="false">IF($H17=0,0,IF($AP17="X",0,IF($AP17="S",$H17/$AO17*(MIN($AO17,MAX(0,INT((Lists!D$21-N($J17))/7)+1))-MIN($AO17,MAX(0,INT((Lists!D$22-N($J17))/7)+1))),IF($AP17="D",$H17*MAX(0,MIN(Lists!D$21,N($J17)+$AO17)-MAX(Lists!D$22,N($J17)))/$AO17,IF($AP17="M",$H17/$AO17*(IF(Lists!D$21&lt;$J17,0,MIN($AO17,(((YEAR(Lists!D$21)-YEAR($J17))*12+MONTH(Lists!D$21)-MONTH($J17))-(EDATE($J17,((YEAR(Lists!D$21)-YEAR($J17))*12+MONTH(Lists!D$21)-MONTH($J17)))&gt;Lists!D$21)+1)))-IF(Lists!D$22&lt;$J17,0,MIN($AO17,(((YEAR(Lists!D$22)-YEAR($J17))*12+MONTH(Lists!D$22)-MONTH($J17))-(EDATE($J17,((YEAR(Lists!D$22)-YEAR($J17))*12+MONTH(Lists!D$22)-MONTH($J17)))&gt;Lists!D$22)+1)))),IF($AP17="F",IF(N($K17)&lt;=0,0,MIN(MAX(0,$H17),N($K17)*IF(Lists!D$21&lt;$J17,0,(((YEAR(Lists!D$21)-YEAR($J17))*12+MONTH(Lists!D$21)-MONTH($J17))-(EDATE($J17,((YEAR(Lists!D$21)-YEAR($J17))*12+MONTH(Lists!D$21)-MONTH($J17)))&gt;Lists!D$21)+1)))-MIN(MAX(0,$H17),N($K17)*IF(Lists!D$22&lt;$J17,0,(((YEAR(Lists!D$22)-YEAR($J17))*12+MONTH(Lists!D$22)-MONTH($J17))-(EDATE($J17,((YEAR(Lists!D$22)-YEAR($J17))*12+MONTH(Lists!D$22)-MONTH($J17)))&gt;Lists!D$22)+1)))),N($C17)*IF($AE17-$AD17&lt;1,($AD17&gt;Lists!D$22)*($AD17&lt;=Lists!D$21),MAX(0,MIN(Lists!D$21,$AE17)-MAX(Lists!D$22,$AD17))/($AE17-$AD17))+N($D17)*IF($AG17-$AF17&lt;1,($AF17&gt;Lists!D$22)*($AF17&lt;=Lists!D$21),MAX(0,MIN(Lists!D$21,$AG17)-MAX(Lists!D$22,$AF17))/($AG17-$AF17))+N($E17)*IF($AI17-$AH17&lt;1,($AH17&gt;Lists!D$22)*($AH17&lt;=Lists!D$21),MAX(0,MIN(Lists!D$21,$AI17)-MAX(Lists!D$22,$AH17))/($AI17-$AH17))+N($F17)*IF($AK17-$AJ17&lt;1,($AJ17&gt;Lists!D$22)*($AJ17&lt;=Lists!D$21),MAX(0,MIN(Lists!D$21,$AK17)-MAX(Lists!D$22,$AJ17))/($AK17-$AJ17))+N($G17)*IF($AM17-$AL17&lt;1,($AL17&gt;Lists!D$22)*($AL17&lt;=Lists!D$21),MAX(0,MIN(Lists!D$21,$AM17)-MAX(Lists!D$22,$AL17))/($AM17-$AL17))))))))</f>
        <v>0</v>
      </c>
      <c r="O17" s="53" t="n">
        <f aca="false">IF($H17=0,0,IF($AP17="X",0,IF($AP17="S",$H17/$AO17*(MIN($AO17,MAX(0,INT((Lists!E$21-N($J17))/7)+1))-MIN($AO17,MAX(0,INT((Lists!E$22-N($J17))/7)+1))),IF($AP17="D",$H17*MAX(0,MIN(Lists!E$21,N($J17)+$AO17)-MAX(Lists!E$22,N($J17)))/$AO17,IF($AP17="M",$H17/$AO17*(IF(Lists!E$21&lt;$J17,0,MIN($AO17,(((YEAR(Lists!E$21)-YEAR($J17))*12+MONTH(Lists!E$21)-MONTH($J17))-(EDATE($J17,((YEAR(Lists!E$21)-YEAR($J17))*12+MONTH(Lists!E$21)-MONTH($J17)))&gt;Lists!E$21)+1)))-IF(Lists!E$22&lt;$J17,0,MIN($AO17,(((YEAR(Lists!E$22)-YEAR($J17))*12+MONTH(Lists!E$22)-MONTH($J17))-(EDATE($J17,((YEAR(Lists!E$22)-YEAR($J17))*12+MONTH(Lists!E$22)-MONTH($J17)))&gt;Lists!E$22)+1)))),IF($AP17="F",IF(N($K17)&lt;=0,0,MIN(MAX(0,$H17),N($K17)*IF(Lists!E$21&lt;$J17,0,(((YEAR(Lists!E$21)-YEAR($J17))*12+MONTH(Lists!E$21)-MONTH($J17))-(EDATE($J17,((YEAR(Lists!E$21)-YEAR($J17))*12+MONTH(Lists!E$21)-MONTH($J17)))&gt;Lists!E$21)+1)))-MIN(MAX(0,$H17),N($K17)*IF(Lists!E$22&lt;$J17,0,(((YEAR(Lists!E$22)-YEAR($J17))*12+MONTH(Lists!E$22)-MONTH($J17))-(EDATE($J17,((YEAR(Lists!E$22)-YEAR($J17))*12+MONTH(Lists!E$22)-MONTH($J17)))&gt;Lists!E$22)+1)))),N($C17)*IF($AE17-$AD17&lt;1,($AD17&gt;Lists!E$22)*($AD17&lt;=Lists!E$21),MAX(0,MIN(Lists!E$21,$AE17)-MAX(Lists!E$22,$AD17))/($AE17-$AD17))+N($D17)*IF($AG17-$AF17&lt;1,($AF17&gt;Lists!E$22)*($AF17&lt;=Lists!E$21),MAX(0,MIN(Lists!E$21,$AG17)-MAX(Lists!E$22,$AF17))/($AG17-$AF17))+N($E17)*IF($AI17-$AH17&lt;1,($AH17&gt;Lists!E$22)*($AH17&lt;=Lists!E$21),MAX(0,MIN(Lists!E$21,$AI17)-MAX(Lists!E$22,$AH17))/($AI17-$AH17))+N($F17)*IF($AK17-$AJ17&lt;1,($AJ17&gt;Lists!E$22)*($AJ17&lt;=Lists!E$21),MAX(0,MIN(Lists!E$21,$AK17)-MAX(Lists!E$22,$AJ17))/($AK17-$AJ17))+N($G17)*IF($AM17-$AL17&lt;1,($AL17&gt;Lists!E$22)*($AL17&lt;=Lists!E$21),MAX(0,MIN(Lists!E$21,$AM17)-MAX(Lists!E$22,$AL17))/($AM17-$AL17))))))))</f>
        <v>0</v>
      </c>
      <c r="P17" s="53" t="n">
        <f aca="false">IF($H17=0,0,IF($AP17="X",0,IF($AP17="S",$H17/$AO17*(MIN($AO17,MAX(0,INT((Lists!F$21-N($J17))/7)+1))-MIN($AO17,MAX(0,INT((Lists!F$22-N($J17))/7)+1))),IF($AP17="D",$H17*MAX(0,MIN(Lists!F$21,N($J17)+$AO17)-MAX(Lists!F$22,N($J17)))/$AO17,IF($AP17="M",$H17/$AO17*(IF(Lists!F$21&lt;$J17,0,MIN($AO17,(((YEAR(Lists!F$21)-YEAR($J17))*12+MONTH(Lists!F$21)-MONTH($J17))-(EDATE($J17,((YEAR(Lists!F$21)-YEAR($J17))*12+MONTH(Lists!F$21)-MONTH($J17)))&gt;Lists!F$21)+1)))-IF(Lists!F$22&lt;$J17,0,MIN($AO17,(((YEAR(Lists!F$22)-YEAR($J17))*12+MONTH(Lists!F$22)-MONTH($J17))-(EDATE($J17,((YEAR(Lists!F$22)-YEAR($J17))*12+MONTH(Lists!F$22)-MONTH($J17)))&gt;Lists!F$22)+1)))),IF($AP17="F",IF(N($K17)&lt;=0,0,MIN(MAX(0,$H17),N($K17)*IF(Lists!F$21&lt;$J17,0,(((YEAR(Lists!F$21)-YEAR($J17))*12+MONTH(Lists!F$21)-MONTH($J17))-(EDATE($J17,((YEAR(Lists!F$21)-YEAR($J17))*12+MONTH(Lists!F$21)-MONTH($J17)))&gt;Lists!F$21)+1)))-MIN(MAX(0,$H17),N($K17)*IF(Lists!F$22&lt;$J17,0,(((YEAR(Lists!F$22)-YEAR($J17))*12+MONTH(Lists!F$22)-MONTH($J17))-(EDATE($J17,((YEAR(Lists!F$22)-YEAR($J17))*12+MONTH(Lists!F$22)-MONTH($J17)))&gt;Lists!F$22)+1)))),N($C17)*IF($AE17-$AD17&lt;1,($AD17&gt;Lists!F$22)*($AD17&lt;=Lists!F$21),MAX(0,MIN(Lists!F$21,$AE17)-MAX(Lists!F$22,$AD17))/($AE17-$AD17))+N($D17)*IF($AG17-$AF17&lt;1,($AF17&gt;Lists!F$22)*($AF17&lt;=Lists!F$21),MAX(0,MIN(Lists!F$21,$AG17)-MAX(Lists!F$22,$AF17))/($AG17-$AF17))+N($E17)*IF($AI17-$AH17&lt;1,($AH17&gt;Lists!F$22)*($AH17&lt;=Lists!F$21),MAX(0,MIN(Lists!F$21,$AI17)-MAX(Lists!F$22,$AH17))/($AI17-$AH17))+N($F17)*IF($AK17-$AJ17&lt;1,($AJ17&gt;Lists!F$22)*($AJ17&lt;=Lists!F$21),MAX(0,MIN(Lists!F$21,$AK17)-MAX(Lists!F$22,$AJ17))/($AK17-$AJ17))+N($G17)*IF($AM17-$AL17&lt;1,($AL17&gt;Lists!F$22)*($AL17&lt;=Lists!F$21),MAX(0,MIN(Lists!F$21,$AM17)-MAX(Lists!F$22,$AL17))/($AM17-$AL17))))))))</f>
        <v>0</v>
      </c>
      <c r="Q17" s="53" t="n">
        <f aca="false">IF($H17=0,0,IF($AP17="X",0,IF($AP17="S",$H17/$AO17*(MIN($AO17,MAX(0,INT((Lists!G$21-N($J17))/7)+1))-MIN($AO17,MAX(0,INT((Lists!G$22-N($J17))/7)+1))),IF($AP17="D",$H17*MAX(0,MIN(Lists!G$21,N($J17)+$AO17)-MAX(Lists!G$22,N($J17)))/$AO17,IF($AP17="M",$H17/$AO17*(IF(Lists!G$21&lt;$J17,0,MIN($AO17,(((YEAR(Lists!G$21)-YEAR($J17))*12+MONTH(Lists!G$21)-MONTH($J17))-(EDATE($J17,((YEAR(Lists!G$21)-YEAR($J17))*12+MONTH(Lists!G$21)-MONTH($J17)))&gt;Lists!G$21)+1)))-IF(Lists!G$22&lt;$J17,0,MIN($AO17,(((YEAR(Lists!G$22)-YEAR($J17))*12+MONTH(Lists!G$22)-MONTH($J17))-(EDATE($J17,((YEAR(Lists!G$22)-YEAR($J17))*12+MONTH(Lists!G$22)-MONTH($J17)))&gt;Lists!G$22)+1)))),IF($AP17="F",IF(N($K17)&lt;=0,0,MIN(MAX(0,$H17),N($K17)*IF(Lists!G$21&lt;$J17,0,(((YEAR(Lists!G$21)-YEAR($J17))*12+MONTH(Lists!G$21)-MONTH($J17))-(EDATE($J17,((YEAR(Lists!G$21)-YEAR($J17))*12+MONTH(Lists!G$21)-MONTH($J17)))&gt;Lists!G$21)+1)))-MIN(MAX(0,$H17),N($K17)*IF(Lists!G$22&lt;$J17,0,(((YEAR(Lists!G$22)-YEAR($J17))*12+MONTH(Lists!G$22)-MONTH($J17))-(EDATE($J17,((YEAR(Lists!G$22)-YEAR($J17))*12+MONTH(Lists!G$22)-MONTH($J17)))&gt;Lists!G$22)+1)))),N($C17)*IF($AE17-$AD17&lt;1,($AD17&gt;Lists!G$22)*($AD17&lt;=Lists!G$21),MAX(0,MIN(Lists!G$21,$AE17)-MAX(Lists!G$22,$AD17))/($AE17-$AD17))+N($D17)*IF($AG17-$AF17&lt;1,($AF17&gt;Lists!G$22)*($AF17&lt;=Lists!G$21),MAX(0,MIN(Lists!G$21,$AG17)-MAX(Lists!G$22,$AF17))/($AG17-$AF17))+N($E17)*IF($AI17-$AH17&lt;1,($AH17&gt;Lists!G$22)*($AH17&lt;=Lists!G$21),MAX(0,MIN(Lists!G$21,$AI17)-MAX(Lists!G$22,$AH17))/($AI17-$AH17))+N($F17)*IF($AK17-$AJ17&lt;1,($AJ17&gt;Lists!G$22)*($AJ17&lt;=Lists!G$21),MAX(0,MIN(Lists!G$21,$AK17)-MAX(Lists!G$22,$AJ17))/($AK17-$AJ17))+N($G17)*IF($AM17-$AL17&lt;1,($AL17&gt;Lists!G$22)*($AL17&lt;=Lists!G$21),MAX(0,MIN(Lists!G$21,$AM17)-MAX(Lists!G$22,$AL17))/($AM17-$AL17))))))))</f>
        <v>0</v>
      </c>
      <c r="R17" s="53" t="n">
        <f aca="false">IF($H17=0,0,IF($AP17="X",0,IF($AP17="S",$H17/$AO17*(MIN($AO17,MAX(0,INT((Lists!H$21-N($J17))/7)+1))-MIN($AO17,MAX(0,INT((Lists!H$22-N($J17))/7)+1))),IF($AP17="D",$H17*MAX(0,MIN(Lists!H$21,N($J17)+$AO17)-MAX(Lists!H$22,N($J17)))/$AO17,IF($AP17="M",$H17/$AO17*(IF(Lists!H$21&lt;$J17,0,MIN($AO17,(((YEAR(Lists!H$21)-YEAR($J17))*12+MONTH(Lists!H$21)-MONTH($J17))-(EDATE($J17,((YEAR(Lists!H$21)-YEAR($J17))*12+MONTH(Lists!H$21)-MONTH($J17)))&gt;Lists!H$21)+1)))-IF(Lists!H$22&lt;$J17,0,MIN($AO17,(((YEAR(Lists!H$22)-YEAR($J17))*12+MONTH(Lists!H$22)-MONTH($J17))-(EDATE($J17,((YEAR(Lists!H$22)-YEAR($J17))*12+MONTH(Lists!H$22)-MONTH($J17)))&gt;Lists!H$22)+1)))),IF($AP17="F",IF(N($K17)&lt;=0,0,MIN(MAX(0,$H17),N($K17)*IF(Lists!H$21&lt;$J17,0,(((YEAR(Lists!H$21)-YEAR($J17))*12+MONTH(Lists!H$21)-MONTH($J17))-(EDATE($J17,((YEAR(Lists!H$21)-YEAR($J17))*12+MONTH(Lists!H$21)-MONTH($J17)))&gt;Lists!H$21)+1)))-MIN(MAX(0,$H17),N($K17)*IF(Lists!H$22&lt;$J17,0,(((YEAR(Lists!H$22)-YEAR($J17))*12+MONTH(Lists!H$22)-MONTH($J17))-(EDATE($J17,((YEAR(Lists!H$22)-YEAR($J17))*12+MONTH(Lists!H$22)-MONTH($J17)))&gt;Lists!H$22)+1)))),N($C17)*IF($AE17-$AD17&lt;1,($AD17&gt;Lists!H$22)*($AD17&lt;=Lists!H$21),MAX(0,MIN(Lists!H$21,$AE17)-MAX(Lists!H$22,$AD17))/($AE17-$AD17))+N($D17)*IF($AG17-$AF17&lt;1,($AF17&gt;Lists!H$22)*($AF17&lt;=Lists!H$21),MAX(0,MIN(Lists!H$21,$AG17)-MAX(Lists!H$22,$AF17))/($AG17-$AF17))+N($E17)*IF($AI17-$AH17&lt;1,($AH17&gt;Lists!H$22)*($AH17&lt;=Lists!H$21),MAX(0,MIN(Lists!H$21,$AI17)-MAX(Lists!H$22,$AH17))/($AI17-$AH17))+N($F17)*IF($AK17-$AJ17&lt;1,($AJ17&gt;Lists!H$22)*($AJ17&lt;=Lists!H$21),MAX(0,MIN(Lists!H$21,$AK17)-MAX(Lists!H$22,$AJ17))/($AK17-$AJ17))+N($G17)*IF($AM17-$AL17&lt;1,($AL17&gt;Lists!H$22)*($AL17&lt;=Lists!H$21),MAX(0,MIN(Lists!H$21,$AM17)-MAX(Lists!H$22,$AL17))/($AM17-$AL17))))))))</f>
        <v>0</v>
      </c>
      <c r="S17" s="53" t="n">
        <f aca="false">IF($H17=0,0,IF($AP17="X",0,IF($AP17="S",$H17/$AO17*(MIN($AO17,MAX(0,INT((Lists!I$21-N($J17))/7)+1))-MIN($AO17,MAX(0,INT((Lists!I$22-N($J17))/7)+1))),IF($AP17="D",$H17*MAX(0,MIN(Lists!I$21,N($J17)+$AO17)-MAX(Lists!I$22,N($J17)))/$AO17,IF($AP17="M",$H17/$AO17*(IF(Lists!I$21&lt;$J17,0,MIN($AO17,(((YEAR(Lists!I$21)-YEAR($J17))*12+MONTH(Lists!I$21)-MONTH($J17))-(EDATE($J17,((YEAR(Lists!I$21)-YEAR($J17))*12+MONTH(Lists!I$21)-MONTH($J17)))&gt;Lists!I$21)+1)))-IF(Lists!I$22&lt;$J17,0,MIN($AO17,(((YEAR(Lists!I$22)-YEAR($J17))*12+MONTH(Lists!I$22)-MONTH($J17))-(EDATE($J17,((YEAR(Lists!I$22)-YEAR($J17))*12+MONTH(Lists!I$22)-MONTH($J17)))&gt;Lists!I$22)+1)))),IF($AP17="F",IF(N($K17)&lt;=0,0,MIN(MAX(0,$H17),N($K17)*IF(Lists!I$21&lt;$J17,0,(((YEAR(Lists!I$21)-YEAR($J17))*12+MONTH(Lists!I$21)-MONTH($J17))-(EDATE($J17,((YEAR(Lists!I$21)-YEAR($J17))*12+MONTH(Lists!I$21)-MONTH($J17)))&gt;Lists!I$21)+1)))-MIN(MAX(0,$H17),N($K17)*IF(Lists!I$22&lt;$J17,0,(((YEAR(Lists!I$22)-YEAR($J17))*12+MONTH(Lists!I$22)-MONTH($J17))-(EDATE($J17,((YEAR(Lists!I$22)-YEAR($J17))*12+MONTH(Lists!I$22)-MONTH($J17)))&gt;Lists!I$22)+1)))),N($C17)*IF($AE17-$AD17&lt;1,($AD17&gt;Lists!I$22)*($AD17&lt;=Lists!I$21),MAX(0,MIN(Lists!I$21,$AE17)-MAX(Lists!I$22,$AD17))/($AE17-$AD17))+N($D17)*IF($AG17-$AF17&lt;1,($AF17&gt;Lists!I$22)*($AF17&lt;=Lists!I$21),MAX(0,MIN(Lists!I$21,$AG17)-MAX(Lists!I$22,$AF17))/($AG17-$AF17))+N($E17)*IF($AI17-$AH17&lt;1,($AH17&gt;Lists!I$22)*($AH17&lt;=Lists!I$21),MAX(0,MIN(Lists!I$21,$AI17)-MAX(Lists!I$22,$AH17))/($AI17-$AH17))+N($F17)*IF($AK17-$AJ17&lt;1,($AJ17&gt;Lists!I$22)*($AJ17&lt;=Lists!I$21),MAX(0,MIN(Lists!I$21,$AK17)-MAX(Lists!I$22,$AJ17))/($AK17-$AJ17))+N($G17)*IF($AM17-$AL17&lt;1,($AL17&gt;Lists!I$22)*($AL17&lt;=Lists!I$21),MAX(0,MIN(Lists!I$21,$AM17)-MAX(Lists!I$22,$AL17))/($AM17-$AL17))))))))</f>
        <v>0</v>
      </c>
      <c r="T17" s="53" t="n">
        <f aca="false">IF($H17=0,0,IF($AP17="X",0,IF($AP17="S",$H17/$AO17*(MIN($AO17,MAX(0,INT((Lists!J$21-N($J17))/7)+1))-MIN($AO17,MAX(0,INT((Lists!J$22-N($J17))/7)+1))),IF($AP17="D",$H17*MAX(0,MIN(Lists!J$21,N($J17)+$AO17)-MAX(Lists!J$22,N($J17)))/$AO17,IF($AP17="M",$H17/$AO17*(IF(Lists!J$21&lt;$J17,0,MIN($AO17,(((YEAR(Lists!J$21)-YEAR($J17))*12+MONTH(Lists!J$21)-MONTH($J17))-(EDATE($J17,((YEAR(Lists!J$21)-YEAR($J17))*12+MONTH(Lists!J$21)-MONTH($J17)))&gt;Lists!J$21)+1)))-IF(Lists!J$22&lt;$J17,0,MIN($AO17,(((YEAR(Lists!J$22)-YEAR($J17))*12+MONTH(Lists!J$22)-MONTH($J17))-(EDATE($J17,((YEAR(Lists!J$22)-YEAR($J17))*12+MONTH(Lists!J$22)-MONTH($J17)))&gt;Lists!J$22)+1)))),IF($AP17="F",IF(N($K17)&lt;=0,0,MIN(MAX(0,$H17),N($K17)*IF(Lists!J$21&lt;$J17,0,(((YEAR(Lists!J$21)-YEAR($J17))*12+MONTH(Lists!J$21)-MONTH($J17))-(EDATE($J17,((YEAR(Lists!J$21)-YEAR($J17))*12+MONTH(Lists!J$21)-MONTH($J17)))&gt;Lists!J$21)+1)))-MIN(MAX(0,$H17),N($K17)*IF(Lists!J$22&lt;$J17,0,(((YEAR(Lists!J$22)-YEAR($J17))*12+MONTH(Lists!J$22)-MONTH($J17))-(EDATE($J17,((YEAR(Lists!J$22)-YEAR($J17))*12+MONTH(Lists!J$22)-MONTH($J17)))&gt;Lists!J$22)+1)))),N($C17)*IF($AE17-$AD17&lt;1,($AD17&gt;Lists!J$22)*($AD17&lt;=Lists!J$21),MAX(0,MIN(Lists!J$21,$AE17)-MAX(Lists!J$22,$AD17))/($AE17-$AD17))+N($D17)*IF($AG17-$AF17&lt;1,($AF17&gt;Lists!J$22)*($AF17&lt;=Lists!J$21),MAX(0,MIN(Lists!J$21,$AG17)-MAX(Lists!J$22,$AF17))/($AG17-$AF17))+N($E17)*IF($AI17-$AH17&lt;1,($AH17&gt;Lists!J$22)*($AH17&lt;=Lists!J$21),MAX(0,MIN(Lists!J$21,$AI17)-MAX(Lists!J$22,$AH17))/($AI17-$AH17))+N($F17)*IF($AK17-$AJ17&lt;1,($AJ17&gt;Lists!J$22)*($AJ17&lt;=Lists!J$21),MAX(0,MIN(Lists!J$21,$AK17)-MAX(Lists!J$22,$AJ17))/($AK17-$AJ17))+N($G17)*IF($AM17-$AL17&lt;1,($AL17&gt;Lists!J$22)*($AL17&lt;=Lists!J$21),MAX(0,MIN(Lists!J$21,$AM17)-MAX(Lists!J$22,$AL17))/($AM17-$AL17))))))))</f>
        <v>0</v>
      </c>
      <c r="U17" s="53" t="n">
        <f aca="false">IF($H17=0,0,IF($AP17="X",0,IF($AP17="S",$H17/$AO17*(MIN($AO17,MAX(0,INT((Lists!K$21-N($J17))/7)+1))-MIN($AO17,MAX(0,INT((Lists!K$22-N($J17))/7)+1))),IF($AP17="D",$H17*MAX(0,MIN(Lists!K$21,N($J17)+$AO17)-MAX(Lists!K$22,N($J17)))/$AO17,IF($AP17="M",$H17/$AO17*(IF(Lists!K$21&lt;$J17,0,MIN($AO17,(((YEAR(Lists!K$21)-YEAR($J17))*12+MONTH(Lists!K$21)-MONTH($J17))-(EDATE($J17,((YEAR(Lists!K$21)-YEAR($J17))*12+MONTH(Lists!K$21)-MONTH($J17)))&gt;Lists!K$21)+1)))-IF(Lists!K$22&lt;$J17,0,MIN($AO17,(((YEAR(Lists!K$22)-YEAR($J17))*12+MONTH(Lists!K$22)-MONTH($J17))-(EDATE($J17,((YEAR(Lists!K$22)-YEAR($J17))*12+MONTH(Lists!K$22)-MONTH($J17)))&gt;Lists!K$22)+1)))),IF($AP17="F",IF(N($K17)&lt;=0,0,MIN(MAX(0,$H17),N($K17)*IF(Lists!K$21&lt;$J17,0,(((YEAR(Lists!K$21)-YEAR($J17))*12+MONTH(Lists!K$21)-MONTH($J17))-(EDATE($J17,((YEAR(Lists!K$21)-YEAR($J17))*12+MONTH(Lists!K$21)-MONTH($J17)))&gt;Lists!K$21)+1)))-MIN(MAX(0,$H17),N($K17)*IF(Lists!K$22&lt;$J17,0,(((YEAR(Lists!K$22)-YEAR($J17))*12+MONTH(Lists!K$22)-MONTH($J17))-(EDATE($J17,((YEAR(Lists!K$22)-YEAR($J17))*12+MONTH(Lists!K$22)-MONTH($J17)))&gt;Lists!K$22)+1)))),N($C17)*IF($AE17-$AD17&lt;1,($AD17&gt;Lists!K$22)*($AD17&lt;=Lists!K$21),MAX(0,MIN(Lists!K$21,$AE17)-MAX(Lists!K$22,$AD17))/($AE17-$AD17))+N($D17)*IF($AG17-$AF17&lt;1,($AF17&gt;Lists!K$22)*($AF17&lt;=Lists!K$21),MAX(0,MIN(Lists!K$21,$AG17)-MAX(Lists!K$22,$AF17))/($AG17-$AF17))+N($E17)*IF($AI17-$AH17&lt;1,($AH17&gt;Lists!K$22)*($AH17&lt;=Lists!K$21),MAX(0,MIN(Lists!K$21,$AI17)-MAX(Lists!K$22,$AH17))/($AI17-$AH17))+N($F17)*IF($AK17-$AJ17&lt;1,($AJ17&gt;Lists!K$22)*($AJ17&lt;=Lists!K$21),MAX(0,MIN(Lists!K$21,$AK17)-MAX(Lists!K$22,$AJ17))/($AK17-$AJ17))+N($G17)*IF($AM17-$AL17&lt;1,($AL17&gt;Lists!K$22)*($AL17&lt;=Lists!K$21),MAX(0,MIN(Lists!K$21,$AM17)-MAX(Lists!K$22,$AL17))/($AM17-$AL17))))))))</f>
        <v>0</v>
      </c>
      <c r="V17" s="53" t="n">
        <f aca="false">IF($H17=0,0,IF($AP17="X",0,IF($AP17="S",$H17/$AO17*(MIN($AO17,MAX(0,INT((Lists!L$21-N($J17))/7)+1))-MIN($AO17,MAX(0,INT((Lists!L$22-N($J17))/7)+1))),IF($AP17="D",$H17*MAX(0,MIN(Lists!L$21,N($J17)+$AO17)-MAX(Lists!L$22,N($J17)))/$AO17,IF($AP17="M",$H17/$AO17*(IF(Lists!L$21&lt;$J17,0,MIN($AO17,(((YEAR(Lists!L$21)-YEAR($J17))*12+MONTH(Lists!L$21)-MONTH($J17))-(EDATE($J17,((YEAR(Lists!L$21)-YEAR($J17))*12+MONTH(Lists!L$21)-MONTH($J17)))&gt;Lists!L$21)+1)))-IF(Lists!L$22&lt;$J17,0,MIN($AO17,(((YEAR(Lists!L$22)-YEAR($J17))*12+MONTH(Lists!L$22)-MONTH($J17))-(EDATE($J17,((YEAR(Lists!L$22)-YEAR($J17))*12+MONTH(Lists!L$22)-MONTH($J17)))&gt;Lists!L$22)+1)))),IF($AP17="F",IF(N($K17)&lt;=0,0,MIN(MAX(0,$H17),N($K17)*IF(Lists!L$21&lt;$J17,0,(((YEAR(Lists!L$21)-YEAR($J17))*12+MONTH(Lists!L$21)-MONTH($J17))-(EDATE($J17,((YEAR(Lists!L$21)-YEAR($J17))*12+MONTH(Lists!L$21)-MONTH($J17)))&gt;Lists!L$21)+1)))-MIN(MAX(0,$H17),N($K17)*IF(Lists!L$22&lt;$J17,0,(((YEAR(Lists!L$22)-YEAR($J17))*12+MONTH(Lists!L$22)-MONTH($J17))-(EDATE($J17,((YEAR(Lists!L$22)-YEAR($J17))*12+MONTH(Lists!L$22)-MONTH($J17)))&gt;Lists!L$22)+1)))),N($C17)*IF($AE17-$AD17&lt;1,($AD17&gt;Lists!L$22)*($AD17&lt;=Lists!L$21),MAX(0,MIN(Lists!L$21,$AE17)-MAX(Lists!L$22,$AD17))/($AE17-$AD17))+N($D17)*IF($AG17-$AF17&lt;1,($AF17&gt;Lists!L$22)*($AF17&lt;=Lists!L$21),MAX(0,MIN(Lists!L$21,$AG17)-MAX(Lists!L$22,$AF17))/($AG17-$AF17))+N($E17)*IF($AI17-$AH17&lt;1,($AH17&gt;Lists!L$22)*($AH17&lt;=Lists!L$21),MAX(0,MIN(Lists!L$21,$AI17)-MAX(Lists!L$22,$AH17))/($AI17-$AH17))+N($F17)*IF($AK17-$AJ17&lt;1,($AJ17&gt;Lists!L$22)*($AJ17&lt;=Lists!L$21),MAX(0,MIN(Lists!L$21,$AK17)-MAX(Lists!L$22,$AJ17))/($AK17-$AJ17))+N($G17)*IF($AM17-$AL17&lt;1,($AL17&gt;Lists!L$22)*($AL17&lt;=Lists!L$21),MAX(0,MIN(Lists!L$21,$AM17)-MAX(Lists!L$22,$AL17))/($AM17-$AL17))))))))</f>
        <v>0</v>
      </c>
      <c r="W17" s="53" t="n">
        <f aca="false">IF($H17=0,0,IF($AP17="X",0,IF($AP17="S",$H17/$AO17*(MIN($AO17,MAX(0,INT((Lists!M$21-N($J17))/7)+1))-MIN($AO17,MAX(0,INT((Lists!M$22-N($J17))/7)+1))),IF($AP17="D",$H17*MAX(0,MIN(Lists!M$21,N($J17)+$AO17)-MAX(Lists!M$22,N($J17)))/$AO17,IF($AP17="M",$H17/$AO17*(IF(Lists!M$21&lt;$J17,0,MIN($AO17,(((YEAR(Lists!M$21)-YEAR($J17))*12+MONTH(Lists!M$21)-MONTH($J17))-(EDATE($J17,((YEAR(Lists!M$21)-YEAR($J17))*12+MONTH(Lists!M$21)-MONTH($J17)))&gt;Lists!M$21)+1)))-IF(Lists!M$22&lt;$J17,0,MIN($AO17,(((YEAR(Lists!M$22)-YEAR($J17))*12+MONTH(Lists!M$22)-MONTH($J17))-(EDATE($J17,((YEAR(Lists!M$22)-YEAR($J17))*12+MONTH(Lists!M$22)-MONTH($J17)))&gt;Lists!M$22)+1)))),IF($AP17="F",IF(N($K17)&lt;=0,0,MIN(MAX(0,$H17),N($K17)*IF(Lists!M$21&lt;$J17,0,(((YEAR(Lists!M$21)-YEAR($J17))*12+MONTH(Lists!M$21)-MONTH($J17))-(EDATE($J17,((YEAR(Lists!M$21)-YEAR($J17))*12+MONTH(Lists!M$21)-MONTH($J17)))&gt;Lists!M$21)+1)))-MIN(MAX(0,$H17),N($K17)*IF(Lists!M$22&lt;$J17,0,(((YEAR(Lists!M$22)-YEAR($J17))*12+MONTH(Lists!M$22)-MONTH($J17))-(EDATE($J17,((YEAR(Lists!M$22)-YEAR($J17))*12+MONTH(Lists!M$22)-MONTH($J17)))&gt;Lists!M$22)+1)))),N($C17)*IF($AE17-$AD17&lt;1,($AD17&gt;Lists!M$22)*($AD17&lt;=Lists!M$21),MAX(0,MIN(Lists!M$21,$AE17)-MAX(Lists!M$22,$AD17))/($AE17-$AD17))+N($D17)*IF($AG17-$AF17&lt;1,($AF17&gt;Lists!M$22)*($AF17&lt;=Lists!M$21),MAX(0,MIN(Lists!M$21,$AG17)-MAX(Lists!M$22,$AF17))/($AG17-$AF17))+N($E17)*IF($AI17-$AH17&lt;1,($AH17&gt;Lists!M$22)*($AH17&lt;=Lists!M$21),MAX(0,MIN(Lists!M$21,$AI17)-MAX(Lists!M$22,$AH17))/($AI17-$AH17))+N($F17)*IF($AK17-$AJ17&lt;1,($AJ17&gt;Lists!M$22)*($AJ17&lt;=Lists!M$21),MAX(0,MIN(Lists!M$21,$AK17)-MAX(Lists!M$22,$AJ17))/($AK17-$AJ17))+N($G17)*IF($AM17-$AL17&lt;1,($AL17&gt;Lists!M$22)*($AL17&lt;=Lists!M$21),MAX(0,MIN(Lists!M$21,$AM17)-MAX(Lists!M$22,$AL17))/($AM17-$AL17))))))))</f>
        <v>0</v>
      </c>
      <c r="X17" s="53" t="n">
        <f aca="false">IF($H17=0,0,IF($AP17="X",0,IF($AP17="S",$H17/$AO17*(MIN($AO17,MAX(0,INT((Lists!N$21-N($J17))/7)+1))-MIN($AO17,MAX(0,INT((Lists!N$22-N($J17))/7)+1))),IF($AP17="D",$H17*MAX(0,MIN(Lists!N$21,N($J17)+$AO17)-MAX(Lists!N$22,N($J17)))/$AO17,IF($AP17="M",$H17/$AO17*(IF(Lists!N$21&lt;$J17,0,MIN($AO17,(((YEAR(Lists!N$21)-YEAR($J17))*12+MONTH(Lists!N$21)-MONTH($J17))-(EDATE($J17,((YEAR(Lists!N$21)-YEAR($J17))*12+MONTH(Lists!N$21)-MONTH($J17)))&gt;Lists!N$21)+1)))-IF(Lists!N$22&lt;$J17,0,MIN($AO17,(((YEAR(Lists!N$22)-YEAR($J17))*12+MONTH(Lists!N$22)-MONTH($J17))-(EDATE($J17,((YEAR(Lists!N$22)-YEAR($J17))*12+MONTH(Lists!N$22)-MONTH($J17)))&gt;Lists!N$22)+1)))),IF($AP17="F",IF(N($K17)&lt;=0,0,MIN(MAX(0,$H17),N($K17)*IF(Lists!N$21&lt;$J17,0,(((YEAR(Lists!N$21)-YEAR($J17))*12+MONTH(Lists!N$21)-MONTH($J17))-(EDATE($J17,((YEAR(Lists!N$21)-YEAR($J17))*12+MONTH(Lists!N$21)-MONTH($J17)))&gt;Lists!N$21)+1)))-MIN(MAX(0,$H17),N($K17)*IF(Lists!N$22&lt;$J17,0,(((YEAR(Lists!N$22)-YEAR($J17))*12+MONTH(Lists!N$22)-MONTH($J17))-(EDATE($J17,((YEAR(Lists!N$22)-YEAR($J17))*12+MONTH(Lists!N$22)-MONTH($J17)))&gt;Lists!N$22)+1)))),N($C17)*IF($AE17-$AD17&lt;1,($AD17&gt;Lists!N$22)*($AD17&lt;=Lists!N$21),MAX(0,MIN(Lists!N$21,$AE17)-MAX(Lists!N$22,$AD17))/($AE17-$AD17))+N($D17)*IF($AG17-$AF17&lt;1,($AF17&gt;Lists!N$22)*($AF17&lt;=Lists!N$21),MAX(0,MIN(Lists!N$21,$AG17)-MAX(Lists!N$22,$AF17))/($AG17-$AF17))+N($E17)*IF($AI17-$AH17&lt;1,($AH17&gt;Lists!N$22)*($AH17&lt;=Lists!N$21),MAX(0,MIN(Lists!N$21,$AI17)-MAX(Lists!N$22,$AH17))/($AI17-$AH17))+N($F17)*IF($AK17-$AJ17&lt;1,($AJ17&gt;Lists!N$22)*($AJ17&lt;=Lists!N$21),MAX(0,MIN(Lists!N$21,$AK17)-MAX(Lists!N$22,$AJ17))/($AK17-$AJ17))+N($G17)*IF($AM17-$AL17&lt;1,($AL17&gt;Lists!N$22)*($AL17&lt;=Lists!N$21),MAX(0,MIN(Lists!N$21,$AM17)-MAX(Lists!N$22,$AL17))/($AM17-$AL17))))))))</f>
        <v>0</v>
      </c>
      <c r="Y17" s="53" t="n">
        <f aca="false">IF($H17=0,0,IF($AP17="X",0,IF($AP17="S",$H17/$AO17*(MIN($AO17,MAX(0,INT((Lists!O$21-N($J17))/7)+1))-MIN($AO17,MAX(0,INT((Lists!O$22-N($J17))/7)+1))),IF($AP17="D",$H17*MAX(0,MIN(Lists!O$21,N($J17)+$AO17)-MAX(Lists!O$22,N($J17)))/$AO17,IF($AP17="M",$H17/$AO17*(IF(Lists!O$21&lt;$J17,0,MIN($AO17,(((YEAR(Lists!O$21)-YEAR($J17))*12+MONTH(Lists!O$21)-MONTH($J17))-(EDATE($J17,((YEAR(Lists!O$21)-YEAR($J17))*12+MONTH(Lists!O$21)-MONTH($J17)))&gt;Lists!O$21)+1)))-IF(Lists!O$22&lt;$J17,0,MIN($AO17,(((YEAR(Lists!O$22)-YEAR($J17))*12+MONTH(Lists!O$22)-MONTH($J17))-(EDATE($J17,((YEAR(Lists!O$22)-YEAR($J17))*12+MONTH(Lists!O$22)-MONTH($J17)))&gt;Lists!O$22)+1)))),IF($AP17="F",IF(N($K17)&lt;=0,0,MIN(MAX(0,$H17),N($K17)*IF(Lists!O$21&lt;$J17,0,(((YEAR(Lists!O$21)-YEAR($J17))*12+MONTH(Lists!O$21)-MONTH($J17))-(EDATE($J17,((YEAR(Lists!O$21)-YEAR($J17))*12+MONTH(Lists!O$21)-MONTH($J17)))&gt;Lists!O$21)+1)))-MIN(MAX(0,$H17),N($K17)*IF(Lists!O$22&lt;$J17,0,(((YEAR(Lists!O$22)-YEAR($J17))*12+MONTH(Lists!O$22)-MONTH($J17))-(EDATE($J17,((YEAR(Lists!O$22)-YEAR($J17))*12+MONTH(Lists!O$22)-MONTH($J17)))&gt;Lists!O$22)+1)))),N($C17)*IF($AE17-$AD17&lt;1,($AD17&gt;Lists!O$22)*($AD17&lt;=Lists!O$21),MAX(0,MIN(Lists!O$21,$AE17)-MAX(Lists!O$22,$AD17))/($AE17-$AD17))+N($D17)*IF($AG17-$AF17&lt;1,($AF17&gt;Lists!O$22)*($AF17&lt;=Lists!O$21),MAX(0,MIN(Lists!O$21,$AG17)-MAX(Lists!O$22,$AF17))/($AG17-$AF17))+N($E17)*IF($AI17-$AH17&lt;1,($AH17&gt;Lists!O$22)*($AH17&lt;=Lists!O$21),MAX(0,MIN(Lists!O$21,$AI17)-MAX(Lists!O$22,$AH17))/($AI17-$AH17))+N($F17)*IF($AK17-$AJ17&lt;1,($AJ17&gt;Lists!O$22)*($AJ17&lt;=Lists!O$21),MAX(0,MIN(Lists!O$21,$AK17)-MAX(Lists!O$22,$AJ17))/($AK17-$AJ17))+N($G17)*IF($AM17-$AL17&lt;1,($AL17&gt;Lists!O$22)*($AL17&lt;=Lists!O$21),MAX(0,MIN(Lists!O$21,$AM17)-MAX(Lists!O$22,$AL17))/($AM17-$AL17))))))))</f>
        <v>0</v>
      </c>
      <c r="Z17" s="46" t="n">
        <f aca="false">SUM(M17:Y17)</f>
        <v>0</v>
      </c>
      <c r="AA17" s="92" t="n">
        <f aca="false">H17-Z17</f>
        <v>0</v>
      </c>
      <c r="AB17" s="55"/>
      <c r="AC17" s="2"/>
      <c r="AD17" s="93" t="n">
        <f aca="false">Setup!$D$10+MAX(0,$AN17-30)</f>
        <v>46365</v>
      </c>
      <c r="AE17" s="93" t="n">
        <f aca="false">Setup!$D$10+IF($AN17-30&lt;0,MAX(Setup!$D$22,$AN17-0),$AN17-0)</f>
        <v>46395</v>
      </c>
      <c r="AF17" s="93" t="n">
        <f aca="false">Setup!$D$10+MAX(0,$AN17-60)</f>
        <v>46335</v>
      </c>
      <c r="AG17" s="93" t="n">
        <f aca="false">Setup!$D$10+IF($AN17-60&lt;0,MAX(Setup!$D$22,$AN17-31),$AN17-31)</f>
        <v>46364</v>
      </c>
      <c r="AH17" s="93" t="n">
        <f aca="false">Setup!$D$10+MAX(0,$AN17-90)</f>
        <v>46335</v>
      </c>
      <c r="AI17" s="93" t="n">
        <f aca="false">Setup!$D$10+IF($AN17-90&lt;0,MAX(Setup!$D$22,$AN17-61),$AN17-61)</f>
        <v>46363</v>
      </c>
      <c r="AJ17" s="93" t="n">
        <f aca="false">Setup!$D$10+MAX(0,$AN17-120)</f>
        <v>46335</v>
      </c>
      <c r="AK17" s="93" t="n">
        <f aca="false">Setup!$D$10+IF($AN17-120&lt;0,MAX(Setup!$D$22,$AN17-91),$AN17-91)</f>
        <v>46363</v>
      </c>
      <c r="AL17" s="93" t="n">
        <f aca="false">IF(Setup!$D$23="Yes",2958465,Setup!$D$10)</f>
        <v>2958465</v>
      </c>
      <c r="AM17" s="93" t="n">
        <f aca="false">IF(AL17=2958465,AL17,Setup!$D$10+Setup!$D$22)</f>
        <v>2958465</v>
      </c>
      <c r="AN17" s="94" t="n">
        <f aca="false">IF(N(L17)=0,Setup!$D$20,L17)</f>
        <v>60</v>
      </c>
      <c r="AO17" s="94" t="n">
        <f aca="false">MAX(1,ROUND(N(K17),0))</f>
        <v>1</v>
      </c>
      <c r="AP17" s="95" t="str">
        <f aca="false">IF(I17="Doubtful","X",IF(N(J17)=0,"A",IF(I17="Specific date","S",IF(I17="Spread over days","D",IF(I17="Monthly on set day","M",IF(I17="Monthly fixed amount","F","A"))))))</f>
        <v>A</v>
      </c>
    </row>
    <row r="18" customFormat="false" ht="15" hidden="false" customHeight="false" outlineLevel="0" collapsed="false">
      <c r="A18" s="87" t="n">
        <v>10</v>
      </c>
      <c r="B18" s="55"/>
      <c r="C18" s="88"/>
      <c r="D18" s="88"/>
      <c r="E18" s="88"/>
      <c r="F18" s="88"/>
      <c r="G18" s="88"/>
      <c r="H18" s="89" t="n">
        <f aca="false">SUM(C18:G18)</f>
        <v>0</v>
      </c>
      <c r="I18" s="58"/>
      <c r="J18" s="90"/>
      <c r="K18" s="91"/>
      <c r="L18" s="80"/>
      <c r="M18" s="53" t="n">
        <f aca="false">IF($H18=0,0,IF($AP18="X",0,IF($AP18="S",$H18/$AO18*(MIN($AO18,MAX(0,INT((Lists!C$21-N($J18))/7)+1))-MIN($AO18,MAX(0,INT((Lists!C$22-N($J18))/7)+1))),IF($AP18="D",$H18*MAX(0,MIN(Lists!C$21,N($J18)+$AO18)-MAX(Lists!C$22,N($J18)))/$AO18,IF($AP18="M",$H18/$AO18*(IF(Lists!C$21&lt;$J18,0,MIN($AO18,(((YEAR(Lists!C$21)-YEAR($J18))*12+MONTH(Lists!C$21)-MONTH($J18))-(EDATE($J18,((YEAR(Lists!C$21)-YEAR($J18))*12+MONTH(Lists!C$21)-MONTH($J18)))&gt;Lists!C$21)+1)))-IF(Lists!C$22&lt;$J18,0,MIN($AO18,(((YEAR(Lists!C$22)-YEAR($J18))*12+MONTH(Lists!C$22)-MONTH($J18))-(EDATE($J18,((YEAR(Lists!C$22)-YEAR($J18))*12+MONTH(Lists!C$22)-MONTH($J18)))&gt;Lists!C$22)+1)))),IF($AP18="F",IF(N($K18)&lt;=0,0,MIN(MAX(0,$H18),N($K18)*IF(Lists!C$21&lt;$J18,0,(((YEAR(Lists!C$21)-YEAR($J18))*12+MONTH(Lists!C$21)-MONTH($J18))-(EDATE($J18,((YEAR(Lists!C$21)-YEAR($J18))*12+MONTH(Lists!C$21)-MONTH($J18)))&gt;Lists!C$21)+1)))-MIN(MAX(0,$H18),N($K18)*IF(Lists!C$22&lt;$J18,0,(((YEAR(Lists!C$22)-YEAR($J18))*12+MONTH(Lists!C$22)-MONTH($J18))-(EDATE($J18,((YEAR(Lists!C$22)-YEAR($J18))*12+MONTH(Lists!C$22)-MONTH($J18)))&gt;Lists!C$22)+1)))),N($C18)*IF($AE18-$AD18&lt;1,($AD18&gt;Lists!C$22)*($AD18&lt;=Lists!C$21),MAX(0,MIN(Lists!C$21,$AE18)-MAX(Lists!C$22,$AD18))/($AE18-$AD18))+N($D18)*IF($AG18-$AF18&lt;1,($AF18&gt;Lists!C$22)*($AF18&lt;=Lists!C$21),MAX(0,MIN(Lists!C$21,$AG18)-MAX(Lists!C$22,$AF18))/($AG18-$AF18))+N($E18)*IF($AI18-$AH18&lt;1,($AH18&gt;Lists!C$22)*($AH18&lt;=Lists!C$21),MAX(0,MIN(Lists!C$21,$AI18)-MAX(Lists!C$22,$AH18))/($AI18-$AH18))+N($F18)*IF($AK18-$AJ18&lt;1,($AJ18&gt;Lists!C$22)*($AJ18&lt;=Lists!C$21),MAX(0,MIN(Lists!C$21,$AK18)-MAX(Lists!C$22,$AJ18))/($AK18-$AJ18))+N($G18)*IF($AM18-$AL18&lt;1,($AL18&gt;Lists!C$22)*($AL18&lt;=Lists!C$21),MAX(0,MIN(Lists!C$21,$AM18)-MAX(Lists!C$22,$AL18))/($AM18-$AL18))))))))</f>
        <v>0</v>
      </c>
      <c r="N18" s="53" t="n">
        <f aca="false">IF($H18=0,0,IF($AP18="X",0,IF($AP18="S",$H18/$AO18*(MIN($AO18,MAX(0,INT((Lists!D$21-N($J18))/7)+1))-MIN($AO18,MAX(0,INT((Lists!D$22-N($J18))/7)+1))),IF($AP18="D",$H18*MAX(0,MIN(Lists!D$21,N($J18)+$AO18)-MAX(Lists!D$22,N($J18)))/$AO18,IF($AP18="M",$H18/$AO18*(IF(Lists!D$21&lt;$J18,0,MIN($AO18,(((YEAR(Lists!D$21)-YEAR($J18))*12+MONTH(Lists!D$21)-MONTH($J18))-(EDATE($J18,((YEAR(Lists!D$21)-YEAR($J18))*12+MONTH(Lists!D$21)-MONTH($J18)))&gt;Lists!D$21)+1)))-IF(Lists!D$22&lt;$J18,0,MIN($AO18,(((YEAR(Lists!D$22)-YEAR($J18))*12+MONTH(Lists!D$22)-MONTH($J18))-(EDATE($J18,((YEAR(Lists!D$22)-YEAR($J18))*12+MONTH(Lists!D$22)-MONTH($J18)))&gt;Lists!D$22)+1)))),IF($AP18="F",IF(N($K18)&lt;=0,0,MIN(MAX(0,$H18),N($K18)*IF(Lists!D$21&lt;$J18,0,(((YEAR(Lists!D$21)-YEAR($J18))*12+MONTH(Lists!D$21)-MONTH($J18))-(EDATE($J18,((YEAR(Lists!D$21)-YEAR($J18))*12+MONTH(Lists!D$21)-MONTH($J18)))&gt;Lists!D$21)+1)))-MIN(MAX(0,$H18),N($K18)*IF(Lists!D$22&lt;$J18,0,(((YEAR(Lists!D$22)-YEAR($J18))*12+MONTH(Lists!D$22)-MONTH($J18))-(EDATE($J18,((YEAR(Lists!D$22)-YEAR($J18))*12+MONTH(Lists!D$22)-MONTH($J18)))&gt;Lists!D$22)+1)))),N($C18)*IF($AE18-$AD18&lt;1,($AD18&gt;Lists!D$22)*($AD18&lt;=Lists!D$21),MAX(0,MIN(Lists!D$21,$AE18)-MAX(Lists!D$22,$AD18))/($AE18-$AD18))+N($D18)*IF($AG18-$AF18&lt;1,($AF18&gt;Lists!D$22)*($AF18&lt;=Lists!D$21),MAX(0,MIN(Lists!D$21,$AG18)-MAX(Lists!D$22,$AF18))/($AG18-$AF18))+N($E18)*IF($AI18-$AH18&lt;1,($AH18&gt;Lists!D$22)*($AH18&lt;=Lists!D$21),MAX(0,MIN(Lists!D$21,$AI18)-MAX(Lists!D$22,$AH18))/($AI18-$AH18))+N($F18)*IF($AK18-$AJ18&lt;1,($AJ18&gt;Lists!D$22)*($AJ18&lt;=Lists!D$21),MAX(0,MIN(Lists!D$21,$AK18)-MAX(Lists!D$22,$AJ18))/($AK18-$AJ18))+N($G18)*IF($AM18-$AL18&lt;1,($AL18&gt;Lists!D$22)*($AL18&lt;=Lists!D$21),MAX(0,MIN(Lists!D$21,$AM18)-MAX(Lists!D$22,$AL18))/($AM18-$AL18))))))))</f>
        <v>0</v>
      </c>
      <c r="O18" s="53" t="n">
        <f aca="false">IF($H18=0,0,IF($AP18="X",0,IF($AP18="S",$H18/$AO18*(MIN($AO18,MAX(0,INT((Lists!E$21-N($J18))/7)+1))-MIN($AO18,MAX(0,INT((Lists!E$22-N($J18))/7)+1))),IF($AP18="D",$H18*MAX(0,MIN(Lists!E$21,N($J18)+$AO18)-MAX(Lists!E$22,N($J18)))/$AO18,IF($AP18="M",$H18/$AO18*(IF(Lists!E$21&lt;$J18,0,MIN($AO18,(((YEAR(Lists!E$21)-YEAR($J18))*12+MONTH(Lists!E$21)-MONTH($J18))-(EDATE($J18,((YEAR(Lists!E$21)-YEAR($J18))*12+MONTH(Lists!E$21)-MONTH($J18)))&gt;Lists!E$21)+1)))-IF(Lists!E$22&lt;$J18,0,MIN($AO18,(((YEAR(Lists!E$22)-YEAR($J18))*12+MONTH(Lists!E$22)-MONTH($J18))-(EDATE($J18,((YEAR(Lists!E$22)-YEAR($J18))*12+MONTH(Lists!E$22)-MONTH($J18)))&gt;Lists!E$22)+1)))),IF($AP18="F",IF(N($K18)&lt;=0,0,MIN(MAX(0,$H18),N($K18)*IF(Lists!E$21&lt;$J18,0,(((YEAR(Lists!E$21)-YEAR($J18))*12+MONTH(Lists!E$21)-MONTH($J18))-(EDATE($J18,((YEAR(Lists!E$21)-YEAR($J18))*12+MONTH(Lists!E$21)-MONTH($J18)))&gt;Lists!E$21)+1)))-MIN(MAX(0,$H18),N($K18)*IF(Lists!E$22&lt;$J18,0,(((YEAR(Lists!E$22)-YEAR($J18))*12+MONTH(Lists!E$22)-MONTH($J18))-(EDATE($J18,((YEAR(Lists!E$22)-YEAR($J18))*12+MONTH(Lists!E$22)-MONTH($J18)))&gt;Lists!E$22)+1)))),N($C18)*IF($AE18-$AD18&lt;1,($AD18&gt;Lists!E$22)*($AD18&lt;=Lists!E$21),MAX(0,MIN(Lists!E$21,$AE18)-MAX(Lists!E$22,$AD18))/($AE18-$AD18))+N($D18)*IF($AG18-$AF18&lt;1,($AF18&gt;Lists!E$22)*($AF18&lt;=Lists!E$21),MAX(0,MIN(Lists!E$21,$AG18)-MAX(Lists!E$22,$AF18))/($AG18-$AF18))+N($E18)*IF($AI18-$AH18&lt;1,($AH18&gt;Lists!E$22)*($AH18&lt;=Lists!E$21),MAX(0,MIN(Lists!E$21,$AI18)-MAX(Lists!E$22,$AH18))/($AI18-$AH18))+N($F18)*IF($AK18-$AJ18&lt;1,($AJ18&gt;Lists!E$22)*($AJ18&lt;=Lists!E$21),MAX(0,MIN(Lists!E$21,$AK18)-MAX(Lists!E$22,$AJ18))/($AK18-$AJ18))+N($G18)*IF($AM18-$AL18&lt;1,($AL18&gt;Lists!E$22)*($AL18&lt;=Lists!E$21),MAX(0,MIN(Lists!E$21,$AM18)-MAX(Lists!E$22,$AL18))/($AM18-$AL18))))))))</f>
        <v>0</v>
      </c>
      <c r="P18" s="53" t="n">
        <f aca="false">IF($H18=0,0,IF($AP18="X",0,IF($AP18="S",$H18/$AO18*(MIN($AO18,MAX(0,INT((Lists!F$21-N($J18))/7)+1))-MIN($AO18,MAX(0,INT((Lists!F$22-N($J18))/7)+1))),IF($AP18="D",$H18*MAX(0,MIN(Lists!F$21,N($J18)+$AO18)-MAX(Lists!F$22,N($J18)))/$AO18,IF($AP18="M",$H18/$AO18*(IF(Lists!F$21&lt;$J18,0,MIN($AO18,(((YEAR(Lists!F$21)-YEAR($J18))*12+MONTH(Lists!F$21)-MONTH($J18))-(EDATE($J18,((YEAR(Lists!F$21)-YEAR($J18))*12+MONTH(Lists!F$21)-MONTH($J18)))&gt;Lists!F$21)+1)))-IF(Lists!F$22&lt;$J18,0,MIN($AO18,(((YEAR(Lists!F$22)-YEAR($J18))*12+MONTH(Lists!F$22)-MONTH($J18))-(EDATE($J18,((YEAR(Lists!F$22)-YEAR($J18))*12+MONTH(Lists!F$22)-MONTH($J18)))&gt;Lists!F$22)+1)))),IF($AP18="F",IF(N($K18)&lt;=0,0,MIN(MAX(0,$H18),N($K18)*IF(Lists!F$21&lt;$J18,0,(((YEAR(Lists!F$21)-YEAR($J18))*12+MONTH(Lists!F$21)-MONTH($J18))-(EDATE($J18,((YEAR(Lists!F$21)-YEAR($J18))*12+MONTH(Lists!F$21)-MONTH($J18)))&gt;Lists!F$21)+1)))-MIN(MAX(0,$H18),N($K18)*IF(Lists!F$22&lt;$J18,0,(((YEAR(Lists!F$22)-YEAR($J18))*12+MONTH(Lists!F$22)-MONTH($J18))-(EDATE($J18,((YEAR(Lists!F$22)-YEAR($J18))*12+MONTH(Lists!F$22)-MONTH($J18)))&gt;Lists!F$22)+1)))),N($C18)*IF($AE18-$AD18&lt;1,($AD18&gt;Lists!F$22)*($AD18&lt;=Lists!F$21),MAX(0,MIN(Lists!F$21,$AE18)-MAX(Lists!F$22,$AD18))/($AE18-$AD18))+N($D18)*IF($AG18-$AF18&lt;1,($AF18&gt;Lists!F$22)*($AF18&lt;=Lists!F$21),MAX(0,MIN(Lists!F$21,$AG18)-MAX(Lists!F$22,$AF18))/($AG18-$AF18))+N($E18)*IF($AI18-$AH18&lt;1,($AH18&gt;Lists!F$22)*($AH18&lt;=Lists!F$21),MAX(0,MIN(Lists!F$21,$AI18)-MAX(Lists!F$22,$AH18))/($AI18-$AH18))+N($F18)*IF($AK18-$AJ18&lt;1,($AJ18&gt;Lists!F$22)*($AJ18&lt;=Lists!F$21),MAX(0,MIN(Lists!F$21,$AK18)-MAX(Lists!F$22,$AJ18))/($AK18-$AJ18))+N($G18)*IF($AM18-$AL18&lt;1,($AL18&gt;Lists!F$22)*($AL18&lt;=Lists!F$21),MAX(0,MIN(Lists!F$21,$AM18)-MAX(Lists!F$22,$AL18))/($AM18-$AL18))))))))</f>
        <v>0</v>
      </c>
      <c r="Q18" s="53" t="n">
        <f aca="false">IF($H18=0,0,IF($AP18="X",0,IF($AP18="S",$H18/$AO18*(MIN($AO18,MAX(0,INT((Lists!G$21-N($J18))/7)+1))-MIN($AO18,MAX(0,INT((Lists!G$22-N($J18))/7)+1))),IF($AP18="D",$H18*MAX(0,MIN(Lists!G$21,N($J18)+$AO18)-MAX(Lists!G$22,N($J18)))/$AO18,IF($AP18="M",$H18/$AO18*(IF(Lists!G$21&lt;$J18,0,MIN($AO18,(((YEAR(Lists!G$21)-YEAR($J18))*12+MONTH(Lists!G$21)-MONTH($J18))-(EDATE($J18,((YEAR(Lists!G$21)-YEAR($J18))*12+MONTH(Lists!G$21)-MONTH($J18)))&gt;Lists!G$21)+1)))-IF(Lists!G$22&lt;$J18,0,MIN($AO18,(((YEAR(Lists!G$22)-YEAR($J18))*12+MONTH(Lists!G$22)-MONTH($J18))-(EDATE($J18,((YEAR(Lists!G$22)-YEAR($J18))*12+MONTH(Lists!G$22)-MONTH($J18)))&gt;Lists!G$22)+1)))),IF($AP18="F",IF(N($K18)&lt;=0,0,MIN(MAX(0,$H18),N($K18)*IF(Lists!G$21&lt;$J18,0,(((YEAR(Lists!G$21)-YEAR($J18))*12+MONTH(Lists!G$21)-MONTH($J18))-(EDATE($J18,((YEAR(Lists!G$21)-YEAR($J18))*12+MONTH(Lists!G$21)-MONTH($J18)))&gt;Lists!G$21)+1)))-MIN(MAX(0,$H18),N($K18)*IF(Lists!G$22&lt;$J18,0,(((YEAR(Lists!G$22)-YEAR($J18))*12+MONTH(Lists!G$22)-MONTH($J18))-(EDATE($J18,((YEAR(Lists!G$22)-YEAR($J18))*12+MONTH(Lists!G$22)-MONTH($J18)))&gt;Lists!G$22)+1)))),N($C18)*IF($AE18-$AD18&lt;1,($AD18&gt;Lists!G$22)*($AD18&lt;=Lists!G$21),MAX(0,MIN(Lists!G$21,$AE18)-MAX(Lists!G$22,$AD18))/($AE18-$AD18))+N($D18)*IF($AG18-$AF18&lt;1,($AF18&gt;Lists!G$22)*($AF18&lt;=Lists!G$21),MAX(0,MIN(Lists!G$21,$AG18)-MAX(Lists!G$22,$AF18))/($AG18-$AF18))+N($E18)*IF($AI18-$AH18&lt;1,($AH18&gt;Lists!G$22)*($AH18&lt;=Lists!G$21),MAX(0,MIN(Lists!G$21,$AI18)-MAX(Lists!G$22,$AH18))/($AI18-$AH18))+N($F18)*IF($AK18-$AJ18&lt;1,($AJ18&gt;Lists!G$22)*($AJ18&lt;=Lists!G$21),MAX(0,MIN(Lists!G$21,$AK18)-MAX(Lists!G$22,$AJ18))/($AK18-$AJ18))+N($G18)*IF($AM18-$AL18&lt;1,($AL18&gt;Lists!G$22)*($AL18&lt;=Lists!G$21),MAX(0,MIN(Lists!G$21,$AM18)-MAX(Lists!G$22,$AL18))/($AM18-$AL18))))))))</f>
        <v>0</v>
      </c>
      <c r="R18" s="53" t="n">
        <f aca="false">IF($H18=0,0,IF($AP18="X",0,IF($AP18="S",$H18/$AO18*(MIN($AO18,MAX(0,INT((Lists!H$21-N($J18))/7)+1))-MIN($AO18,MAX(0,INT((Lists!H$22-N($J18))/7)+1))),IF($AP18="D",$H18*MAX(0,MIN(Lists!H$21,N($J18)+$AO18)-MAX(Lists!H$22,N($J18)))/$AO18,IF($AP18="M",$H18/$AO18*(IF(Lists!H$21&lt;$J18,0,MIN($AO18,(((YEAR(Lists!H$21)-YEAR($J18))*12+MONTH(Lists!H$21)-MONTH($J18))-(EDATE($J18,((YEAR(Lists!H$21)-YEAR($J18))*12+MONTH(Lists!H$21)-MONTH($J18)))&gt;Lists!H$21)+1)))-IF(Lists!H$22&lt;$J18,0,MIN($AO18,(((YEAR(Lists!H$22)-YEAR($J18))*12+MONTH(Lists!H$22)-MONTH($J18))-(EDATE($J18,((YEAR(Lists!H$22)-YEAR($J18))*12+MONTH(Lists!H$22)-MONTH($J18)))&gt;Lists!H$22)+1)))),IF($AP18="F",IF(N($K18)&lt;=0,0,MIN(MAX(0,$H18),N($K18)*IF(Lists!H$21&lt;$J18,0,(((YEAR(Lists!H$21)-YEAR($J18))*12+MONTH(Lists!H$21)-MONTH($J18))-(EDATE($J18,((YEAR(Lists!H$21)-YEAR($J18))*12+MONTH(Lists!H$21)-MONTH($J18)))&gt;Lists!H$21)+1)))-MIN(MAX(0,$H18),N($K18)*IF(Lists!H$22&lt;$J18,0,(((YEAR(Lists!H$22)-YEAR($J18))*12+MONTH(Lists!H$22)-MONTH($J18))-(EDATE($J18,((YEAR(Lists!H$22)-YEAR($J18))*12+MONTH(Lists!H$22)-MONTH($J18)))&gt;Lists!H$22)+1)))),N($C18)*IF($AE18-$AD18&lt;1,($AD18&gt;Lists!H$22)*($AD18&lt;=Lists!H$21),MAX(0,MIN(Lists!H$21,$AE18)-MAX(Lists!H$22,$AD18))/($AE18-$AD18))+N($D18)*IF($AG18-$AF18&lt;1,($AF18&gt;Lists!H$22)*($AF18&lt;=Lists!H$21),MAX(0,MIN(Lists!H$21,$AG18)-MAX(Lists!H$22,$AF18))/($AG18-$AF18))+N($E18)*IF($AI18-$AH18&lt;1,($AH18&gt;Lists!H$22)*($AH18&lt;=Lists!H$21),MAX(0,MIN(Lists!H$21,$AI18)-MAX(Lists!H$22,$AH18))/($AI18-$AH18))+N($F18)*IF($AK18-$AJ18&lt;1,($AJ18&gt;Lists!H$22)*($AJ18&lt;=Lists!H$21),MAX(0,MIN(Lists!H$21,$AK18)-MAX(Lists!H$22,$AJ18))/($AK18-$AJ18))+N($G18)*IF($AM18-$AL18&lt;1,($AL18&gt;Lists!H$22)*($AL18&lt;=Lists!H$21),MAX(0,MIN(Lists!H$21,$AM18)-MAX(Lists!H$22,$AL18))/($AM18-$AL18))))))))</f>
        <v>0</v>
      </c>
      <c r="S18" s="53" t="n">
        <f aca="false">IF($H18=0,0,IF($AP18="X",0,IF($AP18="S",$H18/$AO18*(MIN($AO18,MAX(0,INT((Lists!I$21-N($J18))/7)+1))-MIN($AO18,MAX(0,INT((Lists!I$22-N($J18))/7)+1))),IF($AP18="D",$H18*MAX(0,MIN(Lists!I$21,N($J18)+$AO18)-MAX(Lists!I$22,N($J18)))/$AO18,IF($AP18="M",$H18/$AO18*(IF(Lists!I$21&lt;$J18,0,MIN($AO18,(((YEAR(Lists!I$21)-YEAR($J18))*12+MONTH(Lists!I$21)-MONTH($J18))-(EDATE($J18,((YEAR(Lists!I$21)-YEAR($J18))*12+MONTH(Lists!I$21)-MONTH($J18)))&gt;Lists!I$21)+1)))-IF(Lists!I$22&lt;$J18,0,MIN($AO18,(((YEAR(Lists!I$22)-YEAR($J18))*12+MONTH(Lists!I$22)-MONTH($J18))-(EDATE($J18,((YEAR(Lists!I$22)-YEAR($J18))*12+MONTH(Lists!I$22)-MONTH($J18)))&gt;Lists!I$22)+1)))),IF($AP18="F",IF(N($K18)&lt;=0,0,MIN(MAX(0,$H18),N($K18)*IF(Lists!I$21&lt;$J18,0,(((YEAR(Lists!I$21)-YEAR($J18))*12+MONTH(Lists!I$21)-MONTH($J18))-(EDATE($J18,((YEAR(Lists!I$21)-YEAR($J18))*12+MONTH(Lists!I$21)-MONTH($J18)))&gt;Lists!I$21)+1)))-MIN(MAX(0,$H18),N($K18)*IF(Lists!I$22&lt;$J18,0,(((YEAR(Lists!I$22)-YEAR($J18))*12+MONTH(Lists!I$22)-MONTH($J18))-(EDATE($J18,((YEAR(Lists!I$22)-YEAR($J18))*12+MONTH(Lists!I$22)-MONTH($J18)))&gt;Lists!I$22)+1)))),N($C18)*IF($AE18-$AD18&lt;1,($AD18&gt;Lists!I$22)*($AD18&lt;=Lists!I$21),MAX(0,MIN(Lists!I$21,$AE18)-MAX(Lists!I$22,$AD18))/($AE18-$AD18))+N($D18)*IF($AG18-$AF18&lt;1,($AF18&gt;Lists!I$22)*($AF18&lt;=Lists!I$21),MAX(0,MIN(Lists!I$21,$AG18)-MAX(Lists!I$22,$AF18))/($AG18-$AF18))+N($E18)*IF($AI18-$AH18&lt;1,($AH18&gt;Lists!I$22)*($AH18&lt;=Lists!I$21),MAX(0,MIN(Lists!I$21,$AI18)-MAX(Lists!I$22,$AH18))/($AI18-$AH18))+N($F18)*IF($AK18-$AJ18&lt;1,($AJ18&gt;Lists!I$22)*($AJ18&lt;=Lists!I$21),MAX(0,MIN(Lists!I$21,$AK18)-MAX(Lists!I$22,$AJ18))/($AK18-$AJ18))+N($G18)*IF($AM18-$AL18&lt;1,($AL18&gt;Lists!I$22)*($AL18&lt;=Lists!I$21),MAX(0,MIN(Lists!I$21,$AM18)-MAX(Lists!I$22,$AL18))/($AM18-$AL18))))))))</f>
        <v>0</v>
      </c>
      <c r="T18" s="53" t="n">
        <f aca="false">IF($H18=0,0,IF($AP18="X",0,IF($AP18="S",$H18/$AO18*(MIN($AO18,MAX(0,INT((Lists!J$21-N($J18))/7)+1))-MIN($AO18,MAX(0,INT((Lists!J$22-N($J18))/7)+1))),IF($AP18="D",$H18*MAX(0,MIN(Lists!J$21,N($J18)+$AO18)-MAX(Lists!J$22,N($J18)))/$AO18,IF($AP18="M",$H18/$AO18*(IF(Lists!J$21&lt;$J18,0,MIN($AO18,(((YEAR(Lists!J$21)-YEAR($J18))*12+MONTH(Lists!J$21)-MONTH($J18))-(EDATE($J18,((YEAR(Lists!J$21)-YEAR($J18))*12+MONTH(Lists!J$21)-MONTH($J18)))&gt;Lists!J$21)+1)))-IF(Lists!J$22&lt;$J18,0,MIN($AO18,(((YEAR(Lists!J$22)-YEAR($J18))*12+MONTH(Lists!J$22)-MONTH($J18))-(EDATE($J18,((YEAR(Lists!J$22)-YEAR($J18))*12+MONTH(Lists!J$22)-MONTH($J18)))&gt;Lists!J$22)+1)))),IF($AP18="F",IF(N($K18)&lt;=0,0,MIN(MAX(0,$H18),N($K18)*IF(Lists!J$21&lt;$J18,0,(((YEAR(Lists!J$21)-YEAR($J18))*12+MONTH(Lists!J$21)-MONTH($J18))-(EDATE($J18,((YEAR(Lists!J$21)-YEAR($J18))*12+MONTH(Lists!J$21)-MONTH($J18)))&gt;Lists!J$21)+1)))-MIN(MAX(0,$H18),N($K18)*IF(Lists!J$22&lt;$J18,0,(((YEAR(Lists!J$22)-YEAR($J18))*12+MONTH(Lists!J$22)-MONTH($J18))-(EDATE($J18,((YEAR(Lists!J$22)-YEAR($J18))*12+MONTH(Lists!J$22)-MONTH($J18)))&gt;Lists!J$22)+1)))),N($C18)*IF($AE18-$AD18&lt;1,($AD18&gt;Lists!J$22)*($AD18&lt;=Lists!J$21),MAX(0,MIN(Lists!J$21,$AE18)-MAX(Lists!J$22,$AD18))/($AE18-$AD18))+N($D18)*IF($AG18-$AF18&lt;1,($AF18&gt;Lists!J$22)*($AF18&lt;=Lists!J$21),MAX(0,MIN(Lists!J$21,$AG18)-MAX(Lists!J$22,$AF18))/($AG18-$AF18))+N($E18)*IF($AI18-$AH18&lt;1,($AH18&gt;Lists!J$22)*($AH18&lt;=Lists!J$21),MAX(0,MIN(Lists!J$21,$AI18)-MAX(Lists!J$22,$AH18))/($AI18-$AH18))+N($F18)*IF($AK18-$AJ18&lt;1,($AJ18&gt;Lists!J$22)*($AJ18&lt;=Lists!J$21),MAX(0,MIN(Lists!J$21,$AK18)-MAX(Lists!J$22,$AJ18))/($AK18-$AJ18))+N($G18)*IF($AM18-$AL18&lt;1,($AL18&gt;Lists!J$22)*($AL18&lt;=Lists!J$21),MAX(0,MIN(Lists!J$21,$AM18)-MAX(Lists!J$22,$AL18))/($AM18-$AL18))))))))</f>
        <v>0</v>
      </c>
      <c r="U18" s="53" t="n">
        <f aca="false">IF($H18=0,0,IF($AP18="X",0,IF($AP18="S",$H18/$AO18*(MIN($AO18,MAX(0,INT((Lists!K$21-N($J18))/7)+1))-MIN($AO18,MAX(0,INT((Lists!K$22-N($J18))/7)+1))),IF($AP18="D",$H18*MAX(0,MIN(Lists!K$21,N($J18)+$AO18)-MAX(Lists!K$22,N($J18)))/$AO18,IF($AP18="M",$H18/$AO18*(IF(Lists!K$21&lt;$J18,0,MIN($AO18,(((YEAR(Lists!K$21)-YEAR($J18))*12+MONTH(Lists!K$21)-MONTH($J18))-(EDATE($J18,((YEAR(Lists!K$21)-YEAR($J18))*12+MONTH(Lists!K$21)-MONTH($J18)))&gt;Lists!K$21)+1)))-IF(Lists!K$22&lt;$J18,0,MIN($AO18,(((YEAR(Lists!K$22)-YEAR($J18))*12+MONTH(Lists!K$22)-MONTH($J18))-(EDATE($J18,((YEAR(Lists!K$22)-YEAR($J18))*12+MONTH(Lists!K$22)-MONTH($J18)))&gt;Lists!K$22)+1)))),IF($AP18="F",IF(N($K18)&lt;=0,0,MIN(MAX(0,$H18),N($K18)*IF(Lists!K$21&lt;$J18,0,(((YEAR(Lists!K$21)-YEAR($J18))*12+MONTH(Lists!K$21)-MONTH($J18))-(EDATE($J18,((YEAR(Lists!K$21)-YEAR($J18))*12+MONTH(Lists!K$21)-MONTH($J18)))&gt;Lists!K$21)+1)))-MIN(MAX(0,$H18),N($K18)*IF(Lists!K$22&lt;$J18,0,(((YEAR(Lists!K$22)-YEAR($J18))*12+MONTH(Lists!K$22)-MONTH($J18))-(EDATE($J18,((YEAR(Lists!K$22)-YEAR($J18))*12+MONTH(Lists!K$22)-MONTH($J18)))&gt;Lists!K$22)+1)))),N($C18)*IF($AE18-$AD18&lt;1,($AD18&gt;Lists!K$22)*($AD18&lt;=Lists!K$21),MAX(0,MIN(Lists!K$21,$AE18)-MAX(Lists!K$22,$AD18))/($AE18-$AD18))+N($D18)*IF($AG18-$AF18&lt;1,($AF18&gt;Lists!K$22)*($AF18&lt;=Lists!K$21),MAX(0,MIN(Lists!K$21,$AG18)-MAX(Lists!K$22,$AF18))/($AG18-$AF18))+N($E18)*IF($AI18-$AH18&lt;1,($AH18&gt;Lists!K$22)*($AH18&lt;=Lists!K$21),MAX(0,MIN(Lists!K$21,$AI18)-MAX(Lists!K$22,$AH18))/($AI18-$AH18))+N($F18)*IF($AK18-$AJ18&lt;1,($AJ18&gt;Lists!K$22)*($AJ18&lt;=Lists!K$21),MAX(0,MIN(Lists!K$21,$AK18)-MAX(Lists!K$22,$AJ18))/($AK18-$AJ18))+N($G18)*IF($AM18-$AL18&lt;1,($AL18&gt;Lists!K$22)*($AL18&lt;=Lists!K$21),MAX(0,MIN(Lists!K$21,$AM18)-MAX(Lists!K$22,$AL18))/($AM18-$AL18))))))))</f>
        <v>0</v>
      </c>
      <c r="V18" s="53" t="n">
        <f aca="false">IF($H18=0,0,IF($AP18="X",0,IF($AP18="S",$H18/$AO18*(MIN($AO18,MAX(0,INT((Lists!L$21-N($J18))/7)+1))-MIN($AO18,MAX(0,INT((Lists!L$22-N($J18))/7)+1))),IF($AP18="D",$H18*MAX(0,MIN(Lists!L$21,N($J18)+$AO18)-MAX(Lists!L$22,N($J18)))/$AO18,IF($AP18="M",$H18/$AO18*(IF(Lists!L$21&lt;$J18,0,MIN($AO18,(((YEAR(Lists!L$21)-YEAR($J18))*12+MONTH(Lists!L$21)-MONTH($J18))-(EDATE($J18,((YEAR(Lists!L$21)-YEAR($J18))*12+MONTH(Lists!L$21)-MONTH($J18)))&gt;Lists!L$21)+1)))-IF(Lists!L$22&lt;$J18,0,MIN($AO18,(((YEAR(Lists!L$22)-YEAR($J18))*12+MONTH(Lists!L$22)-MONTH($J18))-(EDATE($J18,((YEAR(Lists!L$22)-YEAR($J18))*12+MONTH(Lists!L$22)-MONTH($J18)))&gt;Lists!L$22)+1)))),IF($AP18="F",IF(N($K18)&lt;=0,0,MIN(MAX(0,$H18),N($K18)*IF(Lists!L$21&lt;$J18,0,(((YEAR(Lists!L$21)-YEAR($J18))*12+MONTH(Lists!L$21)-MONTH($J18))-(EDATE($J18,((YEAR(Lists!L$21)-YEAR($J18))*12+MONTH(Lists!L$21)-MONTH($J18)))&gt;Lists!L$21)+1)))-MIN(MAX(0,$H18),N($K18)*IF(Lists!L$22&lt;$J18,0,(((YEAR(Lists!L$22)-YEAR($J18))*12+MONTH(Lists!L$22)-MONTH($J18))-(EDATE($J18,((YEAR(Lists!L$22)-YEAR($J18))*12+MONTH(Lists!L$22)-MONTH($J18)))&gt;Lists!L$22)+1)))),N($C18)*IF($AE18-$AD18&lt;1,($AD18&gt;Lists!L$22)*($AD18&lt;=Lists!L$21),MAX(0,MIN(Lists!L$21,$AE18)-MAX(Lists!L$22,$AD18))/($AE18-$AD18))+N($D18)*IF($AG18-$AF18&lt;1,($AF18&gt;Lists!L$22)*($AF18&lt;=Lists!L$21),MAX(0,MIN(Lists!L$21,$AG18)-MAX(Lists!L$22,$AF18))/($AG18-$AF18))+N($E18)*IF($AI18-$AH18&lt;1,($AH18&gt;Lists!L$22)*($AH18&lt;=Lists!L$21),MAX(0,MIN(Lists!L$21,$AI18)-MAX(Lists!L$22,$AH18))/($AI18-$AH18))+N($F18)*IF($AK18-$AJ18&lt;1,($AJ18&gt;Lists!L$22)*($AJ18&lt;=Lists!L$21),MAX(0,MIN(Lists!L$21,$AK18)-MAX(Lists!L$22,$AJ18))/($AK18-$AJ18))+N($G18)*IF($AM18-$AL18&lt;1,($AL18&gt;Lists!L$22)*($AL18&lt;=Lists!L$21),MAX(0,MIN(Lists!L$21,$AM18)-MAX(Lists!L$22,$AL18))/($AM18-$AL18))))))))</f>
        <v>0</v>
      </c>
      <c r="W18" s="53" t="n">
        <f aca="false">IF($H18=0,0,IF($AP18="X",0,IF($AP18="S",$H18/$AO18*(MIN($AO18,MAX(0,INT((Lists!M$21-N($J18))/7)+1))-MIN($AO18,MAX(0,INT((Lists!M$22-N($J18))/7)+1))),IF($AP18="D",$H18*MAX(0,MIN(Lists!M$21,N($J18)+$AO18)-MAX(Lists!M$22,N($J18)))/$AO18,IF($AP18="M",$H18/$AO18*(IF(Lists!M$21&lt;$J18,0,MIN($AO18,(((YEAR(Lists!M$21)-YEAR($J18))*12+MONTH(Lists!M$21)-MONTH($J18))-(EDATE($J18,((YEAR(Lists!M$21)-YEAR($J18))*12+MONTH(Lists!M$21)-MONTH($J18)))&gt;Lists!M$21)+1)))-IF(Lists!M$22&lt;$J18,0,MIN($AO18,(((YEAR(Lists!M$22)-YEAR($J18))*12+MONTH(Lists!M$22)-MONTH($J18))-(EDATE($J18,((YEAR(Lists!M$22)-YEAR($J18))*12+MONTH(Lists!M$22)-MONTH($J18)))&gt;Lists!M$22)+1)))),IF($AP18="F",IF(N($K18)&lt;=0,0,MIN(MAX(0,$H18),N($K18)*IF(Lists!M$21&lt;$J18,0,(((YEAR(Lists!M$21)-YEAR($J18))*12+MONTH(Lists!M$21)-MONTH($J18))-(EDATE($J18,((YEAR(Lists!M$21)-YEAR($J18))*12+MONTH(Lists!M$21)-MONTH($J18)))&gt;Lists!M$21)+1)))-MIN(MAX(0,$H18),N($K18)*IF(Lists!M$22&lt;$J18,0,(((YEAR(Lists!M$22)-YEAR($J18))*12+MONTH(Lists!M$22)-MONTH($J18))-(EDATE($J18,((YEAR(Lists!M$22)-YEAR($J18))*12+MONTH(Lists!M$22)-MONTH($J18)))&gt;Lists!M$22)+1)))),N($C18)*IF($AE18-$AD18&lt;1,($AD18&gt;Lists!M$22)*($AD18&lt;=Lists!M$21),MAX(0,MIN(Lists!M$21,$AE18)-MAX(Lists!M$22,$AD18))/($AE18-$AD18))+N($D18)*IF($AG18-$AF18&lt;1,($AF18&gt;Lists!M$22)*($AF18&lt;=Lists!M$21),MAX(0,MIN(Lists!M$21,$AG18)-MAX(Lists!M$22,$AF18))/($AG18-$AF18))+N($E18)*IF($AI18-$AH18&lt;1,($AH18&gt;Lists!M$22)*($AH18&lt;=Lists!M$21),MAX(0,MIN(Lists!M$21,$AI18)-MAX(Lists!M$22,$AH18))/($AI18-$AH18))+N($F18)*IF($AK18-$AJ18&lt;1,($AJ18&gt;Lists!M$22)*($AJ18&lt;=Lists!M$21),MAX(0,MIN(Lists!M$21,$AK18)-MAX(Lists!M$22,$AJ18))/($AK18-$AJ18))+N($G18)*IF($AM18-$AL18&lt;1,($AL18&gt;Lists!M$22)*($AL18&lt;=Lists!M$21),MAX(0,MIN(Lists!M$21,$AM18)-MAX(Lists!M$22,$AL18))/($AM18-$AL18))))))))</f>
        <v>0</v>
      </c>
      <c r="X18" s="53" t="n">
        <f aca="false">IF($H18=0,0,IF($AP18="X",0,IF($AP18="S",$H18/$AO18*(MIN($AO18,MAX(0,INT((Lists!N$21-N($J18))/7)+1))-MIN($AO18,MAX(0,INT((Lists!N$22-N($J18))/7)+1))),IF($AP18="D",$H18*MAX(0,MIN(Lists!N$21,N($J18)+$AO18)-MAX(Lists!N$22,N($J18)))/$AO18,IF($AP18="M",$H18/$AO18*(IF(Lists!N$21&lt;$J18,0,MIN($AO18,(((YEAR(Lists!N$21)-YEAR($J18))*12+MONTH(Lists!N$21)-MONTH($J18))-(EDATE($J18,((YEAR(Lists!N$21)-YEAR($J18))*12+MONTH(Lists!N$21)-MONTH($J18)))&gt;Lists!N$21)+1)))-IF(Lists!N$22&lt;$J18,0,MIN($AO18,(((YEAR(Lists!N$22)-YEAR($J18))*12+MONTH(Lists!N$22)-MONTH($J18))-(EDATE($J18,((YEAR(Lists!N$22)-YEAR($J18))*12+MONTH(Lists!N$22)-MONTH($J18)))&gt;Lists!N$22)+1)))),IF($AP18="F",IF(N($K18)&lt;=0,0,MIN(MAX(0,$H18),N($K18)*IF(Lists!N$21&lt;$J18,0,(((YEAR(Lists!N$21)-YEAR($J18))*12+MONTH(Lists!N$21)-MONTH($J18))-(EDATE($J18,((YEAR(Lists!N$21)-YEAR($J18))*12+MONTH(Lists!N$21)-MONTH($J18)))&gt;Lists!N$21)+1)))-MIN(MAX(0,$H18),N($K18)*IF(Lists!N$22&lt;$J18,0,(((YEAR(Lists!N$22)-YEAR($J18))*12+MONTH(Lists!N$22)-MONTH($J18))-(EDATE($J18,((YEAR(Lists!N$22)-YEAR($J18))*12+MONTH(Lists!N$22)-MONTH($J18)))&gt;Lists!N$22)+1)))),N($C18)*IF($AE18-$AD18&lt;1,($AD18&gt;Lists!N$22)*($AD18&lt;=Lists!N$21),MAX(0,MIN(Lists!N$21,$AE18)-MAX(Lists!N$22,$AD18))/($AE18-$AD18))+N($D18)*IF($AG18-$AF18&lt;1,($AF18&gt;Lists!N$22)*($AF18&lt;=Lists!N$21),MAX(0,MIN(Lists!N$21,$AG18)-MAX(Lists!N$22,$AF18))/($AG18-$AF18))+N($E18)*IF($AI18-$AH18&lt;1,($AH18&gt;Lists!N$22)*($AH18&lt;=Lists!N$21),MAX(0,MIN(Lists!N$21,$AI18)-MAX(Lists!N$22,$AH18))/($AI18-$AH18))+N($F18)*IF($AK18-$AJ18&lt;1,($AJ18&gt;Lists!N$22)*($AJ18&lt;=Lists!N$21),MAX(0,MIN(Lists!N$21,$AK18)-MAX(Lists!N$22,$AJ18))/($AK18-$AJ18))+N($G18)*IF($AM18-$AL18&lt;1,($AL18&gt;Lists!N$22)*($AL18&lt;=Lists!N$21),MAX(0,MIN(Lists!N$21,$AM18)-MAX(Lists!N$22,$AL18))/($AM18-$AL18))))))))</f>
        <v>0</v>
      </c>
      <c r="Y18" s="53" t="n">
        <f aca="false">IF($H18=0,0,IF($AP18="X",0,IF($AP18="S",$H18/$AO18*(MIN($AO18,MAX(0,INT((Lists!O$21-N($J18))/7)+1))-MIN($AO18,MAX(0,INT((Lists!O$22-N($J18))/7)+1))),IF($AP18="D",$H18*MAX(0,MIN(Lists!O$21,N($J18)+$AO18)-MAX(Lists!O$22,N($J18)))/$AO18,IF($AP18="M",$H18/$AO18*(IF(Lists!O$21&lt;$J18,0,MIN($AO18,(((YEAR(Lists!O$21)-YEAR($J18))*12+MONTH(Lists!O$21)-MONTH($J18))-(EDATE($J18,((YEAR(Lists!O$21)-YEAR($J18))*12+MONTH(Lists!O$21)-MONTH($J18)))&gt;Lists!O$21)+1)))-IF(Lists!O$22&lt;$J18,0,MIN($AO18,(((YEAR(Lists!O$22)-YEAR($J18))*12+MONTH(Lists!O$22)-MONTH($J18))-(EDATE($J18,((YEAR(Lists!O$22)-YEAR($J18))*12+MONTH(Lists!O$22)-MONTH($J18)))&gt;Lists!O$22)+1)))),IF($AP18="F",IF(N($K18)&lt;=0,0,MIN(MAX(0,$H18),N($K18)*IF(Lists!O$21&lt;$J18,0,(((YEAR(Lists!O$21)-YEAR($J18))*12+MONTH(Lists!O$21)-MONTH($J18))-(EDATE($J18,((YEAR(Lists!O$21)-YEAR($J18))*12+MONTH(Lists!O$21)-MONTH($J18)))&gt;Lists!O$21)+1)))-MIN(MAX(0,$H18),N($K18)*IF(Lists!O$22&lt;$J18,0,(((YEAR(Lists!O$22)-YEAR($J18))*12+MONTH(Lists!O$22)-MONTH($J18))-(EDATE($J18,((YEAR(Lists!O$22)-YEAR($J18))*12+MONTH(Lists!O$22)-MONTH($J18)))&gt;Lists!O$22)+1)))),N($C18)*IF($AE18-$AD18&lt;1,($AD18&gt;Lists!O$22)*($AD18&lt;=Lists!O$21),MAX(0,MIN(Lists!O$21,$AE18)-MAX(Lists!O$22,$AD18))/($AE18-$AD18))+N($D18)*IF($AG18-$AF18&lt;1,($AF18&gt;Lists!O$22)*($AF18&lt;=Lists!O$21),MAX(0,MIN(Lists!O$21,$AG18)-MAX(Lists!O$22,$AF18))/($AG18-$AF18))+N($E18)*IF($AI18-$AH18&lt;1,($AH18&gt;Lists!O$22)*($AH18&lt;=Lists!O$21),MAX(0,MIN(Lists!O$21,$AI18)-MAX(Lists!O$22,$AH18))/($AI18-$AH18))+N($F18)*IF($AK18-$AJ18&lt;1,($AJ18&gt;Lists!O$22)*($AJ18&lt;=Lists!O$21),MAX(0,MIN(Lists!O$21,$AK18)-MAX(Lists!O$22,$AJ18))/($AK18-$AJ18))+N($G18)*IF($AM18-$AL18&lt;1,($AL18&gt;Lists!O$22)*($AL18&lt;=Lists!O$21),MAX(0,MIN(Lists!O$21,$AM18)-MAX(Lists!O$22,$AL18))/($AM18-$AL18))))))))</f>
        <v>0</v>
      </c>
      <c r="Z18" s="46" t="n">
        <f aca="false">SUM(M18:Y18)</f>
        <v>0</v>
      </c>
      <c r="AA18" s="92" t="n">
        <f aca="false">H18-Z18</f>
        <v>0</v>
      </c>
      <c r="AB18" s="55"/>
      <c r="AC18" s="2"/>
      <c r="AD18" s="93" t="n">
        <f aca="false">Setup!$D$10+MAX(0,$AN18-30)</f>
        <v>46365</v>
      </c>
      <c r="AE18" s="93" t="n">
        <f aca="false">Setup!$D$10+IF($AN18-30&lt;0,MAX(Setup!$D$22,$AN18-0),$AN18-0)</f>
        <v>46395</v>
      </c>
      <c r="AF18" s="93" t="n">
        <f aca="false">Setup!$D$10+MAX(0,$AN18-60)</f>
        <v>46335</v>
      </c>
      <c r="AG18" s="93" t="n">
        <f aca="false">Setup!$D$10+IF($AN18-60&lt;0,MAX(Setup!$D$22,$AN18-31),$AN18-31)</f>
        <v>46364</v>
      </c>
      <c r="AH18" s="93" t="n">
        <f aca="false">Setup!$D$10+MAX(0,$AN18-90)</f>
        <v>46335</v>
      </c>
      <c r="AI18" s="93" t="n">
        <f aca="false">Setup!$D$10+IF($AN18-90&lt;0,MAX(Setup!$D$22,$AN18-61),$AN18-61)</f>
        <v>46363</v>
      </c>
      <c r="AJ18" s="93" t="n">
        <f aca="false">Setup!$D$10+MAX(0,$AN18-120)</f>
        <v>46335</v>
      </c>
      <c r="AK18" s="93" t="n">
        <f aca="false">Setup!$D$10+IF($AN18-120&lt;0,MAX(Setup!$D$22,$AN18-91),$AN18-91)</f>
        <v>46363</v>
      </c>
      <c r="AL18" s="93" t="n">
        <f aca="false">IF(Setup!$D$23="Yes",2958465,Setup!$D$10)</f>
        <v>2958465</v>
      </c>
      <c r="AM18" s="93" t="n">
        <f aca="false">IF(AL18=2958465,AL18,Setup!$D$10+Setup!$D$22)</f>
        <v>2958465</v>
      </c>
      <c r="AN18" s="94" t="n">
        <f aca="false">IF(N(L18)=0,Setup!$D$20,L18)</f>
        <v>60</v>
      </c>
      <c r="AO18" s="94" t="n">
        <f aca="false">MAX(1,ROUND(N(K18),0))</f>
        <v>1</v>
      </c>
      <c r="AP18" s="95" t="str">
        <f aca="false">IF(I18="Doubtful","X",IF(N(J18)=0,"A",IF(I18="Specific date","S",IF(I18="Spread over days","D",IF(I18="Monthly on set day","M",IF(I18="Monthly fixed amount","F","A"))))))</f>
        <v>A</v>
      </c>
    </row>
    <row r="19" customFormat="false" ht="15" hidden="false" customHeight="false" outlineLevel="0" collapsed="false">
      <c r="A19" s="87" t="n">
        <v>11</v>
      </c>
      <c r="B19" s="55"/>
      <c r="C19" s="88"/>
      <c r="D19" s="88"/>
      <c r="E19" s="88"/>
      <c r="F19" s="88"/>
      <c r="G19" s="88"/>
      <c r="H19" s="89" t="n">
        <f aca="false">SUM(C19:G19)</f>
        <v>0</v>
      </c>
      <c r="I19" s="58"/>
      <c r="J19" s="90"/>
      <c r="K19" s="91"/>
      <c r="L19" s="80"/>
      <c r="M19" s="53" t="n">
        <f aca="false">IF($H19=0,0,IF($AP19="X",0,IF($AP19="S",$H19/$AO19*(MIN($AO19,MAX(0,INT((Lists!C$21-N($J19))/7)+1))-MIN($AO19,MAX(0,INT((Lists!C$22-N($J19))/7)+1))),IF($AP19="D",$H19*MAX(0,MIN(Lists!C$21,N($J19)+$AO19)-MAX(Lists!C$22,N($J19)))/$AO19,IF($AP19="M",$H19/$AO19*(IF(Lists!C$21&lt;$J19,0,MIN($AO19,(((YEAR(Lists!C$21)-YEAR($J19))*12+MONTH(Lists!C$21)-MONTH($J19))-(EDATE($J19,((YEAR(Lists!C$21)-YEAR($J19))*12+MONTH(Lists!C$21)-MONTH($J19)))&gt;Lists!C$21)+1)))-IF(Lists!C$22&lt;$J19,0,MIN($AO19,(((YEAR(Lists!C$22)-YEAR($J19))*12+MONTH(Lists!C$22)-MONTH($J19))-(EDATE($J19,((YEAR(Lists!C$22)-YEAR($J19))*12+MONTH(Lists!C$22)-MONTH($J19)))&gt;Lists!C$22)+1)))),IF($AP19="F",IF(N($K19)&lt;=0,0,MIN(MAX(0,$H19),N($K19)*IF(Lists!C$21&lt;$J19,0,(((YEAR(Lists!C$21)-YEAR($J19))*12+MONTH(Lists!C$21)-MONTH($J19))-(EDATE($J19,((YEAR(Lists!C$21)-YEAR($J19))*12+MONTH(Lists!C$21)-MONTH($J19)))&gt;Lists!C$21)+1)))-MIN(MAX(0,$H19),N($K19)*IF(Lists!C$22&lt;$J19,0,(((YEAR(Lists!C$22)-YEAR($J19))*12+MONTH(Lists!C$22)-MONTH($J19))-(EDATE($J19,((YEAR(Lists!C$22)-YEAR($J19))*12+MONTH(Lists!C$22)-MONTH($J19)))&gt;Lists!C$22)+1)))),N($C19)*IF($AE19-$AD19&lt;1,($AD19&gt;Lists!C$22)*($AD19&lt;=Lists!C$21),MAX(0,MIN(Lists!C$21,$AE19)-MAX(Lists!C$22,$AD19))/($AE19-$AD19))+N($D19)*IF($AG19-$AF19&lt;1,($AF19&gt;Lists!C$22)*($AF19&lt;=Lists!C$21),MAX(0,MIN(Lists!C$21,$AG19)-MAX(Lists!C$22,$AF19))/($AG19-$AF19))+N($E19)*IF($AI19-$AH19&lt;1,($AH19&gt;Lists!C$22)*($AH19&lt;=Lists!C$21),MAX(0,MIN(Lists!C$21,$AI19)-MAX(Lists!C$22,$AH19))/($AI19-$AH19))+N($F19)*IF($AK19-$AJ19&lt;1,($AJ19&gt;Lists!C$22)*($AJ19&lt;=Lists!C$21),MAX(0,MIN(Lists!C$21,$AK19)-MAX(Lists!C$22,$AJ19))/($AK19-$AJ19))+N($G19)*IF($AM19-$AL19&lt;1,($AL19&gt;Lists!C$22)*($AL19&lt;=Lists!C$21),MAX(0,MIN(Lists!C$21,$AM19)-MAX(Lists!C$22,$AL19))/($AM19-$AL19))))))))</f>
        <v>0</v>
      </c>
      <c r="N19" s="53" t="n">
        <f aca="false">IF($H19=0,0,IF($AP19="X",0,IF($AP19="S",$H19/$AO19*(MIN($AO19,MAX(0,INT((Lists!D$21-N($J19))/7)+1))-MIN($AO19,MAX(0,INT((Lists!D$22-N($J19))/7)+1))),IF($AP19="D",$H19*MAX(0,MIN(Lists!D$21,N($J19)+$AO19)-MAX(Lists!D$22,N($J19)))/$AO19,IF($AP19="M",$H19/$AO19*(IF(Lists!D$21&lt;$J19,0,MIN($AO19,(((YEAR(Lists!D$21)-YEAR($J19))*12+MONTH(Lists!D$21)-MONTH($J19))-(EDATE($J19,((YEAR(Lists!D$21)-YEAR($J19))*12+MONTH(Lists!D$21)-MONTH($J19)))&gt;Lists!D$21)+1)))-IF(Lists!D$22&lt;$J19,0,MIN($AO19,(((YEAR(Lists!D$22)-YEAR($J19))*12+MONTH(Lists!D$22)-MONTH($J19))-(EDATE($J19,((YEAR(Lists!D$22)-YEAR($J19))*12+MONTH(Lists!D$22)-MONTH($J19)))&gt;Lists!D$22)+1)))),IF($AP19="F",IF(N($K19)&lt;=0,0,MIN(MAX(0,$H19),N($K19)*IF(Lists!D$21&lt;$J19,0,(((YEAR(Lists!D$21)-YEAR($J19))*12+MONTH(Lists!D$21)-MONTH($J19))-(EDATE($J19,((YEAR(Lists!D$21)-YEAR($J19))*12+MONTH(Lists!D$21)-MONTH($J19)))&gt;Lists!D$21)+1)))-MIN(MAX(0,$H19),N($K19)*IF(Lists!D$22&lt;$J19,0,(((YEAR(Lists!D$22)-YEAR($J19))*12+MONTH(Lists!D$22)-MONTH($J19))-(EDATE($J19,((YEAR(Lists!D$22)-YEAR($J19))*12+MONTH(Lists!D$22)-MONTH($J19)))&gt;Lists!D$22)+1)))),N($C19)*IF($AE19-$AD19&lt;1,($AD19&gt;Lists!D$22)*($AD19&lt;=Lists!D$21),MAX(0,MIN(Lists!D$21,$AE19)-MAX(Lists!D$22,$AD19))/($AE19-$AD19))+N($D19)*IF($AG19-$AF19&lt;1,($AF19&gt;Lists!D$22)*($AF19&lt;=Lists!D$21),MAX(0,MIN(Lists!D$21,$AG19)-MAX(Lists!D$22,$AF19))/($AG19-$AF19))+N($E19)*IF($AI19-$AH19&lt;1,($AH19&gt;Lists!D$22)*($AH19&lt;=Lists!D$21),MAX(0,MIN(Lists!D$21,$AI19)-MAX(Lists!D$22,$AH19))/($AI19-$AH19))+N($F19)*IF($AK19-$AJ19&lt;1,($AJ19&gt;Lists!D$22)*($AJ19&lt;=Lists!D$21),MAX(0,MIN(Lists!D$21,$AK19)-MAX(Lists!D$22,$AJ19))/($AK19-$AJ19))+N($G19)*IF($AM19-$AL19&lt;1,($AL19&gt;Lists!D$22)*($AL19&lt;=Lists!D$21),MAX(0,MIN(Lists!D$21,$AM19)-MAX(Lists!D$22,$AL19))/($AM19-$AL19))))))))</f>
        <v>0</v>
      </c>
      <c r="O19" s="53" t="n">
        <f aca="false">IF($H19=0,0,IF($AP19="X",0,IF($AP19="S",$H19/$AO19*(MIN($AO19,MAX(0,INT((Lists!E$21-N($J19))/7)+1))-MIN($AO19,MAX(0,INT((Lists!E$22-N($J19))/7)+1))),IF($AP19="D",$H19*MAX(0,MIN(Lists!E$21,N($J19)+$AO19)-MAX(Lists!E$22,N($J19)))/$AO19,IF($AP19="M",$H19/$AO19*(IF(Lists!E$21&lt;$J19,0,MIN($AO19,(((YEAR(Lists!E$21)-YEAR($J19))*12+MONTH(Lists!E$21)-MONTH($J19))-(EDATE($J19,((YEAR(Lists!E$21)-YEAR($J19))*12+MONTH(Lists!E$21)-MONTH($J19)))&gt;Lists!E$21)+1)))-IF(Lists!E$22&lt;$J19,0,MIN($AO19,(((YEAR(Lists!E$22)-YEAR($J19))*12+MONTH(Lists!E$22)-MONTH($J19))-(EDATE($J19,((YEAR(Lists!E$22)-YEAR($J19))*12+MONTH(Lists!E$22)-MONTH($J19)))&gt;Lists!E$22)+1)))),IF($AP19="F",IF(N($K19)&lt;=0,0,MIN(MAX(0,$H19),N($K19)*IF(Lists!E$21&lt;$J19,0,(((YEAR(Lists!E$21)-YEAR($J19))*12+MONTH(Lists!E$21)-MONTH($J19))-(EDATE($J19,((YEAR(Lists!E$21)-YEAR($J19))*12+MONTH(Lists!E$21)-MONTH($J19)))&gt;Lists!E$21)+1)))-MIN(MAX(0,$H19),N($K19)*IF(Lists!E$22&lt;$J19,0,(((YEAR(Lists!E$22)-YEAR($J19))*12+MONTH(Lists!E$22)-MONTH($J19))-(EDATE($J19,((YEAR(Lists!E$22)-YEAR($J19))*12+MONTH(Lists!E$22)-MONTH($J19)))&gt;Lists!E$22)+1)))),N($C19)*IF($AE19-$AD19&lt;1,($AD19&gt;Lists!E$22)*($AD19&lt;=Lists!E$21),MAX(0,MIN(Lists!E$21,$AE19)-MAX(Lists!E$22,$AD19))/($AE19-$AD19))+N($D19)*IF($AG19-$AF19&lt;1,($AF19&gt;Lists!E$22)*($AF19&lt;=Lists!E$21),MAX(0,MIN(Lists!E$21,$AG19)-MAX(Lists!E$22,$AF19))/($AG19-$AF19))+N($E19)*IF($AI19-$AH19&lt;1,($AH19&gt;Lists!E$22)*($AH19&lt;=Lists!E$21),MAX(0,MIN(Lists!E$21,$AI19)-MAX(Lists!E$22,$AH19))/($AI19-$AH19))+N($F19)*IF($AK19-$AJ19&lt;1,($AJ19&gt;Lists!E$22)*($AJ19&lt;=Lists!E$21),MAX(0,MIN(Lists!E$21,$AK19)-MAX(Lists!E$22,$AJ19))/($AK19-$AJ19))+N($G19)*IF($AM19-$AL19&lt;1,($AL19&gt;Lists!E$22)*($AL19&lt;=Lists!E$21),MAX(0,MIN(Lists!E$21,$AM19)-MAX(Lists!E$22,$AL19))/($AM19-$AL19))))))))</f>
        <v>0</v>
      </c>
      <c r="P19" s="53" t="n">
        <f aca="false">IF($H19=0,0,IF($AP19="X",0,IF($AP19="S",$H19/$AO19*(MIN($AO19,MAX(0,INT((Lists!F$21-N($J19))/7)+1))-MIN($AO19,MAX(0,INT((Lists!F$22-N($J19))/7)+1))),IF($AP19="D",$H19*MAX(0,MIN(Lists!F$21,N($J19)+$AO19)-MAX(Lists!F$22,N($J19)))/$AO19,IF($AP19="M",$H19/$AO19*(IF(Lists!F$21&lt;$J19,0,MIN($AO19,(((YEAR(Lists!F$21)-YEAR($J19))*12+MONTH(Lists!F$21)-MONTH($J19))-(EDATE($J19,((YEAR(Lists!F$21)-YEAR($J19))*12+MONTH(Lists!F$21)-MONTH($J19)))&gt;Lists!F$21)+1)))-IF(Lists!F$22&lt;$J19,0,MIN($AO19,(((YEAR(Lists!F$22)-YEAR($J19))*12+MONTH(Lists!F$22)-MONTH($J19))-(EDATE($J19,((YEAR(Lists!F$22)-YEAR($J19))*12+MONTH(Lists!F$22)-MONTH($J19)))&gt;Lists!F$22)+1)))),IF($AP19="F",IF(N($K19)&lt;=0,0,MIN(MAX(0,$H19),N($K19)*IF(Lists!F$21&lt;$J19,0,(((YEAR(Lists!F$21)-YEAR($J19))*12+MONTH(Lists!F$21)-MONTH($J19))-(EDATE($J19,((YEAR(Lists!F$21)-YEAR($J19))*12+MONTH(Lists!F$21)-MONTH($J19)))&gt;Lists!F$21)+1)))-MIN(MAX(0,$H19),N($K19)*IF(Lists!F$22&lt;$J19,0,(((YEAR(Lists!F$22)-YEAR($J19))*12+MONTH(Lists!F$22)-MONTH($J19))-(EDATE($J19,((YEAR(Lists!F$22)-YEAR($J19))*12+MONTH(Lists!F$22)-MONTH($J19)))&gt;Lists!F$22)+1)))),N($C19)*IF($AE19-$AD19&lt;1,($AD19&gt;Lists!F$22)*($AD19&lt;=Lists!F$21),MAX(0,MIN(Lists!F$21,$AE19)-MAX(Lists!F$22,$AD19))/($AE19-$AD19))+N($D19)*IF($AG19-$AF19&lt;1,($AF19&gt;Lists!F$22)*($AF19&lt;=Lists!F$21),MAX(0,MIN(Lists!F$21,$AG19)-MAX(Lists!F$22,$AF19))/($AG19-$AF19))+N($E19)*IF($AI19-$AH19&lt;1,($AH19&gt;Lists!F$22)*($AH19&lt;=Lists!F$21),MAX(0,MIN(Lists!F$21,$AI19)-MAX(Lists!F$22,$AH19))/($AI19-$AH19))+N($F19)*IF($AK19-$AJ19&lt;1,($AJ19&gt;Lists!F$22)*($AJ19&lt;=Lists!F$21),MAX(0,MIN(Lists!F$21,$AK19)-MAX(Lists!F$22,$AJ19))/($AK19-$AJ19))+N($G19)*IF($AM19-$AL19&lt;1,($AL19&gt;Lists!F$22)*($AL19&lt;=Lists!F$21),MAX(0,MIN(Lists!F$21,$AM19)-MAX(Lists!F$22,$AL19))/($AM19-$AL19))))))))</f>
        <v>0</v>
      </c>
      <c r="Q19" s="53" t="n">
        <f aca="false">IF($H19=0,0,IF($AP19="X",0,IF($AP19="S",$H19/$AO19*(MIN($AO19,MAX(0,INT((Lists!G$21-N($J19))/7)+1))-MIN($AO19,MAX(0,INT((Lists!G$22-N($J19))/7)+1))),IF($AP19="D",$H19*MAX(0,MIN(Lists!G$21,N($J19)+$AO19)-MAX(Lists!G$22,N($J19)))/$AO19,IF($AP19="M",$H19/$AO19*(IF(Lists!G$21&lt;$J19,0,MIN($AO19,(((YEAR(Lists!G$21)-YEAR($J19))*12+MONTH(Lists!G$21)-MONTH($J19))-(EDATE($J19,((YEAR(Lists!G$21)-YEAR($J19))*12+MONTH(Lists!G$21)-MONTH($J19)))&gt;Lists!G$21)+1)))-IF(Lists!G$22&lt;$J19,0,MIN($AO19,(((YEAR(Lists!G$22)-YEAR($J19))*12+MONTH(Lists!G$22)-MONTH($J19))-(EDATE($J19,((YEAR(Lists!G$22)-YEAR($J19))*12+MONTH(Lists!G$22)-MONTH($J19)))&gt;Lists!G$22)+1)))),IF($AP19="F",IF(N($K19)&lt;=0,0,MIN(MAX(0,$H19),N($K19)*IF(Lists!G$21&lt;$J19,0,(((YEAR(Lists!G$21)-YEAR($J19))*12+MONTH(Lists!G$21)-MONTH($J19))-(EDATE($J19,((YEAR(Lists!G$21)-YEAR($J19))*12+MONTH(Lists!G$21)-MONTH($J19)))&gt;Lists!G$21)+1)))-MIN(MAX(0,$H19),N($K19)*IF(Lists!G$22&lt;$J19,0,(((YEAR(Lists!G$22)-YEAR($J19))*12+MONTH(Lists!G$22)-MONTH($J19))-(EDATE($J19,((YEAR(Lists!G$22)-YEAR($J19))*12+MONTH(Lists!G$22)-MONTH($J19)))&gt;Lists!G$22)+1)))),N($C19)*IF($AE19-$AD19&lt;1,($AD19&gt;Lists!G$22)*($AD19&lt;=Lists!G$21),MAX(0,MIN(Lists!G$21,$AE19)-MAX(Lists!G$22,$AD19))/($AE19-$AD19))+N($D19)*IF($AG19-$AF19&lt;1,($AF19&gt;Lists!G$22)*($AF19&lt;=Lists!G$21),MAX(0,MIN(Lists!G$21,$AG19)-MAX(Lists!G$22,$AF19))/($AG19-$AF19))+N($E19)*IF($AI19-$AH19&lt;1,($AH19&gt;Lists!G$22)*($AH19&lt;=Lists!G$21),MAX(0,MIN(Lists!G$21,$AI19)-MAX(Lists!G$22,$AH19))/($AI19-$AH19))+N($F19)*IF($AK19-$AJ19&lt;1,($AJ19&gt;Lists!G$22)*($AJ19&lt;=Lists!G$21),MAX(0,MIN(Lists!G$21,$AK19)-MAX(Lists!G$22,$AJ19))/($AK19-$AJ19))+N($G19)*IF($AM19-$AL19&lt;1,($AL19&gt;Lists!G$22)*($AL19&lt;=Lists!G$21),MAX(0,MIN(Lists!G$21,$AM19)-MAX(Lists!G$22,$AL19))/($AM19-$AL19))))))))</f>
        <v>0</v>
      </c>
      <c r="R19" s="53" t="n">
        <f aca="false">IF($H19=0,0,IF($AP19="X",0,IF($AP19="S",$H19/$AO19*(MIN($AO19,MAX(0,INT((Lists!H$21-N($J19))/7)+1))-MIN($AO19,MAX(0,INT((Lists!H$22-N($J19))/7)+1))),IF($AP19="D",$H19*MAX(0,MIN(Lists!H$21,N($J19)+$AO19)-MAX(Lists!H$22,N($J19)))/$AO19,IF($AP19="M",$H19/$AO19*(IF(Lists!H$21&lt;$J19,0,MIN($AO19,(((YEAR(Lists!H$21)-YEAR($J19))*12+MONTH(Lists!H$21)-MONTH($J19))-(EDATE($J19,((YEAR(Lists!H$21)-YEAR($J19))*12+MONTH(Lists!H$21)-MONTH($J19)))&gt;Lists!H$21)+1)))-IF(Lists!H$22&lt;$J19,0,MIN($AO19,(((YEAR(Lists!H$22)-YEAR($J19))*12+MONTH(Lists!H$22)-MONTH($J19))-(EDATE($J19,((YEAR(Lists!H$22)-YEAR($J19))*12+MONTH(Lists!H$22)-MONTH($J19)))&gt;Lists!H$22)+1)))),IF($AP19="F",IF(N($K19)&lt;=0,0,MIN(MAX(0,$H19),N($K19)*IF(Lists!H$21&lt;$J19,0,(((YEAR(Lists!H$21)-YEAR($J19))*12+MONTH(Lists!H$21)-MONTH($J19))-(EDATE($J19,((YEAR(Lists!H$21)-YEAR($J19))*12+MONTH(Lists!H$21)-MONTH($J19)))&gt;Lists!H$21)+1)))-MIN(MAX(0,$H19),N($K19)*IF(Lists!H$22&lt;$J19,0,(((YEAR(Lists!H$22)-YEAR($J19))*12+MONTH(Lists!H$22)-MONTH($J19))-(EDATE($J19,((YEAR(Lists!H$22)-YEAR($J19))*12+MONTH(Lists!H$22)-MONTH($J19)))&gt;Lists!H$22)+1)))),N($C19)*IF($AE19-$AD19&lt;1,($AD19&gt;Lists!H$22)*($AD19&lt;=Lists!H$21),MAX(0,MIN(Lists!H$21,$AE19)-MAX(Lists!H$22,$AD19))/($AE19-$AD19))+N($D19)*IF($AG19-$AF19&lt;1,($AF19&gt;Lists!H$22)*($AF19&lt;=Lists!H$21),MAX(0,MIN(Lists!H$21,$AG19)-MAX(Lists!H$22,$AF19))/($AG19-$AF19))+N($E19)*IF($AI19-$AH19&lt;1,($AH19&gt;Lists!H$22)*($AH19&lt;=Lists!H$21),MAX(0,MIN(Lists!H$21,$AI19)-MAX(Lists!H$22,$AH19))/($AI19-$AH19))+N($F19)*IF($AK19-$AJ19&lt;1,($AJ19&gt;Lists!H$22)*($AJ19&lt;=Lists!H$21),MAX(0,MIN(Lists!H$21,$AK19)-MAX(Lists!H$22,$AJ19))/($AK19-$AJ19))+N($G19)*IF($AM19-$AL19&lt;1,($AL19&gt;Lists!H$22)*($AL19&lt;=Lists!H$21),MAX(0,MIN(Lists!H$21,$AM19)-MAX(Lists!H$22,$AL19))/($AM19-$AL19))))))))</f>
        <v>0</v>
      </c>
      <c r="S19" s="53" t="n">
        <f aca="false">IF($H19=0,0,IF($AP19="X",0,IF($AP19="S",$H19/$AO19*(MIN($AO19,MAX(0,INT((Lists!I$21-N($J19))/7)+1))-MIN($AO19,MAX(0,INT((Lists!I$22-N($J19))/7)+1))),IF($AP19="D",$H19*MAX(0,MIN(Lists!I$21,N($J19)+$AO19)-MAX(Lists!I$22,N($J19)))/$AO19,IF($AP19="M",$H19/$AO19*(IF(Lists!I$21&lt;$J19,0,MIN($AO19,(((YEAR(Lists!I$21)-YEAR($J19))*12+MONTH(Lists!I$21)-MONTH($J19))-(EDATE($J19,((YEAR(Lists!I$21)-YEAR($J19))*12+MONTH(Lists!I$21)-MONTH($J19)))&gt;Lists!I$21)+1)))-IF(Lists!I$22&lt;$J19,0,MIN($AO19,(((YEAR(Lists!I$22)-YEAR($J19))*12+MONTH(Lists!I$22)-MONTH($J19))-(EDATE($J19,((YEAR(Lists!I$22)-YEAR($J19))*12+MONTH(Lists!I$22)-MONTH($J19)))&gt;Lists!I$22)+1)))),IF($AP19="F",IF(N($K19)&lt;=0,0,MIN(MAX(0,$H19),N($K19)*IF(Lists!I$21&lt;$J19,0,(((YEAR(Lists!I$21)-YEAR($J19))*12+MONTH(Lists!I$21)-MONTH($J19))-(EDATE($J19,((YEAR(Lists!I$21)-YEAR($J19))*12+MONTH(Lists!I$21)-MONTH($J19)))&gt;Lists!I$21)+1)))-MIN(MAX(0,$H19),N($K19)*IF(Lists!I$22&lt;$J19,0,(((YEAR(Lists!I$22)-YEAR($J19))*12+MONTH(Lists!I$22)-MONTH($J19))-(EDATE($J19,((YEAR(Lists!I$22)-YEAR($J19))*12+MONTH(Lists!I$22)-MONTH($J19)))&gt;Lists!I$22)+1)))),N($C19)*IF($AE19-$AD19&lt;1,($AD19&gt;Lists!I$22)*($AD19&lt;=Lists!I$21),MAX(0,MIN(Lists!I$21,$AE19)-MAX(Lists!I$22,$AD19))/($AE19-$AD19))+N($D19)*IF($AG19-$AF19&lt;1,($AF19&gt;Lists!I$22)*($AF19&lt;=Lists!I$21),MAX(0,MIN(Lists!I$21,$AG19)-MAX(Lists!I$22,$AF19))/($AG19-$AF19))+N($E19)*IF($AI19-$AH19&lt;1,($AH19&gt;Lists!I$22)*($AH19&lt;=Lists!I$21),MAX(0,MIN(Lists!I$21,$AI19)-MAX(Lists!I$22,$AH19))/($AI19-$AH19))+N($F19)*IF($AK19-$AJ19&lt;1,($AJ19&gt;Lists!I$22)*($AJ19&lt;=Lists!I$21),MAX(0,MIN(Lists!I$21,$AK19)-MAX(Lists!I$22,$AJ19))/($AK19-$AJ19))+N($G19)*IF($AM19-$AL19&lt;1,($AL19&gt;Lists!I$22)*($AL19&lt;=Lists!I$21),MAX(0,MIN(Lists!I$21,$AM19)-MAX(Lists!I$22,$AL19))/($AM19-$AL19))))))))</f>
        <v>0</v>
      </c>
      <c r="T19" s="53" t="n">
        <f aca="false">IF($H19=0,0,IF($AP19="X",0,IF($AP19="S",$H19/$AO19*(MIN($AO19,MAX(0,INT((Lists!J$21-N($J19))/7)+1))-MIN($AO19,MAX(0,INT((Lists!J$22-N($J19))/7)+1))),IF($AP19="D",$H19*MAX(0,MIN(Lists!J$21,N($J19)+$AO19)-MAX(Lists!J$22,N($J19)))/$AO19,IF($AP19="M",$H19/$AO19*(IF(Lists!J$21&lt;$J19,0,MIN($AO19,(((YEAR(Lists!J$21)-YEAR($J19))*12+MONTH(Lists!J$21)-MONTH($J19))-(EDATE($J19,((YEAR(Lists!J$21)-YEAR($J19))*12+MONTH(Lists!J$21)-MONTH($J19)))&gt;Lists!J$21)+1)))-IF(Lists!J$22&lt;$J19,0,MIN($AO19,(((YEAR(Lists!J$22)-YEAR($J19))*12+MONTH(Lists!J$22)-MONTH($J19))-(EDATE($J19,((YEAR(Lists!J$22)-YEAR($J19))*12+MONTH(Lists!J$22)-MONTH($J19)))&gt;Lists!J$22)+1)))),IF($AP19="F",IF(N($K19)&lt;=0,0,MIN(MAX(0,$H19),N($K19)*IF(Lists!J$21&lt;$J19,0,(((YEAR(Lists!J$21)-YEAR($J19))*12+MONTH(Lists!J$21)-MONTH($J19))-(EDATE($J19,((YEAR(Lists!J$21)-YEAR($J19))*12+MONTH(Lists!J$21)-MONTH($J19)))&gt;Lists!J$21)+1)))-MIN(MAX(0,$H19),N($K19)*IF(Lists!J$22&lt;$J19,0,(((YEAR(Lists!J$22)-YEAR($J19))*12+MONTH(Lists!J$22)-MONTH($J19))-(EDATE($J19,((YEAR(Lists!J$22)-YEAR($J19))*12+MONTH(Lists!J$22)-MONTH($J19)))&gt;Lists!J$22)+1)))),N($C19)*IF($AE19-$AD19&lt;1,($AD19&gt;Lists!J$22)*($AD19&lt;=Lists!J$21),MAX(0,MIN(Lists!J$21,$AE19)-MAX(Lists!J$22,$AD19))/($AE19-$AD19))+N($D19)*IF($AG19-$AF19&lt;1,($AF19&gt;Lists!J$22)*($AF19&lt;=Lists!J$21),MAX(0,MIN(Lists!J$21,$AG19)-MAX(Lists!J$22,$AF19))/($AG19-$AF19))+N($E19)*IF($AI19-$AH19&lt;1,($AH19&gt;Lists!J$22)*($AH19&lt;=Lists!J$21),MAX(0,MIN(Lists!J$21,$AI19)-MAX(Lists!J$22,$AH19))/($AI19-$AH19))+N($F19)*IF($AK19-$AJ19&lt;1,($AJ19&gt;Lists!J$22)*($AJ19&lt;=Lists!J$21),MAX(0,MIN(Lists!J$21,$AK19)-MAX(Lists!J$22,$AJ19))/($AK19-$AJ19))+N($G19)*IF($AM19-$AL19&lt;1,($AL19&gt;Lists!J$22)*($AL19&lt;=Lists!J$21),MAX(0,MIN(Lists!J$21,$AM19)-MAX(Lists!J$22,$AL19))/($AM19-$AL19))))))))</f>
        <v>0</v>
      </c>
      <c r="U19" s="53" t="n">
        <f aca="false">IF($H19=0,0,IF($AP19="X",0,IF($AP19="S",$H19/$AO19*(MIN($AO19,MAX(0,INT((Lists!K$21-N($J19))/7)+1))-MIN($AO19,MAX(0,INT((Lists!K$22-N($J19))/7)+1))),IF($AP19="D",$H19*MAX(0,MIN(Lists!K$21,N($J19)+$AO19)-MAX(Lists!K$22,N($J19)))/$AO19,IF($AP19="M",$H19/$AO19*(IF(Lists!K$21&lt;$J19,0,MIN($AO19,(((YEAR(Lists!K$21)-YEAR($J19))*12+MONTH(Lists!K$21)-MONTH($J19))-(EDATE($J19,((YEAR(Lists!K$21)-YEAR($J19))*12+MONTH(Lists!K$21)-MONTH($J19)))&gt;Lists!K$21)+1)))-IF(Lists!K$22&lt;$J19,0,MIN($AO19,(((YEAR(Lists!K$22)-YEAR($J19))*12+MONTH(Lists!K$22)-MONTH($J19))-(EDATE($J19,((YEAR(Lists!K$22)-YEAR($J19))*12+MONTH(Lists!K$22)-MONTH($J19)))&gt;Lists!K$22)+1)))),IF($AP19="F",IF(N($K19)&lt;=0,0,MIN(MAX(0,$H19),N($K19)*IF(Lists!K$21&lt;$J19,0,(((YEAR(Lists!K$21)-YEAR($J19))*12+MONTH(Lists!K$21)-MONTH($J19))-(EDATE($J19,((YEAR(Lists!K$21)-YEAR($J19))*12+MONTH(Lists!K$21)-MONTH($J19)))&gt;Lists!K$21)+1)))-MIN(MAX(0,$H19),N($K19)*IF(Lists!K$22&lt;$J19,0,(((YEAR(Lists!K$22)-YEAR($J19))*12+MONTH(Lists!K$22)-MONTH($J19))-(EDATE($J19,((YEAR(Lists!K$22)-YEAR($J19))*12+MONTH(Lists!K$22)-MONTH($J19)))&gt;Lists!K$22)+1)))),N($C19)*IF($AE19-$AD19&lt;1,($AD19&gt;Lists!K$22)*($AD19&lt;=Lists!K$21),MAX(0,MIN(Lists!K$21,$AE19)-MAX(Lists!K$22,$AD19))/($AE19-$AD19))+N($D19)*IF($AG19-$AF19&lt;1,($AF19&gt;Lists!K$22)*($AF19&lt;=Lists!K$21),MAX(0,MIN(Lists!K$21,$AG19)-MAX(Lists!K$22,$AF19))/($AG19-$AF19))+N($E19)*IF($AI19-$AH19&lt;1,($AH19&gt;Lists!K$22)*($AH19&lt;=Lists!K$21),MAX(0,MIN(Lists!K$21,$AI19)-MAX(Lists!K$22,$AH19))/($AI19-$AH19))+N($F19)*IF($AK19-$AJ19&lt;1,($AJ19&gt;Lists!K$22)*($AJ19&lt;=Lists!K$21),MAX(0,MIN(Lists!K$21,$AK19)-MAX(Lists!K$22,$AJ19))/($AK19-$AJ19))+N($G19)*IF($AM19-$AL19&lt;1,($AL19&gt;Lists!K$22)*($AL19&lt;=Lists!K$21),MAX(0,MIN(Lists!K$21,$AM19)-MAX(Lists!K$22,$AL19))/($AM19-$AL19))))))))</f>
        <v>0</v>
      </c>
      <c r="V19" s="53" t="n">
        <f aca="false">IF($H19=0,0,IF($AP19="X",0,IF($AP19="S",$H19/$AO19*(MIN($AO19,MAX(0,INT((Lists!L$21-N($J19))/7)+1))-MIN($AO19,MAX(0,INT((Lists!L$22-N($J19))/7)+1))),IF($AP19="D",$H19*MAX(0,MIN(Lists!L$21,N($J19)+$AO19)-MAX(Lists!L$22,N($J19)))/$AO19,IF($AP19="M",$H19/$AO19*(IF(Lists!L$21&lt;$J19,0,MIN($AO19,(((YEAR(Lists!L$21)-YEAR($J19))*12+MONTH(Lists!L$21)-MONTH($J19))-(EDATE($J19,((YEAR(Lists!L$21)-YEAR($J19))*12+MONTH(Lists!L$21)-MONTH($J19)))&gt;Lists!L$21)+1)))-IF(Lists!L$22&lt;$J19,0,MIN($AO19,(((YEAR(Lists!L$22)-YEAR($J19))*12+MONTH(Lists!L$22)-MONTH($J19))-(EDATE($J19,((YEAR(Lists!L$22)-YEAR($J19))*12+MONTH(Lists!L$22)-MONTH($J19)))&gt;Lists!L$22)+1)))),IF($AP19="F",IF(N($K19)&lt;=0,0,MIN(MAX(0,$H19),N($K19)*IF(Lists!L$21&lt;$J19,0,(((YEAR(Lists!L$21)-YEAR($J19))*12+MONTH(Lists!L$21)-MONTH($J19))-(EDATE($J19,((YEAR(Lists!L$21)-YEAR($J19))*12+MONTH(Lists!L$21)-MONTH($J19)))&gt;Lists!L$21)+1)))-MIN(MAX(0,$H19),N($K19)*IF(Lists!L$22&lt;$J19,0,(((YEAR(Lists!L$22)-YEAR($J19))*12+MONTH(Lists!L$22)-MONTH($J19))-(EDATE($J19,((YEAR(Lists!L$22)-YEAR($J19))*12+MONTH(Lists!L$22)-MONTH($J19)))&gt;Lists!L$22)+1)))),N($C19)*IF($AE19-$AD19&lt;1,($AD19&gt;Lists!L$22)*($AD19&lt;=Lists!L$21),MAX(0,MIN(Lists!L$21,$AE19)-MAX(Lists!L$22,$AD19))/($AE19-$AD19))+N($D19)*IF($AG19-$AF19&lt;1,($AF19&gt;Lists!L$22)*($AF19&lt;=Lists!L$21),MAX(0,MIN(Lists!L$21,$AG19)-MAX(Lists!L$22,$AF19))/($AG19-$AF19))+N($E19)*IF($AI19-$AH19&lt;1,($AH19&gt;Lists!L$22)*($AH19&lt;=Lists!L$21),MAX(0,MIN(Lists!L$21,$AI19)-MAX(Lists!L$22,$AH19))/($AI19-$AH19))+N($F19)*IF($AK19-$AJ19&lt;1,($AJ19&gt;Lists!L$22)*($AJ19&lt;=Lists!L$21),MAX(0,MIN(Lists!L$21,$AK19)-MAX(Lists!L$22,$AJ19))/($AK19-$AJ19))+N($G19)*IF($AM19-$AL19&lt;1,($AL19&gt;Lists!L$22)*($AL19&lt;=Lists!L$21),MAX(0,MIN(Lists!L$21,$AM19)-MAX(Lists!L$22,$AL19))/($AM19-$AL19))))))))</f>
        <v>0</v>
      </c>
      <c r="W19" s="53" t="n">
        <f aca="false">IF($H19=0,0,IF($AP19="X",0,IF($AP19="S",$H19/$AO19*(MIN($AO19,MAX(0,INT((Lists!M$21-N($J19))/7)+1))-MIN($AO19,MAX(0,INT((Lists!M$22-N($J19))/7)+1))),IF($AP19="D",$H19*MAX(0,MIN(Lists!M$21,N($J19)+$AO19)-MAX(Lists!M$22,N($J19)))/$AO19,IF($AP19="M",$H19/$AO19*(IF(Lists!M$21&lt;$J19,0,MIN($AO19,(((YEAR(Lists!M$21)-YEAR($J19))*12+MONTH(Lists!M$21)-MONTH($J19))-(EDATE($J19,((YEAR(Lists!M$21)-YEAR($J19))*12+MONTH(Lists!M$21)-MONTH($J19)))&gt;Lists!M$21)+1)))-IF(Lists!M$22&lt;$J19,0,MIN($AO19,(((YEAR(Lists!M$22)-YEAR($J19))*12+MONTH(Lists!M$22)-MONTH($J19))-(EDATE($J19,((YEAR(Lists!M$22)-YEAR($J19))*12+MONTH(Lists!M$22)-MONTH($J19)))&gt;Lists!M$22)+1)))),IF($AP19="F",IF(N($K19)&lt;=0,0,MIN(MAX(0,$H19),N($K19)*IF(Lists!M$21&lt;$J19,0,(((YEAR(Lists!M$21)-YEAR($J19))*12+MONTH(Lists!M$21)-MONTH($J19))-(EDATE($J19,((YEAR(Lists!M$21)-YEAR($J19))*12+MONTH(Lists!M$21)-MONTH($J19)))&gt;Lists!M$21)+1)))-MIN(MAX(0,$H19),N($K19)*IF(Lists!M$22&lt;$J19,0,(((YEAR(Lists!M$22)-YEAR($J19))*12+MONTH(Lists!M$22)-MONTH($J19))-(EDATE($J19,((YEAR(Lists!M$22)-YEAR($J19))*12+MONTH(Lists!M$22)-MONTH($J19)))&gt;Lists!M$22)+1)))),N($C19)*IF($AE19-$AD19&lt;1,($AD19&gt;Lists!M$22)*($AD19&lt;=Lists!M$21),MAX(0,MIN(Lists!M$21,$AE19)-MAX(Lists!M$22,$AD19))/($AE19-$AD19))+N($D19)*IF($AG19-$AF19&lt;1,($AF19&gt;Lists!M$22)*($AF19&lt;=Lists!M$21),MAX(0,MIN(Lists!M$21,$AG19)-MAX(Lists!M$22,$AF19))/($AG19-$AF19))+N($E19)*IF($AI19-$AH19&lt;1,($AH19&gt;Lists!M$22)*($AH19&lt;=Lists!M$21),MAX(0,MIN(Lists!M$21,$AI19)-MAX(Lists!M$22,$AH19))/($AI19-$AH19))+N($F19)*IF($AK19-$AJ19&lt;1,($AJ19&gt;Lists!M$22)*($AJ19&lt;=Lists!M$21),MAX(0,MIN(Lists!M$21,$AK19)-MAX(Lists!M$22,$AJ19))/($AK19-$AJ19))+N($G19)*IF($AM19-$AL19&lt;1,($AL19&gt;Lists!M$22)*($AL19&lt;=Lists!M$21),MAX(0,MIN(Lists!M$21,$AM19)-MAX(Lists!M$22,$AL19))/($AM19-$AL19))))))))</f>
        <v>0</v>
      </c>
      <c r="X19" s="53" t="n">
        <f aca="false">IF($H19=0,0,IF($AP19="X",0,IF($AP19="S",$H19/$AO19*(MIN($AO19,MAX(0,INT((Lists!N$21-N($J19))/7)+1))-MIN($AO19,MAX(0,INT((Lists!N$22-N($J19))/7)+1))),IF($AP19="D",$H19*MAX(0,MIN(Lists!N$21,N($J19)+$AO19)-MAX(Lists!N$22,N($J19)))/$AO19,IF($AP19="M",$H19/$AO19*(IF(Lists!N$21&lt;$J19,0,MIN($AO19,(((YEAR(Lists!N$21)-YEAR($J19))*12+MONTH(Lists!N$21)-MONTH($J19))-(EDATE($J19,((YEAR(Lists!N$21)-YEAR($J19))*12+MONTH(Lists!N$21)-MONTH($J19)))&gt;Lists!N$21)+1)))-IF(Lists!N$22&lt;$J19,0,MIN($AO19,(((YEAR(Lists!N$22)-YEAR($J19))*12+MONTH(Lists!N$22)-MONTH($J19))-(EDATE($J19,((YEAR(Lists!N$22)-YEAR($J19))*12+MONTH(Lists!N$22)-MONTH($J19)))&gt;Lists!N$22)+1)))),IF($AP19="F",IF(N($K19)&lt;=0,0,MIN(MAX(0,$H19),N($K19)*IF(Lists!N$21&lt;$J19,0,(((YEAR(Lists!N$21)-YEAR($J19))*12+MONTH(Lists!N$21)-MONTH($J19))-(EDATE($J19,((YEAR(Lists!N$21)-YEAR($J19))*12+MONTH(Lists!N$21)-MONTH($J19)))&gt;Lists!N$21)+1)))-MIN(MAX(0,$H19),N($K19)*IF(Lists!N$22&lt;$J19,0,(((YEAR(Lists!N$22)-YEAR($J19))*12+MONTH(Lists!N$22)-MONTH($J19))-(EDATE($J19,((YEAR(Lists!N$22)-YEAR($J19))*12+MONTH(Lists!N$22)-MONTH($J19)))&gt;Lists!N$22)+1)))),N($C19)*IF($AE19-$AD19&lt;1,($AD19&gt;Lists!N$22)*($AD19&lt;=Lists!N$21),MAX(0,MIN(Lists!N$21,$AE19)-MAX(Lists!N$22,$AD19))/($AE19-$AD19))+N($D19)*IF($AG19-$AF19&lt;1,($AF19&gt;Lists!N$22)*($AF19&lt;=Lists!N$21),MAX(0,MIN(Lists!N$21,$AG19)-MAX(Lists!N$22,$AF19))/($AG19-$AF19))+N($E19)*IF($AI19-$AH19&lt;1,($AH19&gt;Lists!N$22)*($AH19&lt;=Lists!N$21),MAX(0,MIN(Lists!N$21,$AI19)-MAX(Lists!N$22,$AH19))/($AI19-$AH19))+N($F19)*IF($AK19-$AJ19&lt;1,($AJ19&gt;Lists!N$22)*($AJ19&lt;=Lists!N$21),MAX(0,MIN(Lists!N$21,$AK19)-MAX(Lists!N$22,$AJ19))/($AK19-$AJ19))+N($G19)*IF($AM19-$AL19&lt;1,($AL19&gt;Lists!N$22)*($AL19&lt;=Lists!N$21),MAX(0,MIN(Lists!N$21,$AM19)-MAX(Lists!N$22,$AL19))/($AM19-$AL19))))))))</f>
        <v>0</v>
      </c>
      <c r="Y19" s="53" t="n">
        <f aca="false">IF($H19=0,0,IF($AP19="X",0,IF($AP19="S",$H19/$AO19*(MIN($AO19,MAX(0,INT((Lists!O$21-N($J19))/7)+1))-MIN($AO19,MAX(0,INT((Lists!O$22-N($J19))/7)+1))),IF($AP19="D",$H19*MAX(0,MIN(Lists!O$21,N($J19)+$AO19)-MAX(Lists!O$22,N($J19)))/$AO19,IF($AP19="M",$H19/$AO19*(IF(Lists!O$21&lt;$J19,0,MIN($AO19,(((YEAR(Lists!O$21)-YEAR($J19))*12+MONTH(Lists!O$21)-MONTH($J19))-(EDATE($J19,((YEAR(Lists!O$21)-YEAR($J19))*12+MONTH(Lists!O$21)-MONTH($J19)))&gt;Lists!O$21)+1)))-IF(Lists!O$22&lt;$J19,0,MIN($AO19,(((YEAR(Lists!O$22)-YEAR($J19))*12+MONTH(Lists!O$22)-MONTH($J19))-(EDATE($J19,((YEAR(Lists!O$22)-YEAR($J19))*12+MONTH(Lists!O$22)-MONTH($J19)))&gt;Lists!O$22)+1)))),IF($AP19="F",IF(N($K19)&lt;=0,0,MIN(MAX(0,$H19),N($K19)*IF(Lists!O$21&lt;$J19,0,(((YEAR(Lists!O$21)-YEAR($J19))*12+MONTH(Lists!O$21)-MONTH($J19))-(EDATE($J19,((YEAR(Lists!O$21)-YEAR($J19))*12+MONTH(Lists!O$21)-MONTH($J19)))&gt;Lists!O$21)+1)))-MIN(MAX(0,$H19),N($K19)*IF(Lists!O$22&lt;$J19,0,(((YEAR(Lists!O$22)-YEAR($J19))*12+MONTH(Lists!O$22)-MONTH($J19))-(EDATE($J19,((YEAR(Lists!O$22)-YEAR($J19))*12+MONTH(Lists!O$22)-MONTH($J19)))&gt;Lists!O$22)+1)))),N($C19)*IF($AE19-$AD19&lt;1,($AD19&gt;Lists!O$22)*($AD19&lt;=Lists!O$21),MAX(0,MIN(Lists!O$21,$AE19)-MAX(Lists!O$22,$AD19))/($AE19-$AD19))+N($D19)*IF($AG19-$AF19&lt;1,($AF19&gt;Lists!O$22)*($AF19&lt;=Lists!O$21),MAX(0,MIN(Lists!O$21,$AG19)-MAX(Lists!O$22,$AF19))/($AG19-$AF19))+N($E19)*IF($AI19-$AH19&lt;1,($AH19&gt;Lists!O$22)*($AH19&lt;=Lists!O$21),MAX(0,MIN(Lists!O$21,$AI19)-MAX(Lists!O$22,$AH19))/($AI19-$AH19))+N($F19)*IF($AK19-$AJ19&lt;1,($AJ19&gt;Lists!O$22)*($AJ19&lt;=Lists!O$21),MAX(0,MIN(Lists!O$21,$AK19)-MAX(Lists!O$22,$AJ19))/($AK19-$AJ19))+N($G19)*IF($AM19-$AL19&lt;1,($AL19&gt;Lists!O$22)*($AL19&lt;=Lists!O$21),MAX(0,MIN(Lists!O$21,$AM19)-MAX(Lists!O$22,$AL19))/($AM19-$AL19))))))))</f>
        <v>0</v>
      </c>
      <c r="Z19" s="46" t="n">
        <f aca="false">SUM(M19:Y19)</f>
        <v>0</v>
      </c>
      <c r="AA19" s="92" t="n">
        <f aca="false">H19-Z19</f>
        <v>0</v>
      </c>
      <c r="AB19" s="55"/>
      <c r="AC19" s="2"/>
      <c r="AD19" s="93" t="n">
        <f aca="false">Setup!$D$10+MAX(0,$AN19-30)</f>
        <v>46365</v>
      </c>
      <c r="AE19" s="93" t="n">
        <f aca="false">Setup!$D$10+IF($AN19-30&lt;0,MAX(Setup!$D$22,$AN19-0),$AN19-0)</f>
        <v>46395</v>
      </c>
      <c r="AF19" s="93" t="n">
        <f aca="false">Setup!$D$10+MAX(0,$AN19-60)</f>
        <v>46335</v>
      </c>
      <c r="AG19" s="93" t="n">
        <f aca="false">Setup!$D$10+IF($AN19-60&lt;0,MAX(Setup!$D$22,$AN19-31),$AN19-31)</f>
        <v>46364</v>
      </c>
      <c r="AH19" s="93" t="n">
        <f aca="false">Setup!$D$10+MAX(0,$AN19-90)</f>
        <v>46335</v>
      </c>
      <c r="AI19" s="93" t="n">
        <f aca="false">Setup!$D$10+IF($AN19-90&lt;0,MAX(Setup!$D$22,$AN19-61),$AN19-61)</f>
        <v>46363</v>
      </c>
      <c r="AJ19" s="93" t="n">
        <f aca="false">Setup!$D$10+MAX(0,$AN19-120)</f>
        <v>46335</v>
      </c>
      <c r="AK19" s="93" t="n">
        <f aca="false">Setup!$D$10+IF($AN19-120&lt;0,MAX(Setup!$D$22,$AN19-91),$AN19-91)</f>
        <v>46363</v>
      </c>
      <c r="AL19" s="93" t="n">
        <f aca="false">IF(Setup!$D$23="Yes",2958465,Setup!$D$10)</f>
        <v>2958465</v>
      </c>
      <c r="AM19" s="93" t="n">
        <f aca="false">IF(AL19=2958465,AL19,Setup!$D$10+Setup!$D$22)</f>
        <v>2958465</v>
      </c>
      <c r="AN19" s="94" t="n">
        <f aca="false">IF(N(L19)=0,Setup!$D$20,L19)</f>
        <v>60</v>
      </c>
      <c r="AO19" s="94" t="n">
        <f aca="false">MAX(1,ROUND(N(K19),0))</f>
        <v>1</v>
      </c>
      <c r="AP19" s="95" t="str">
        <f aca="false">IF(I19="Doubtful","X",IF(N(J19)=0,"A",IF(I19="Specific date","S",IF(I19="Spread over days","D",IF(I19="Monthly on set day","M",IF(I19="Monthly fixed amount","F","A"))))))</f>
        <v>A</v>
      </c>
    </row>
    <row r="20" customFormat="false" ht="15" hidden="false" customHeight="false" outlineLevel="0" collapsed="false">
      <c r="A20" s="87" t="n">
        <v>12</v>
      </c>
      <c r="B20" s="55"/>
      <c r="C20" s="88"/>
      <c r="D20" s="88"/>
      <c r="E20" s="88"/>
      <c r="F20" s="88"/>
      <c r="G20" s="88"/>
      <c r="H20" s="89" t="n">
        <f aca="false">SUM(C20:G20)</f>
        <v>0</v>
      </c>
      <c r="I20" s="58"/>
      <c r="J20" s="90"/>
      <c r="K20" s="91"/>
      <c r="L20" s="80"/>
      <c r="M20" s="53" t="n">
        <f aca="false">IF($H20=0,0,IF($AP20="X",0,IF($AP20="S",$H20/$AO20*(MIN($AO20,MAX(0,INT((Lists!C$21-N($J20))/7)+1))-MIN($AO20,MAX(0,INT((Lists!C$22-N($J20))/7)+1))),IF($AP20="D",$H20*MAX(0,MIN(Lists!C$21,N($J20)+$AO20)-MAX(Lists!C$22,N($J20)))/$AO20,IF($AP20="M",$H20/$AO20*(IF(Lists!C$21&lt;$J20,0,MIN($AO20,(((YEAR(Lists!C$21)-YEAR($J20))*12+MONTH(Lists!C$21)-MONTH($J20))-(EDATE($J20,((YEAR(Lists!C$21)-YEAR($J20))*12+MONTH(Lists!C$21)-MONTH($J20)))&gt;Lists!C$21)+1)))-IF(Lists!C$22&lt;$J20,0,MIN($AO20,(((YEAR(Lists!C$22)-YEAR($J20))*12+MONTH(Lists!C$22)-MONTH($J20))-(EDATE($J20,((YEAR(Lists!C$22)-YEAR($J20))*12+MONTH(Lists!C$22)-MONTH($J20)))&gt;Lists!C$22)+1)))),IF($AP20="F",IF(N($K20)&lt;=0,0,MIN(MAX(0,$H20),N($K20)*IF(Lists!C$21&lt;$J20,0,(((YEAR(Lists!C$21)-YEAR($J20))*12+MONTH(Lists!C$21)-MONTH($J20))-(EDATE($J20,((YEAR(Lists!C$21)-YEAR($J20))*12+MONTH(Lists!C$21)-MONTH($J20)))&gt;Lists!C$21)+1)))-MIN(MAX(0,$H20),N($K20)*IF(Lists!C$22&lt;$J20,0,(((YEAR(Lists!C$22)-YEAR($J20))*12+MONTH(Lists!C$22)-MONTH($J20))-(EDATE($J20,((YEAR(Lists!C$22)-YEAR($J20))*12+MONTH(Lists!C$22)-MONTH($J20)))&gt;Lists!C$22)+1)))),N($C20)*IF($AE20-$AD20&lt;1,($AD20&gt;Lists!C$22)*($AD20&lt;=Lists!C$21),MAX(0,MIN(Lists!C$21,$AE20)-MAX(Lists!C$22,$AD20))/($AE20-$AD20))+N($D20)*IF($AG20-$AF20&lt;1,($AF20&gt;Lists!C$22)*($AF20&lt;=Lists!C$21),MAX(0,MIN(Lists!C$21,$AG20)-MAX(Lists!C$22,$AF20))/($AG20-$AF20))+N($E20)*IF($AI20-$AH20&lt;1,($AH20&gt;Lists!C$22)*($AH20&lt;=Lists!C$21),MAX(0,MIN(Lists!C$21,$AI20)-MAX(Lists!C$22,$AH20))/($AI20-$AH20))+N($F20)*IF($AK20-$AJ20&lt;1,($AJ20&gt;Lists!C$22)*($AJ20&lt;=Lists!C$21),MAX(0,MIN(Lists!C$21,$AK20)-MAX(Lists!C$22,$AJ20))/($AK20-$AJ20))+N($G20)*IF($AM20-$AL20&lt;1,($AL20&gt;Lists!C$22)*($AL20&lt;=Lists!C$21),MAX(0,MIN(Lists!C$21,$AM20)-MAX(Lists!C$22,$AL20))/($AM20-$AL20))))))))</f>
        <v>0</v>
      </c>
      <c r="N20" s="53" t="n">
        <f aca="false">IF($H20=0,0,IF($AP20="X",0,IF($AP20="S",$H20/$AO20*(MIN($AO20,MAX(0,INT((Lists!D$21-N($J20))/7)+1))-MIN($AO20,MAX(0,INT((Lists!D$22-N($J20))/7)+1))),IF($AP20="D",$H20*MAX(0,MIN(Lists!D$21,N($J20)+$AO20)-MAX(Lists!D$22,N($J20)))/$AO20,IF($AP20="M",$H20/$AO20*(IF(Lists!D$21&lt;$J20,0,MIN($AO20,(((YEAR(Lists!D$21)-YEAR($J20))*12+MONTH(Lists!D$21)-MONTH($J20))-(EDATE($J20,((YEAR(Lists!D$21)-YEAR($J20))*12+MONTH(Lists!D$21)-MONTH($J20)))&gt;Lists!D$21)+1)))-IF(Lists!D$22&lt;$J20,0,MIN($AO20,(((YEAR(Lists!D$22)-YEAR($J20))*12+MONTH(Lists!D$22)-MONTH($J20))-(EDATE($J20,((YEAR(Lists!D$22)-YEAR($J20))*12+MONTH(Lists!D$22)-MONTH($J20)))&gt;Lists!D$22)+1)))),IF($AP20="F",IF(N($K20)&lt;=0,0,MIN(MAX(0,$H20),N($K20)*IF(Lists!D$21&lt;$J20,0,(((YEAR(Lists!D$21)-YEAR($J20))*12+MONTH(Lists!D$21)-MONTH($J20))-(EDATE($J20,((YEAR(Lists!D$21)-YEAR($J20))*12+MONTH(Lists!D$21)-MONTH($J20)))&gt;Lists!D$21)+1)))-MIN(MAX(0,$H20),N($K20)*IF(Lists!D$22&lt;$J20,0,(((YEAR(Lists!D$22)-YEAR($J20))*12+MONTH(Lists!D$22)-MONTH($J20))-(EDATE($J20,((YEAR(Lists!D$22)-YEAR($J20))*12+MONTH(Lists!D$22)-MONTH($J20)))&gt;Lists!D$22)+1)))),N($C20)*IF($AE20-$AD20&lt;1,($AD20&gt;Lists!D$22)*($AD20&lt;=Lists!D$21),MAX(0,MIN(Lists!D$21,$AE20)-MAX(Lists!D$22,$AD20))/($AE20-$AD20))+N($D20)*IF($AG20-$AF20&lt;1,($AF20&gt;Lists!D$22)*($AF20&lt;=Lists!D$21),MAX(0,MIN(Lists!D$21,$AG20)-MAX(Lists!D$22,$AF20))/($AG20-$AF20))+N($E20)*IF($AI20-$AH20&lt;1,($AH20&gt;Lists!D$22)*($AH20&lt;=Lists!D$21),MAX(0,MIN(Lists!D$21,$AI20)-MAX(Lists!D$22,$AH20))/($AI20-$AH20))+N($F20)*IF($AK20-$AJ20&lt;1,($AJ20&gt;Lists!D$22)*($AJ20&lt;=Lists!D$21),MAX(0,MIN(Lists!D$21,$AK20)-MAX(Lists!D$22,$AJ20))/($AK20-$AJ20))+N($G20)*IF($AM20-$AL20&lt;1,($AL20&gt;Lists!D$22)*($AL20&lt;=Lists!D$21),MAX(0,MIN(Lists!D$21,$AM20)-MAX(Lists!D$22,$AL20))/($AM20-$AL20))))))))</f>
        <v>0</v>
      </c>
      <c r="O20" s="53" t="n">
        <f aca="false">IF($H20=0,0,IF($AP20="X",0,IF($AP20="S",$H20/$AO20*(MIN($AO20,MAX(0,INT((Lists!E$21-N($J20))/7)+1))-MIN($AO20,MAX(0,INT((Lists!E$22-N($J20))/7)+1))),IF($AP20="D",$H20*MAX(0,MIN(Lists!E$21,N($J20)+$AO20)-MAX(Lists!E$22,N($J20)))/$AO20,IF($AP20="M",$H20/$AO20*(IF(Lists!E$21&lt;$J20,0,MIN($AO20,(((YEAR(Lists!E$21)-YEAR($J20))*12+MONTH(Lists!E$21)-MONTH($J20))-(EDATE($J20,((YEAR(Lists!E$21)-YEAR($J20))*12+MONTH(Lists!E$21)-MONTH($J20)))&gt;Lists!E$21)+1)))-IF(Lists!E$22&lt;$J20,0,MIN($AO20,(((YEAR(Lists!E$22)-YEAR($J20))*12+MONTH(Lists!E$22)-MONTH($J20))-(EDATE($J20,((YEAR(Lists!E$22)-YEAR($J20))*12+MONTH(Lists!E$22)-MONTH($J20)))&gt;Lists!E$22)+1)))),IF($AP20="F",IF(N($K20)&lt;=0,0,MIN(MAX(0,$H20),N($K20)*IF(Lists!E$21&lt;$J20,0,(((YEAR(Lists!E$21)-YEAR($J20))*12+MONTH(Lists!E$21)-MONTH($J20))-(EDATE($J20,((YEAR(Lists!E$21)-YEAR($J20))*12+MONTH(Lists!E$21)-MONTH($J20)))&gt;Lists!E$21)+1)))-MIN(MAX(0,$H20),N($K20)*IF(Lists!E$22&lt;$J20,0,(((YEAR(Lists!E$22)-YEAR($J20))*12+MONTH(Lists!E$22)-MONTH($J20))-(EDATE($J20,((YEAR(Lists!E$22)-YEAR($J20))*12+MONTH(Lists!E$22)-MONTH($J20)))&gt;Lists!E$22)+1)))),N($C20)*IF($AE20-$AD20&lt;1,($AD20&gt;Lists!E$22)*($AD20&lt;=Lists!E$21),MAX(0,MIN(Lists!E$21,$AE20)-MAX(Lists!E$22,$AD20))/($AE20-$AD20))+N($D20)*IF($AG20-$AF20&lt;1,($AF20&gt;Lists!E$22)*($AF20&lt;=Lists!E$21),MAX(0,MIN(Lists!E$21,$AG20)-MAX(Lists!E$22,$AF20))/($AG20-$AF20))+N($E20)*IF($AI20-$AH20&lt;1,($AH20&gt;Lists!E$22)*($AH20&lt;=Lists!E$21),MAX(0,MIN(Lists!E$21,$AI20)-MAX(Lists!E$22,$AH20))/($AI20-$AH20))+N($F20)*IF($AK20-$AJ20&lt;1,($AJ20&gt;Lists!E$22)*($AJ20&lt;=Lists!E$21),MAX(0,MIN(Lists!E$21,$AK20)-MAX(Lists!E$22,$AJ20))/($AK20-$AJ20))+N($G20)*IF($AM20-$AL20&lt;1,($AL20&gt;Lists!E$22)*($AL20&lt;=Lists!E$21),MAX(0,MIN(Lists!E$21,$AM20)-MAX(Lists!E$22,$AL20))/($AM20-$AL20))))))))</f>
        <v>0</v>
      </c>
      <c r="P20" s="53" t="n">
        <f aca="false">IF($H20=0,0,IF($AP20="X",0,IF($AP20="S",$H20/$AO20*(MIN($AO20,MAX(0,INT((Lists!F$21-N($J20))/7)+1))-MIN($AO20,MAX(0,INT((Lists!F$22-N($J20))/7)+1))),IF($AP20="D",$H20*MAX(0,MIN(Lists!F$21,N($J20)+$AO20)-MAX(Lists!F$22,N($J20)))/$AO20,IF($AP20="M",$H20/$AO20*(IF(Lists!F$21&lt;$J20,0,MIN($AO20,(((YEAR(Lists!F$21)-YEAR($J20))*12+MONTH(Lists!F$21)-MONTH($J20))-(EDATE($J20,((YEAR(Lists!F$21)-YEAR($J20))*12+MONTH(Lists!F$21)-MONTH($J20)))&gt;Lists!F$21)+1)))-IF(Lists!F$22&lt;$J20,0,MIN($AO20,(((YEAR(Lists!F$22)-YEAR($J20))*12+MONTH(Lists!F$22)-MONTH($J20))-(EDATE($J20,((YEAR(Lists!F$22)-YEAR($J20))*12+MONTH(Lists!F$22)-MONTH($J20)))&gt;Lists!F$22)+1)))),IF($AP20="F",IF(N($K20)&lt;=0,0,MIN(MAX(0,$H20),N($K20)*IF(Lists!F$21&lt;$J20,0,(((YEAR(Lists!F$21)-YEAR($J20))*12+MONTH(Lists!F$21)-MONTH($J20))-(EDATE($J20,((YEAR(Lists!F$21)-YEAR($J20))*12+MONTH(Lists!F$21)-MONTH($J20)))&gt;Lists!F$21)+1)))-MIN(MAX(0,$H20),N($K20)*IF(Lists!F$22&lt;$J20,0,(((YEAR(Lists!F$22)-YEAR($J20))*12+MONTH(Lists!F$22)-MONTH($J20))-(EDATE($J20,((YEAR(Lists!F$22)-YEAR($J20))*12+MONTH(Lists!F$22)-MONTH($J20)))&gt;Lists!F$22)+1)))),N($C20)*IF($AE20-$AD20&lt;1,($AD20&gt;Lists!F$22)*($AD20&lt;=Lists!F$21),MAX(0,MIN(Lists!F$21,$AE20)-MAX(Lists!F$22,$AD20))/($AE20-$AD20))+N($D20)*IF($AG20-$AF20&lt;1,($AF20&gt;Lists!F$22)*($AF20&lt;=Lists!F$21),MAX(0,MIN(Lists!F$21,$AG20)-MAX(Lists!F$22,$AF20))/($AG20-$AF20))+N($E20)*IF($AI20-$AH20&lt;1,($AH20&gt;Lists!F$22)*($AH20&lt;=Lists!F$21),MAX(0,MIN(Lists!F$21,$AI20)-MAX(Lists!F$22,$AH20))/($AI20-$AH20))+N($F20)*IF($AK20-$AJ20&lt;1,($AJ20&gt;Lists!F$22)*($AJ20&lt;=Lists!F$21),MAX(0,MIN(Lists!F$21,$AK20)-MAX(Lists!F$22,$AJ20))/($AK20-$AJ20))+N($G20)*IF($AM20-$AL20&lt;1,($AL20&gt;Lists!F$22)*($AL20&lt;=Lists!F$21),MAX(0,MIN(Lists!F$21,$AM20)-MAX(Lists!F$22,$AL20))/($AM20-$AL20))))))))</f>
        <v>0</v>
      </c>
      <c r="Q20" s="53" t="n">
        <f aca="false">IF($H20=0,0,IF($AP20="X",0,IF($AP20="S",$H20/$AO20*(MIN($AO20,MAX(0,INT((Lists!G$21-N($J20))/7)+1))-MIN($AO20,MAX(0,INT((Lists!G$22-N($J20))/7)+1))),IF($AP20="D",$H20*MAX(0,MIN(Lists!G$21,N($J20)+$AO20)-MAX(Lists!G$22,N($J20)))/$AO20,IF($AP20="M",$H20/$AO20*(IF(Lists!G$21&lt;$J20,0,MIN($AO20,(((YEAR(Lists!G$21)-YEAR($J20))*12+MONTH(Lists!G$21)-MONTH($J20))-(EDATE($J20,((YEAR(Lists!G$21)-YEAR($J20))*12+MONTH(Lists!G$21)-MONTH($J20)))&gt;Lists!G$21)+1)))-IF(Lists!G$22&lt;$J20,0,MIN($AO20,(((YEAR(Lists!G$22)-YEAR($J20))*12+MONTH(Lists!G$22)-MONTH($J20))-(EDATE($J20,((YEAR(Lists!G$22)-YEAR($J20))*12+MONTH(Lists!G$22)-MONTH($J20)))&gt;Lists!G$22)+1)))),IF($AP20="F",IF(N($K20)&lt;=0,0,MIN(MAX(0,$H20),N($K20)*IF(Lists!G$21&lt;$J20,0,(((YEAR(Lists!G$21)-YEAR($J20))*12+MONTH(Lists!G$21)-MONTH($J20))-(EDATE($J20,((YEAR(Lists!G$21)-YEAR($J20))*12+MONTH(Lists!G$21)-MONTH($J20)))&gt;Lists!G$21)+1)))-MIN(MAX(0,$H20),N($K20)*IF(Lists!G$22&lt;$J20,0,(((YEAR(Lists!G$22)-YEAR($J20))*12+MONTH(Lists!G$22)-MONTH($J20))-(EDATE($J20,((YEAR(Lists!G$22)-YEAR($J20))*12+MONTH(Lists!G$22)-MONTH($J20)))&gt;Lists!G$22)+1)))),N($C20)*IF($AE20-$AD20&lt;1,($AD20&gt;Lists!G$22)*($AD20&lt;=Lists!G$21),MAX(0,MIN(Lists!G$21,$AE20)-MAX(Lists!G$22,$AD20))/($AE20-$AD20))+N($D20)*IF($AG20-$AF20&lt;1,($AF20&gt;Lists!G$22)*($AF20&lt;=Lists!G$21),MAX(0,MIN(Lists!G$21,$AG20)-MAX(Lists!G$22,$AF20))/($AG20-$AF20))+N($E20)*IF($AI20-$AH20&lt;1,($AH20&gt;Lists!G$22)*($AH20&lt;=Lists!G$21),MAX(0,MIN(Lists!G$21,$AI20)-MAX(Lists!G$22,$AH20))/($AI20-$AH20))+N($F20)*IF($AK20-$AJ20&lt;1,($AJ20&gt;Lists!G$22)*($AJ20&lt;=Lists!G$21),MAX(0,MIN(Lists!G$21,$AK20)-MAX(Lists!G$22,$AJ20))/($AK20-$AJ20))+N($G20)*IF($AM20-$AL20&lt;1,($AL20&gt;Lists!G$22)*($AL20&lt;=Lists!G$21),MAX(0,MIN(Lists!G$21,$AM20)-MAX(Lists!G$22,$AL20))/($AM20-$AL20))))))))</f>
        <v>0</v>
      </c>
      <c r="R20" s="53" t="n">
        <f aca="false">IF($H20=0,0,IF($AP20="X",0,IF($AP20="S",$H20/$AO20*(MIN($AO20,MAX(0,INT((Lists!H$21-N($J20))/7)+1))-MIN($AO20,MAX(0,INT((Lists!H$22-N($J20))/7)+1))),IF($AP20="D",$H20*MAX(0,MIN(Lists!H$21,N($J20)+$AO20)-MAX(Lists!H$22,N($J20)))/$AO20,IF($AP20="M",$H20/$AO20*(IF(Lists!H$21&lt;$J20,0,MIN($AO20,(((YEAR(Lists!H$21)-YEAR($J20))*12+MONTH(Lists!H$21)-MONTH($J20))-(EDATE($J20,((YEAR(Lists!H$21)-YEAR($J20))*12+MONTH(Lists!H$21)-MONTH($J20)))&gt;Lists!H$21)+1)))-IF(Lists!H$22&lt;$J20,0,MIN($AO20,(((YEAR(Lists!H$22)-YEAR($J20))*12+MONTH(Lists!H$22)-MONTH($J20))-(EDATE($J20,((YEAR(Lists!H$22)-YEAR($J20))*12+MONTH(Lists!H$22)-MONTH($J20)))&gt;Lists!H$22)+1)))),IF($AP20="F",IF(N($K20)&lt;=0,0,MIN(MAX(0,$H20),N($K20)*IF(Lists!H$21&lt;$J20,0,(((YEAR(Lists!H$21)-YEAR($J20))*12+MONTH(Lists!H$21)-MONTH($J20))-(EDATE($J20,((YEAR(Lists!H$21)-YEAR($J20))*12+MONTH(Lists!H$21)-MONTH($J20)))&gt;Lists!H$21)+1)))-MIN(MAX(0,$H20),N($K20)*IF(Lists!H$22&lt;$J20,0,(((YEAR(Lists!H$22)-YEAR($J20))*12+MONTH(Lists!H$22)-MONTH($J20))-(EDATE($J20,((YEAR(Lists!H$22)-YEAR($J20))*12+MONTH(Lists!H$22)-MONTH($J20)))&gt;Lists!H$22)+1)))),N($C20)*IF($AE20-$AD20&lt;1,($AD20&gt;Lists!H$22)*($AD20&lt;=Lists!H$21),MAX(0,MIN(Lists!H$21,$AE20)-MAX(Lists!H$22,$AD20))/($AE20-$AD20))+N($D20)*IF($AG20-$AF20&lt;1,($AF20&gt;Lists!H$22)*($AF20&lt;=Lists!H$21),MAX(0,MIN(Lists!H$21,$AG20)-MAX(Lists!H$22,$AF20))/($AG20-$AF20))+N($E20)*IF($AI20-$AH20&lt;1,($AH20&gt;Lists!H$22)*($AH20&lt;=Lists!H$21),MAX(0,MIN(Lists!H$21,$AI20)-MAX(Lists!H$22,$AH20))/($AI20-$AH20))+N($F20)*IF($AK20-$AJ20&lt;1,($AJ20&gt;Lists!H$22)*($AJ20&lt;=Lists!H$21),MAX(0,MIN(Lists!H$21,$AK20)-MAX(Lists!H$22,$AJ20))/($AK20-$AJ20))+N($G20)*IF($AM20-$AL20&lt;1,($AL20&gt;Lists!H$22)*($AL20&lt;=Lists!H$21),MAX(0,MIN(Lists!H$21,$AM20)-MAX(Lists!H$22,$AL20))/($AM20-$AL20))))))))</f>
        <v>0</v>
      </c>
      <c r="S20" s="53" t="n">
        <f aca="false">IF($H20=0,0,IF($AP20="X",0,IF($AP20="S",$H20/$AO20*(MIN($AO20,MAX(0,INT((Lists!I$21-N($J20))/7)+1))-MIN($AO20,MAX(0,INT((Lists!I$22-N($J20))/7)+1))),IF($AP20="D",$H20*MAX(0,MIN(Lists!I$21,N($J20)+$AO20)-MAX(Lists!I$22,N($J20)))/$AO20,IF($AP20="M",$H20/$AO20*(IF(Lists!I$21&lt;$J20,0,MIN($AO20,(((YEAR(Lists!I$21)-YEAR($J20))*12+MONTH(Lists!I$21)-MONTH($J20))-(EDATE($J20,((YEAR(Lists!I$21)-YEAR($J20))*12+MONTH(Lists!I$21)-MONTH($J20)))&gt;Lists!I$21)+1)))-IF(Lists!I$22&lt;$J20,0,MIN($AO20,(((YEAR(Lists!I$22)-YEAR($J20))*12+MONTH(Lists!I$22)-MONTH($J20))-(EDATE($J20,((YEAR(Lists!I$22)-YEAR($J20))*12+MONTH(Lists!I$22)-MONTH($J20)))&gt;Lists!I$22)+1)))),IF($AP20="F",IF(N($K20)&lt;=0,0,MIN(MAX(0,$H20),N($K20)*IF(Lists!I$21&lt;$J20,0,(((YEAR(Lists!I$21)-YEAR($J20))*12+MONTH(Lists!I$21)-MONTH($J20))-(EDATE($J20,((YEAR(Lists!I$21)-YEAR($J20))*12+MONTH(Lists!I$21)-MONTH($J20)))&gt;Lists!I$21)+1)))-MIN(MAX(0,$H20),N($K20)*IF(Lists!I$22&lt;$J20,0,(((YEAR(Lists!I$22)-YEAR($J20))*12+MONTH(Lists!I$22)-MONTH($J20))-(EDATE($J20,((YEAR(Lists!I$22)-YEAR($J20))*12+MONTH(Lists!I$22)-MONTH($J20)))&gt;Lists!I$22)+1)))),N($C20)*IF($AE20-$AD20&lt;1,($AD20&gt;Lists!I$22)*($AD20&lt;=Lists!I$21),MAX(0,MIN(Lists!I$21,$AE20)-MAX(Lists!I$22,$AD20))/($AE20-$AD20))+N($D20)*IF($AG20-$AF20&lt;1,($AF20&gt;Lists!I$22)*($AF20&lt;=Lists!I$21),MAX(0,MIN(Lists!I$21,$AG20)-MAX(Lists!I$22,$AF20))/($AG20-$AF20))+N($E20)*IF($AI20-$AH20&lt;1,($AH20&gt;Lists!I$22)*($AH20&lt;=Lists!I$21),MAX(0,MIN(Lists!I$21,$AI20)-MAX(Lists!I$22,$AH20))/($AI20-$AH20))+N($F20)*IF($AK20-$AJ20&lt;1,($AJ20&gt;Lists!I$22)*($AJ20&lt;=Lists!I$21),MAX(0,MIN(Lists!I$21,$AK20)-MAX(Lists!I$22,$AJ20))/($AK20-$AJ20))+N($G20)*IF($AM20-$AL20&lt;1,($AL20&gt;Lists!I$22)*($AL20&lt;=Lists!I$21),MAX(0,MIN(Lists!I$21,$AM20)-MAX(Lists!I$22,$AL20))/($AM20-$AL20))))))))</f>
        <v>0</v>
      </c>
      <c r="T20" s="53" t="n">
        <f aca="false">IF($H20=0,0,IF($AP20="X",0,IF($AP20="S",$H20/$AO20*(MIN($AO20,MAX(0,INT((Lists!J$21-N($J20))/7)+1))-MIN($AO20,MAX(0,INT((Lists!J$22-N($J20))/7)+1))),IF($AP20="D",$H20*MAX(0,MIN(Lists!J$21,N($J20)+$AO20)-MAX(Lists!J$22,N($J20)))/$AO20,IF($AP20="M",$H20/$AO20*(IF(Lists!J$21&lt;$J20,0,MIN($AO20,(((YEAR(Lists!J$21)-YEAR($J20))*12+MONTH(Lists!J$21)-MONTH($J20))-(EDATE($J20,((YEAR(Lists!J$21)-YEAR($J20))*12+MONTH(Lists!J$21)-MONTH($J20)))&gt;Lists!J$21)+1)))-IF(Lists!J$22&lt;$J20,0,MIN($AO20,(((YEAR(Lists!J$22)-YEAR($J20))*12+MONTH(Lists!J$22)-MONTH($J20))-(EDATE($J20,((YEAR(Lists!J$22)-YEAR($J20))*12+MONTH(Lists!J$22)-MONTH($J20)))&gt;Lists!J$22)+1)))),IF($AP20="F",IF(N($K20)&lt;=0,0,MIN(MAX(0,$H20),N($K20)*IF(Lists!J$21&lt;$J20,0,(((YEAR(Lists!J$21)-YEAR($J20))*12+MONTH(Lists!J$21)-MONTH($J20))-(EDATE($J20,((YEAR(Lists!J$21)-YEAR($J20))*12+MONTH(Lists!J$21)-MONTH($J20)))&gt;Lists!J$21)+1)))-MIN(MAX(0,$H20),N($K20)*IF(Lists!J$22&lt;$J20,0,(((YEAR(Lists!J$22)-YEAR($J20))*12+MONTH(Lists!J$22)-MONTH($J20))-(EDATE($J20,((YEAR(Lists!J$22)-YEAR($J20))*12+MONTH(Lists!J$22)-MONTH($J20)))&gt;Lists!J$22)+1)))),N($C20)*IF($AE20-$AD20&lt;1,($AD20&gt;Lists!J$22)*($AD20&lt;=Lists!J$21),MAX(0,MIN(Lists!J$21,$AE20)-MAX(Lists!J$22,$AD20))/($AE20-$AD20))+N($D20)*IF($AG20-$AF20&lt;1,($AF20&gt;Lists!J$22)*($AF20&lt;=Lists!J$21),MAX(0,MIN(Lists!J$21,$AG20)-MAX(Lists!J$22,$AF20))/($AG20-$AF20))+N($E20)*IF($AI20-$AH20&lt;1,($AH20&gt;Lists!J$22)*($AH20&lt;=Lists!J$21),MAX(0,MIN(Lists!J$21,$AI20)-MAX(Lists!J$22,$AH20))/($AI20-$AH20))+N($F20)*IF($AK20-$AJ20&lt;1,($AJ20&gt;Lists!J$22)*($AJ20&lt;=Lists!J$21),MAX(0,MIN(Lists!J$21,$AK20)-MAX(Lists!J$22,$AJ20))/($AK20-$AJ20))+N($G20)*IF($AM20-$AL20&lt;1,($AL20&gt;Lists!J$22)*($AL20&lt;=Lists!J$21),MAX(0,MIN(Lists!J$21,$AM20)-MAX(Lists!J$22,$AL20))/($AM20-$AL20))))))))</f>
        <v>0</v>
      </c>
      <c r="U20" s="53" t="n">
        <f aca="false">IF($H20=0,0,IF($AP20="X",0,IF($AP20="S",$H20/$AO20*(MIN($AO20,MAX(0,INT((Lists!K$21-N($J20))/7)+1))-MIN($AO20,MAX(0,INT((Lists!K$22-N($J20))/7)+1))),IF($AP20="D",$H20*MAX(0,MIN(Lists!K$21,N($J20)+$AO20)-MAX(Lists!K$22,N($J20)))/$AO20,IF($AP20="M",$H20/$AO20*(IF(Lists!K$21&lt;$J20,0,MIN($AO20,(((YEAR(Lists!K$21)-YEAR($J20))*12+MONTH(Lists!K$21)-MONTH($J20))-(EDATE($J20,((YEAR(Lists!K$21)-YEAR($J20))*12+MONTH(Lists!K$21)-MONTH($J20)))&gt;Lists!K$21)+1)))-IF(Lists!K$22&lt;$J20,0,MIN($AO20,(((YEAR(Lists!K$22)-YEAR($J20))*12+MONTH(Lists!K$22)-MONTH($J20))-(EDATE($J20,((YEAR(Lists!K$22)-YEAR($J20))*12+MONTH(Lists!K$22)-MONTH($J20)))&gt;Lists!K$22)+1)))),IF($AP20="F",IF(N($K20)&lt;=0,0,MIN(MAX(0,$H20),N($K20)*IF(Lists!K$21&lt;$J20,0,(((YEAR(Lists!K$21)-YEAR($J20))*12+MONTH(Lists!K$21)-MONTH($J20))-(EDATE($J20,((YEAR(Lists!K$21)-YEAR($J20))*12+MONTH(Lists!K$21)-MONTH($J20)))&gt;Lists!K$21)+1)))-MIN(MAX(0,$H20),N($K20)*IF(Lists!K$22&lt;$J20,0,(((YEAR(Lists!K$22)-YEAR($J20))*12+MONTH(Lists!K$22)-MONTH($J20))-(EDATE($J20,((YEAR(Lists!K$22)-YEAR($J20))*12+MONTH(Lists!K$22)-MONTH($J20)))&gt;Lists!K$22)+1)))),N($C20)*IF($AE20-$AD20&lt;1,($AD20&gt;Lists!K$22)*($AD20&lt;=Lists!K$21),MAX(0,MIN(Lists!K$21,$AE20)-MAX(Lists!K$22,$AD20))/($AE20-$AD20))+N($D20)*IF($AG20-$AF20&lt;1,($AF20&gt;Lists!K$22)*($AF20&lt;=Lists!K$21),MAX(0,MIN(Lists!K$21,$AG20)-MAX(Lists!K$22,$AF20))/($AG20-$AF20))+N($E20)*IF($AI20-$AH20&lt;1,($AH20&gt;Lists!K$22)*($AH20&lt;=Lists!K$21),MAX(0,MIN(Lists!K$21,$AI20)-MAX(Lists!K$22,$AH20))/($AI20-$AH20))+N($F20)*IF($AK20-$AJ20&lt;1,($AJ20&gt;Lists!K$22)*($AJ20&lt;=Lists!K$21),MAX(0,MIN(Lists!K$21,$AK20)-MAX(Lists!K$22,$AJ20))/($AK20-$AJ20))+N($G20)*IF($AM20-$AL20&lt;1,($AL20&gt;Lists!K$22)*($AL20&lt;=Lists!K$21),MAX(0,MIN(Lists!K$21,$AM20)-MAX(Lists!K$22,$AL20))/($AM20-$AL20))))))))</f>
        <v>0</v>
      </c>
      <c r="V20" s="53" t="n">
        <f aca="false">IF($H20=0,0,IF($AP20="X",0,IF($AP20="S",$H20/$AO20*(MIN($AO20,MAX(0,INT((Lists!L$21-N($J20))/7)+1))-MIN($AO20,MAX(0,INT((Lists!L$22-N($J20))/7)+1))),IF($AP20="D",$H20*MAX(0,MIN(Lists!L$21,N($J20)+$AO20)-MAX(Lists!L$22,N($J20)))/$AO20,IF($AP20="M",$H20/$AO20*(IF(Lists!L$21&lt;$J20,0,MIN($AO20,(((YEAR(Lists!L$21)-YEAR($J20))*12+MONTH(Lists!L$21)-MONTH($J20))-(EDATE($J20,((YEAR(Lists!L$21)-YEAR($J20))*12+MONTH(Lists!L$21)-MONTH($J20)))&gt;Lists!L$21)+1)))-IF(Lists!L$22&lt;$J20,0,MIN($AO20,(((YEAR(Lists!L$22)-YEAR($J20))*12+MONTH(Lists!L$22)-MONTH($J20))-(EDATE($J20,((YEAR(Lists!L$22)-YEAR($J20))*12+MONTH(Lists!L$22)-MONTH($J20)))&gt;Lists!L$22)+1)))),IF($AP20="F",IF(N($K20)&lt;=0,0,MIN(MAX(0,$H20),N($K20)*IF(Lists!L$21&lt;$J20,0,(((YEAR(Lists!L$21)-YEAR($J20))*12+MONTH(Lists!L$21)-MONTH($J20))-(EDATE($J20,((YEAR(Lists!L$21)-YEAR($J20))*12+MONTH(Lists!L$21)-MONTH($J20)))&gt;Lists!L$21)+1)))-MIN(MAX(0,$H20),N($K20)*IF(Lists!L$22&lt;$J20,0,(((YEAR(Lists!L$22)-YEAR($J20))*12+MONTH(Lists!L$22)-MONTH($J20))-(EDATE($J20,((YEAR(Lists!L$22)-YEAR($J20))*12+MONTH(Lists!L$22)-MONTH($J20)))&gt;Lists!L$22)+1)))),N($C20)*IF($AE20-$AD20&lt;1,($AD20&gt;Lists!L$22)*($AD20&lt;=Lists!L$21),MAX(0,MIN(Lists!L$21,$AE20)-MAX(Lists!L$22,$AD20))/($AE20-$AD20))+N($D20)*IF($AG20-$AF20&lt;1,($AF20&gt;Lists!L$22)*($AF20&lt;=Lists!L$21),MAX(0,MIN(Lists!L$21,$AG20)-MAX(Lists!L$22,$AF20))/($AG20-$AF20))+N($E20)*IF($AI20-$AH20&lt;1,($AH20&gt;Lists!L$22)*($AH20&lt;=Lists!L$21),MAX(0,MIN(Lists!L$21,$AI20)-MAX(Lists!L$22,$AH20))/($AI20-$AH20))+N($F20)*IF($AK20-$AJ20&lt;1,($AJ20&gt;Lists!L$22)*($AJ20&lt;=Lists!L$21),MAX(0,MIN(Lists!L$21,$AK20)-MAX(Lists!L$22,$AJ20))/($AK20-$AJ20))+N($G20)*IF($AM20-$AL20&lt;1,($AL20&gt;Lists!L$22)*($AL20&lt;=Lists!L$21),MAX(0,MIN(Lists!L$21,$AM20)-MAX(Lists!L$22,$AL20))/($AM20-$AL20))))))))</f>
        <v>0</v>
      </c>
      <c r="W20" s="53" t="n">
        <f aca="false">IF($H20=0,0,IF($AP20="X",0,IF($AP20="S",$H20/$AO20*(MIN($AO20,MAX(0,INT((Lists!M$21-N($J20))/7)+1))-MIN($AO20,MAX(0,INT((Lists!M$22-N($J20))/7)+1))),IF($AP20="D",$H20*MAX(0,MIN(Lists!M$21,N($J20)+$AO20)-MAX(Lists!M$22,N($J20)))/$AO20,IF($AP20="M",$H20/$AO20*(IF(Lists!M$21&lt;$J20,0,MIN($AO20,(((YEAR(Lists!M$21)-YEAR($J20))*12+MONTH(Lists!M$21)-MONTH($J20))-(EDATE($J20,((YEAR(Lists!M$21)-YEAR($J20))*12+MONTH(Lists!M$21)-MONTH($J20)))&gt;Lists!M$21)+1)))-IF(Lists!M$22&lt;$J20,0,MIN($AO20,(((YEAR(Lists!M$22)-YEAR($J20))*12+MONTH(Lists!M$22)-MONTH($J20))-(EDATE($J20,((YEAR(Lists!M$22)-YEAR($J20))*12+MONTH(Lists!M$22)-MONTH($J20)))&gt;Lists!M$22)+1)))),IF($AP20="F",IF(N($K20)&lt;=0,0,MIN(MAX(0,$H20),N($K20)*IF(Lists!M$21&lt;$J20,0,(((YEAR(Lists!M$21)-YEAR($J20))*12+MONTH(Lists!M$21)-MONTH($J20))-(EDATE($J20,((YEAR(Lists!M$21)-YEAR($J20))*12+MONTH(Lists!M$21)-MONTH($J20)))&gt;Lists!M$21)+1)))-MIN(MAX(0,$H20),N($K20)*IF(Lists!M$22&lt;$J20,0,(((YEAR(Lists!M$22)-YEAR($J20))*12+MONTH(Lists!M$22)-MONTH($J20))-(EDATE($J20,((YEAR(Lists!M$22)-YEAR($J20))*12+MONTH(Lists!M$22)-MONTH($J20)))&gt;Lists!M$22)+1)))),N($C20)*IF($AE20-$AD20&lt;1,($AD20&gt;Lists!M$22)*($AD20&lt;=Lists!M$21),MAX(0,MIN(Lists!M$21,$AE20)-MAX(Lists!M$22,$AD20))/($AE20-$AD20))+N($D20)*IF($AG20-$AF20&lt;1,($AF20&gt;Lists!M$22)*($AF20&lt;=Lists!M$21),MAX(0,MIN(Lists!M$21,$AG20)-MAX(Lists!M$22,$AF20))/($AG20-$AF20))+N($E20)*IF($AI20-$AH20&lt;1,($AH20&gt;Lists!M$22)*($AH20&lt;=Lists!M$21),MAX(0,MIN(Lists!M$21,$AI20)-MAX(Lists!M$22,$AH20))/($AI20-$AH20))+N($F20)*IF($AK20-$AJ20&lt;1,($AJ20&gt;Lists!M$22)*($AJ20&lt;=Lists!M$21),MAX(0,MIN(Lists!M$21,$AK20)-MAX(Lists!M$22,$AJ20))/($AK20-$AJ20))+N($G20)*IF($AM20-$AL20&lt;1,($AL20&gt;Lists!M$22)*($AL20&lt;=Lists!M$21),MAX(0,MIN(Lists!M$21,$AM20)-MAX(Lists!M$22,$AL20))/($AM20-$AL20))))))))</f>
        <v>0</v>
      </c>
      <c r="X20" s="53" t="n">
        <f aca="false">IF($H20=0,0,IF($AP20="X",0,IF($AP20="S",$H20/$AO20*(MIN($AO20,MAX(0,INT((Lists!N$21-N($J20))/7)+1))-MIN($AO20,MAX(0,INT((Lists!N$22-N($J20))/7)+1))),IF($AP20="D",$H20*MAX(0,MIN(Lists!N$21,N($J20)+$AO20)-MAX(Lists!N$22,N($J20)))/$AO20,IF($AP20="M",$H20/$AO20*(IF(Lists!N$21&lt;$J20,0,MIN($AO20,(((YEAR(Lists!N$21)-YEAR($J20))*12+MONTH(Lists!N$21)-MONTH($J20))-(EDATE($J20,((YEAR(Lists!N$21)-YEAR($J20))*12+MONTH(Lists!N$21)-MONTH($J20)))&gt;Lists!N$21)+1)))-IF(Lists!N$22&lt;$J20,0,MIN($AO20,(((YEAR(Lists!N$22)-YEAR($J20))*12+MONTH(Lists!N$22)-MONTH($J20))-(EDATE($J20,((YEAR(Lists!N$22)-YEAR($J20))*12+MONTH(Lists!N$22)-MONTH($J20)))&gt;Lists!N$22)+1)))),IF($AP20="F",IF(N($K20)&lt;=0,0,MIN(MAX(0,$H20),N($K20)*IF(Lists!N$21&lt;$J20,0,(((YEAR(Lists!N$21)-YEAR($J20))*12+MONTH(Lists!N$21)-MONTH($J20))-(EDATE($J20,((YEAR(Lists!N$21)-YEAR($J20))*12+MONTH(Lists!N$21)-MONTH($J20)))&gt;Lists!N$21)+1)))-MIN(MAX(0,$H20),N($K20)*IF(Lists!N$22&lt;$J20,0,(((YEAR(Lists!N$22)-YEAR($J20))*12+MONTH(Lists!N$22)-MONTH($J20))-(EDATE($J20,((YEAR(Lists!N$22)-YEAR($J20))*12+MONTH(Lists!N$22)-MONTH($J20)))&gt;Lists!N$22)+1)))),N($C20)*IF($AE20-$AD20&lt;1,($AD20&gt;Lists!N$22)*($AD20&lt;=Lists!N$21),MAX(0,MIN(Lists!N$21,$AE20)-MAX(Lists!N$22,$AD20))/($AE20-$AD20))+N($D20)*IF($AG20-$AF20&lt;1,($AF20&gt;Lists!N$22)*($AF20&lt;=Lists!N$21),MAX(0,MIN(Lists!N$21,$AG20)-MAX(Lists!N$22,$AF20))/($AG20-$AF20))+N($E20)*IF($AI20-$AH20&lt;1,($AH20&gt;Lists!N$22)*($AH20&lt;=Lists!N$21),MAX(0,MIN(Lists!N$21,$AI20)-MAX(Lists!N$22,$AH20))/($AI20-$AH20))+N($F20)*IF($AK20-$AJ20&lt;1,($AJ20&gt;Lists!N$22)*($AJ20&lt;=Lists!N$21),MAX(0,MIN(Lists!N$21,$AK20)-MAX(Lists!N$22,$AJ20))/($AK20-$AJ20))+N($G20)*IF($AM20-$AL20&lt;1,($AL20&gt;Lists!N$22)*($AL20&lt;=Lists!N$21),MAX(0,MIN(Lists!N$21,$AM20)-MAX(Lists!N$22,$AL20))/($AM20-$AL20))))))))</f>
        <v>0</v>
      </c>
      <c r="Y20" s="53" t="n">
        <f aca="false">IF($H20=0,0,IF($AP20="X",0,IF($AP20="S",$H20/$AO20*(MIN($AO20,MAX(0,INT((Lists!O$21-N($J20))/7)+1))-MIN($AO20,MAX(0,INT((Lists!O$22-N($J20))/7)+1))),IF($AP20="D",$H20*MAX(0,MIN(Lists!O$21,N($J20)+$AO20)-MAX(Lists!O$22,N($J20)))/$AO20,IF($AP20="M",$H20/$AO20*(IF(Lists!O$21&lt;$J20,0,MIN($AO20,(((YEAR(Lists!O$21)-YEAR($J20))*12+MONTH(Lists!O$21)-MONTH($J20))-(EDATE($J20,((YEAR(Lists!O$21)-YEAR($J20))*12+MONTH(Lists!O$21)-MONTH($J20)))&gt;Lists!O$21)+1)))-IF(Lists!O$22&lt;$J20,0,MIN($AO20,(((YEAR(Lists!O$22)-YEAR($J20))*12+MONTH(Lists!O$22)-MONTH($J20))-(EDATE($J20,((YEAR(Lists!O$22)-YEAR($J20))*12+MONTH(Lists!O$22)-MONTH($J20)))&gt;Lists!O$22)+1)))),IF($AP20="F",IF(N($K20)&lt;=0,0,MIN(MAX(0,$H20),N($K20)*IF(Lists!O$21&lt;$J20,0,(((YEAR(Lists!O$21)-YEAR($J20))*12+MONTH(Lists!O$21)-MONTH($J20))-(EDATE($J20,((YEAR(Lists!O$21)-YEAR($J20))*12+MONTH(Lists!O$21)-MONTH($J20)))&gt;Lists!O$21)+1)))-MIN(MAX(0,$H20),N($K20)*IF(Lists!O$22&lt;$J20,0,(((YEAR(Lists!O$22)-YEAR($J20))*12+MONTH(Lists!O$22)-MONTH($J20))-(EDATE($J20,((YEAR(Lists!O$22)-YEAR($J20))*12+MONTH(Lists!O$22)-MONTH($J20)))&gt;Lists!O$22)+1)))),N($C20)*IF($AE20-$AD20&lt;1,($AD20&gt;Lists!O$22)*($AD20&lt;=Lists!O$21),MAX(0,MIN(Lists!O$21,$AE20)-MAX(Lists!O$22,$AD20))/($AE20-$AD20))+N($D20)*IF($AG20-$AF20&lt;1,($AF20&gt;Lists!O$22)*($AF20&lt;=Lists!O$21),MAX(0,MIN(Lists!O$21,$AG20)-MAX(Lists!O$22,$AF20))/($AG20-$AF20))+N($E20)*IF($AI20-$AH20&lt;1,($AH20&gt;Lists!O$22)*($AH20&lt;=Lists!O$21),MAX(0,MIN(Lists!O$21,$AI20)-MAX(Lists!O$22,$AH20))/($AI20-$AH20))+N($F20)*IF($AK20-$AJ20&lt;1,($AJ20&gt;Lists!O$22)*($AJ20&lt;=Lists!O$21),MAX(0,MIN(Lists!O$21,$AK20)-MAX(Lists!O$22,$AJ20))/($AK20-$AJ20))+N($G20)*IF($AM20-$AL20&lt;1,($AL20&gt;Lists!O$22)*($AL20&lt;=Lists!O$21),MAX(0,MIN(Lists!O$21,$AM20)-MAX(Lists!O$22,$AL20))/($AM20-$AL20))))))))</f>
        <v>0</v>
      </c>
      <c r="Z20" s="46" t="n">
        <f aca="false">SUM(M20:Y20)</f>
        <v>0</v>
      </c>
      <c r="AA20" s="92" t="n">
        <f aca="false">H20-Z20</f>
        <v>0</v>
      </c>
      <c r="AB20" s="55"/>
      <c r="AC20" s="2"/>
      <c r="AD20" s="93" t="n">
        <f aca="false">Setup!$D$10+MAX(0,$AN20-30)</f>
        <v>46365</v>
      </c>
      <c r="AE20" s="93" t="n">
        <f aca="false">Setup!$D$10+IF($AN20-30&lt;0,MAX(Setup!$D$22,$AN20-0),$AN20-0)</f>
        <v>46395</v>
      </c>
      <c r="AF20" s="93" t="n">
        <f aca="false">Setup!$D$10+MAX(0,$AN20-60)</f>
        <v>46335</v>
      </c>
      <c r="AG20" s="93" t="n">
        <f aca="false">Setup!$D$10+IF($AN20-60&lt;0,MAX(Setup!$D$22,$AN20-31),$AN20-31)</f>
        <v>46364</v>
      </c>
      <c r="AH20" s="93" t="n">
        <f aca="false">Setup!$D$10+MAX(0,$AN20-90)</f>
        <v>46335</v>
      </c>
      <c r="AI20" s="93" t="n">
        <f aca="false">Setup!$D$10+IF($AN20-90&lt;0,MAX(Setup!$D$22,$AN20-61),$AN20-61)</f>
        <v>46363</v>
      </c>
      <c r="AJ20" s="93" t="n">
        <f aca="false">Setup!$D$10+MAX(0,$AN20-120)</f>
        <v>46335</v>
      </c>
      <c r="AK20" s="93" t="n">
        <f aca="false">Setup!$D$10+IF($AN20-120&lt;0,MAX(Setup!$D$22,$AN20-91),$AN20-91)</f>
        <v>46363</v>
      </c>
      <c r="AL20" s="93" t="n">
        <f aca="false">IF(Setup!$D$23="Yes",2958465,Setup!$D$10)</f>
        <v>2958465</v>
      </c>
      <c r="AM20" s="93" t="n">
        <f aca="false">IF(AL20=2958465,AL20,Setup!$D$10+Setup!$D$22)</f>
        <v>2958465</v>
      </c>
      <c r="AN20" s="94" t="n">
        <f aca="false">IF(N(L20)=0,Setup!$D$20,L20)</f>
        <v>60</v>
      </c>
      <c r="AO20" s="94" t="n">
        <f aca="false">MAX(1,ROUND(N(K20),0))</f>
        <v>1</v>
      </c>
      <c r="AP20" s="95" t="str">
        <f aca="false">IF(I20="Doubtful","X",IF(N(J20)=0,"A",IF(I20="Specific date","S",IF(I20="Spread over days","D",IF(I20="Monthly on set day","M",IF(I20="Monthly fixed amount","F","A"))))))</f>
        <v>A</v>
      </c>
    </row>
    <row r="21" customFormat="false" ht="15" hidden="false" customHeight="false" outlineLevel="0" collapsed="false">
      <c r="A21" s="87" t="n">
        <v>13</v>
      </c>
      <c r="B21" s="55"/>
      <c r="C21" s="88"/>
      <c r="D21" s="88"/>
      <c r="E21" s="88"/>
      <c r="F21" s="88"/>
      <c r="G21" s="88"/>
      <c r="H21" s="89" t="n">
        <f aca="false">SUM(C21:G21)</f>
        <v>0</v>
      </c>
      <c r="I21" s="58"/>
      <c r="J21" s="90"/>
      <c r="K21" s="91"/>
      <c r="L21" s="80"/>
      <c r="M21" s="53" t="n">
        <f aca="false">IF($H21=0,0,IF($AP21="X",0,IF($AP21="S",$H21/$AO21*(MIN($AO21,MAX(0,INT((Lists!C$21-N($J21))/7)+1))-MIN($AO21,MAX(0,INT((Lists!C$22-N($J21))/7)+1))),IF($AP21="D",$H21*MAX(0,MIN(Lists!C$21,N($J21)+$AO21)-MAX(Lists!C$22,N($J21)))/$AO21,IF($AP21="M",$H21/$AO21*(IF(Lists!C$21&lt;$J21,0,MIN($AO21,(((YEAR(Lists!C$21)-YEAR($J21))*12+MONTH(Lists!C$21)-MONTH($J21))-(EDATE($J21,((YEAR(Lists!C$21)-YEAR($J21))*12+MONTH(Lists!C$21)-MONTH($J21)))&gt;Lists!C$21)+1)))-IF(Lists!C$22&lt;$J21,0,MIN($AO21,(((YEAR(Lists!C$22)-YEAR($J21))*12+MONTH(Lists!C$22)-MONTH($J21))-(EDATE($J21,((YEAR(Lists!C$22)-YEAR($J21))*12+MONTH(Lists!C$22)-MONTH($J21)))&gt;Lists!C$22)+1)))),IF($AP21="F",IF(N($K21)&lt;=0,0,MIN(MAX(0,$H21),N($K21)*IF(Lists!C$21&lt;$J21,0,(((YEAR(Lists!C$21)-YEAR($J21))*12+MONTH(Lists!C$21)-MONTH($J21))-(EDATE($J21,((YEAR(Lists!C$21)-YEAR($J21))*12+MONTH(Lists!C$21)-MONTH($J21)))&gt;Lists!C$21)+1)))-MIN(MAX(0,$H21),N($K21)*IF(Lists!C$22&lt;$J21,0,(((YEAR(Lists!C$22)-YEAR($J21))*12+MONTH(Lists!C$22)-MONTH($J21))-(EDATE($J21,((YEAR(Lists!C$22)-YEAR($J21))*12+MONTH(Lists!C$22)-MONTH($J21)))&gt;Lists!C$22)+1)))),N($C21)*IF($AE21-$AD21&lt;1,($AD21&gt;Lists!C$22)*($AD21&lt;=Lists!C$21),MAX(0,MIN(Lists!C$21,$AE21)-MAX(Lists!C$22,$AD21))/($AE21-$AD21))+N($D21)*IF($AG21-$AF21&lt;1,($AF21&gt;Lists!C$22)*($AF21&lt;=Lists!C$21),MAX(0,MIN(Lists!C$21,$AG21)-MAX(Lists!C$22,$AF21))/($AG21-$AF21))+N($E21)*IF($AI21-$AH21&lt;1,($AH21&gt;Lists!C$22)*($AH21&lt;=Lists!C$21),MAX(0,MIN(Lists!C$21,$AI21)-MAX(Lists!C$22,$AH21))/($AI21-$AH21))+N($F21)*IF($AK21-$AJ21&lt;1,($AJ21&gt;Lists!C$22)*($AJ21&lt;=Lists!C$21),MAX(0,MIN(Lists!C$21,$AK21)-MAX(Lists!C$22,$AJ21))/($AK21-$AJ21))+N($G21)*IF($AM21-$AL21&lt;1,($AL21&gt;Lists!C$22)*($AL21&lt;=Lists!C$21),MAX(0,MIN(Lists!C$21,$AM21)-MAX(Lists!C$22,$AL21))/($AM21-$AL21))))))))</f>
        <v>0</v>
      </c>
      <c r="N21" s="53" t="n">
        <f aca="false">IF($H21=0,0,IF($AP21="X",0,IF($AP21="S",$H21/$AO21*(MIN($AO21,MAX(0,INT((Lists!D$21-N($J21))/7)+1))-MIN($AO21,MAX(0,INT((Lists!D$22-N($J21))/7)+1))),IF($AP21="D",$H21*MAX(0,MIN(Lists!D$21,N($J21)+$AO21)-MAX(Lists!D$22,N($J21)))/$AO21,IF($AP21="M",$H21/$AO21*(IF(Lists!D$21&lt;$J21,0,MIN($AO21,(((YEAR(Lists!D$21)-YEAR($J21))*12+MONTH(Lists!D$21)-MONTH($J21))-(EDATE($J21,((YEAR(Lists!D$21)-YEAR($J21))*12+MONTH(Lists!D$21)-MONTH($J21)))&gt;Lists!D$21)+1)))-IF(Lists!D$22&lt;$J21,0,MIN($AO21,(((YEAR(Lists!D$22)-YEAR($J21))*12+MONTH(Lists!D$22)-MONTH($J21))-(EDATE($J21,((YEAR(Lists!D$22)-YEAR($J21))*12+MONTH(Lists!D$22)-MONTH($J21)))&gt;Lists!D$22)+1)))),IF($AP21="F",IF(N($K21)&lt;=0,0,MIN(MAX(0,$H21),N($K21)*IF(Lists!D$21&lt;$J21,0,(((YEAR(Lists!D$21)-YEAR($J21))*12+MONTH(Lists!D$21)-MONTH($J21))-(EDATE($J21,((YEAR(Lists!D$21)-YEAR($J21))*12+MONTH(Lists!D$21)-MONTH($J21)))&gt;Lists!D$21)+1)))-MIN(MAX(0,$H21),N($K21)*IF(Lists!D$22&lt;$J21,0,(((YEAR(Lists!D$22)-YEAR($J21))*12+MONTH(Lists!D$22)-MONTH($J21))-(EDATE($J21,((YEAR(Lists!D$22)-YEAR($J21))*12+MONTH(Lists!D$22)-MONTH($J21)))&gt;Lists!D$22)+1)))),N($C21)*IF($AE21-$AD21&lt;1,($AD21&gt;Lists!D$22)*($AD21&lt;=Lists!D$21),MAX(0,MIN(Lists!D$21,$AE21)-MAX(Lists!D$22,$AD21))/($AE21-$AD21))+N($D21)*IF($AG21-$AF21&lt;1,($AF21&gt;Lists!D$22)*($AF21&lt;=Lists!D$21),MAX(0,MIN(Lists!D$21,$AG21)-MAX(Lists!D$22,$AF21))/($AG21-$AF21))+N($E21)*IF($AI21-$AH21&lt;1,($AH21&gt;Lists!D$22)*($AH21&lt;=Lists!D$21),MAX(0,MIN(Lists!D$21,$AI21)-MAX(Lists!D$22,$AH21))/($AI21-$AH21))+N($F21)*IF($AK21-$AJ21&lt;1,($AJ21&gt;Lists!D$22)*($AJ21&lt;=Lists!D$21),MAX(0,MIN(Lists!D$21,$AK21)-MAX(Lists!D$22,$AJ21))/($AK21-$AJ21))+N($G21)*IF($AM21-$AL21&lt;1,($AL21&gt;Lists!D$22)*($AL21&lt;=Lists!D$21),MAX(0,MIN(Lists!D$21,$AM21)-MAX(Lists!D$22,$AL21))/($AM21-$AL21))))))))</f>
        <v>0</v>
      </c>
      <c r="O21" s="53" t="n">
        <f aca="false">IF($H21=0,0,IF($AP21="X",0,IF($AP21="S",$H21/$AO21*(MIN($AO21,MAX(0,INT((Lists!E$21-N($J21))/7)+1))-MIN($AO21,MAX(0,INT((Lists!E$22-N($J21))/7)+1))),IF($AP21="D",$H21*MAX(0,MIN(Lists!E$21,N($J21)+$AO21)-MAX(Lists!E$22,N($J21)))/$AO21,IF($AP21="M",$H21/$AO21*(IF(Lists!E$21&lt;$J21,0,MIN($AO21,(((YEAR(Lists!E$21)-YEAR($J21))*12+MONTH(Lists!E$21)-MONTH($J21))-(EDATE($J21,((YEAR(Lists!E$21)-YEAR($J21))*12+MONTH(Lists!E$21)-MONTH($J21)))&gt;Lists!E$21)+1)))-IF(Lists!E$22&lt;$J21,0,MIN($AO21,(((YEAR(Lists!E$22)-YEAR($J21))*12+MONTH(Lists!E$22)-MONTH($J21))-(EDATE($J21,((YEAR(Lists!E$22)-YEAR($J21))*12+MONTH(Lists!E$22)-MONTH($J21)))&gt;Lists!E$22)+1)))),IF($AP21="F",IF(N($K21)&lt;=0,0,MIN(MAX(0,$H21),N($K21)*IF(Lists!E$21&lt;$J21,0,(((YEAR(Lists!E$21)-YEAR($J21))*12+MONTH(Lists!E$21)-MONTH($J21))-(EDATE($J21,((YEAR(Lists!E$21)-YEAR($J21))*12+MONTH(Lists!E$21)-MONTH($J21)))&gt;Lists!E$21)+1)))-MIN(MAX(0,$H21),N($K21)*IF(Lists!E$22&lt;$J21,0,(((YEAR(Lists!E$22)-YEAR($J21))*12+MONTH(Lists!E$22)-MONTH($J21))-(EDATE($J21,((YEAR(Lists!E$22)-YEAR($J21))*12+MONTH(Lists!E$22)-MONTH($J21)))&gt;Lists!E$22)+1)))),N($C21)*IF($AE21-$AD21&lt;1,($AD21&gt;Lists!E$22)*($AD21&lt;=Lists!E$21),MAX(0,MIN(Lists!E$21,$AE21)-MAX(Lists!E$22,$AD21))/($AE21-$AD21))+N($D21)*IF($AG21-$AF21&lt;1,($AF21&gt;Lists!E$22)*($AF21&lt;=Lists!E$21),MAX(0,MIN(Lists!E$21,$AG21)-MAX(Lists!E$22,$AF21))/($AG21-$AF21))+N($E21)*IF($AI21-$AH21&lt;1,($AH21&gt;Lists!E$22)*($AH21&lt;=Lists!E$21),MAX(0,MIN(Lists!E$21,$AI21)-MAX(Lists!E$22,$AH21))/($AI21-$AH21))+N($F21)*IF($AK21-$AJ21&lt;1,($AJ21&gt;Lists!E$22)*($AJ21&lt;=Lists!E$21),MAX(0,MIN(Lists!E$21,$AK21)-MAX(Lists!E$22,$AJ21))/($AK21-$AJ21))+N($G21)*IF($AM21-$AL21&lt;1,($AL21&gt;Lists!E$22)*($AL21&lt;=Lists!E$21),MAX(0,MIN(Lists!E$21,$AM21)-MAX(Lists!E$22,$AL21))/($AM21-$AL21))))))))</f>
        <v>0</v>
      </c>
      <c r="P21" s="53" t="n">
        <f aca="false">IF($H21=0,0,IF($AP21="X",0,IF($AP21="S",$H21/$AO21*(MIN($AO21,MAX(0,INT((Lists!F$21-N($J21))/7)+1))-MIN($AO21,MAX(0,INT((Lists!F$22-N($J21))/7)+1))),IF($AP21="D",$H21*MAX(0,MIN(Lists!F$21,N($J21)+$AO21)-MAX(Lists!F$22,N($J21)))/$AO21,IF($AP21="M",$H21/$AO21*(IF(Lists!F$21&lt;$J21,0,MIN($AO21,(((YEAR(Lists!F$21)-YEAR($J21))*12+MONTH(Lists!F$21)-MONTH($J21))-(EDATE($J21,((YEAR(Lists!F$21)-YEAR($J21))*12+MONTH(Lists!F$21)-MONTH($J21)))&gt;Lists!F$21)+1)))-IF(Lists!F$22&lt;$J21,0,MIN($AO21,(((YEAR(Lists!F$22)-YEAR($J21))*12+MONTH(Lists!F$22)-MONTH($J21))-(EDATE($J21,((YEAR(Lists!F$22)-YEAR($J21))*12+MONTH(Lists!F$22)-MONTH($J21)))&gt;Lists!F$22)+1)))),IF($AP21="F",IF(N($K21)&lt;=0,0,MIN(MAX(0,$H21),N($K21)*IF(Lists!F$21&lt;$J21,0,(((YEAR(Lists!F$21)-YEAR($J21))*12+MONTH(Lists!F$21)-MONTH($J21))-(EDATE($J21,((YEAR(Lists!F$21)-YEAR($J21))*12+MONTH(Lists!F$21)-MONTH($J21)))&gt;Lists!F$21)+1)))-MIN(MAX(0,$H21),N($K21)*IF(Lists!F$22&lt;$J21,0,(((YEAR(Lists!F$22)-YEAR($J21))*12+MONTH(Lists!F$22)-MONTH($J21))-(EDATE($J21,((YEAR(Lists!F$22)-YEAR($J21))*12+MONTH(Lists!F$22)-MONTH($J21)))&gt;Lists!F$22)+1)))),N($C21)*IF($AE21-$AD21&lt;1,($AD21&gt;Lists!F$22)*($AD21&lt;=Lists!F$21),MAX(0,MIN(Lists!F$21,$AE21)-MAX(Lists!F$22,$AD21))/($AE21-$AD21))+N($D21)*IF($AG21-$AF21&lt;1,($AF21&gt;Lists!F$22)*($AF21&lt;=Lists!F$21),MAX(0,MIN(Lists!F$21,$AG21)-MAX(Lists!F$22,$AF21))/($AG21-$AF21))+N($E21)*IF($AI21-$AH21&lt;1,($AH21&gt;Lists!F$22)*($AH21&lt;=Lists!F$21),MAX(0,MIN(Lists!F$21,$AI21)-MAX(Lists!F$22,$AH21))/($AI21-$AH21))+N($F21)*IF($AK21-$AJ21&lt;1,($AJ21&gt;Lists!F$22)*($AJ21&lt;=Lists!F$21),MAX(0,MIN(Lists!F$21,$AK21)-MAX(Lists!F$22,$AJ21))/($AK21-$AJ21))+N($G21)*IF($AM21-$AL21&lt;1,($AL21&gt;Lists!F$22)*($AL21&lt;=Lists!F$21),MAX(0,MIN(Lists!F$21,$AM21)-MAX(Lists!F$22,$AL21))/($AM21-$AL21))))))))</f>
        <v>0</v>
      </c>
      <c r="Q21" s="53" t="n">
        <f aca="false">IF($H21=0,0,IF($AP21="X",0,IF($AP21="S",$H21/$AO21*(MIN($AO21,MAX(0,INT((Lists!G$21-N($J21))/7)+1))-MIN($AO21,MAX(0,INT((Lists!G$22-N($J21))/7)+1))),IF($AP21="D",$H21*MAX(0,MIN(Lists!G$21,N($J21)+$AO21)-MAX(Lists!G$22,N($J21)))/$AO21,IF($AP21="M",$H21/$AO21*(IF(Lists!G$21&lt;$J21,0,MIN($AO21,(((YEAR(Lists!G$21)-YEAR($J21))*12+MONTH(Lists!G$21)-MONTH($J21))-(EDATE($J21,((YEAR(Lists!G$21)-YEAR($J21))*12+MONTH(Lists!G$21)-MONTH($J21)))&gt;Lists!G$21)+1)))-IF(Lists!G$22&lt;$J21,0,MIN($AO21,(((YEAR(Lists!G$22)-YEAR($J21))*12+MONTH(Lists!G$22)-MONTH($J21))-(EDATE($J21,((YEAR(Lists!G$22)-YEAR($J21))*12+MONTH(Lists!G$22)-MONTH($J21)))&gt;Lists!G$22)+1)))),IF($AP21="F",IF(N($K21)&lt;=0,0,MIN(MAX(0,$H21),N($K21)*IF(Lists!G$21&lt;$J21,0,(((YEAR(Lists!G$21)-YEAR($J21))*12+MONTH(Lists!G$21)-MONTH($J21))-(EDATE($J21,((YEAR(Lists!G$21)-YEAR($J21))*12+MONTH(Lists!G$21)-MONTH($J21)))&gt;Lists!G$21)+1)))-MIN(MAX(0,$H21),N($K21)*IF(Lists!G$22&lt;$J21,0,(((YEAR(Lists!G$22)-YEAR($J21))*12+MONTH(Lists!G$22)-MONTH($J21))-(EDATE($J21,((YEAR(Lists!G$22)-YEAR($J21))*12+MONTH(Lists!G$22)-MONTH($J21)))&gt;Lists!G$22)+1)))),N($C21)*IF($AE21-$AD21&lt;1,($AD21&gt;Lists!G$22)*($AD21&lt;=Lists!G$21),MAX(0,MIN(Lists!G$21,$AE21)-MAX(Lists!G$22,$AD21))/($AE21-$AD21))+N($D21)*IF($AG21-$AF21&lt;1,($AF21&gt;Lists!G$22)*($AF21&lt;=Lists!G$21),MAX(0,MIN(Lists!G$21,$AG21)-MAX(Lists!G$22,$AF21))/($AG21-$AF21))+N($E21)*IF($AI21-$AH21&lt;1,($AH21&gt;Lists!G$22)*($AH21&lt;=Lists!G$21),MAX(0,MIN(Lists!G$21,$AI21)-MAX(Lists!G$22,$AH21))/($AI21-$AH21))+N($F21)*IF($AK21-$AJ21&lt;1,($AJ21&gt;Lists!G$22)*($AJ21&lt;=Lists!G$21),MAX(0,MIN(Lists!G$21,$AK21)-MAX(Lists!G$22,$AJ21))/($AK21-$AJ21))+N($G21)*IF($AM21-$AL21&lt;1,($AL21&gt;Lists!G$22)*($AL21&lt;=Lists!G$21),MAX(0,MIN(Lists!G$21,$AM21)-MAX(Lists!G$22,$AL21))/($AM21-$AL21))))))))</f>
        <v>0</v>
      </c>
      <c r="R21" s="53" t="n">
        <f aca="false">IF($H21=0,0,IF($AP21="X",0,IF($AP21="S",$H21/$AO21*(MIN($AO21,MAX(0,INT((Lists!H$21-N($J21))/7)+1))-MIN($AO21,MAX(0,INT((Lists!H$22-N($J21))/7)+1))),IF($AP21="D",$H21*MAX(0,MIN(Lists!H$21,N($J21)+$AO21)-MAX(Lists!H$22,N($J21)))/$AO21,IF($AP21="M",$H21/$AO21*(IF(Lists!H$21&lt;$J21,0,MIN($AO21,(((YEAR(Lists!H$21)-YEAR($J21))*12+MONTH(Lists!H$21)-MONTH($J21))-(EDATE($J21,((YEAR(Lists!H$21)-YEAR($J21))*12+MONTH(Lists!H$21)-MONTH($J21)))&gt;Lists!H$21)+1)))-IF(Lists!H$22&lt;$J21,0,MIN($AO21,(((YEAR(Lists!H$22)-YEAR($J21))*12+MONTH(Lists!H$22)-MONTH($J21))-(EDATE($J21,((YEAR(Lists!H$22)-YEAR($J21))*12+MONTH(Lists!H$22)-MONTH($J21)))&gt;Lists!H$22)+1)))),IF($AP21="F",IF(N($K21)&lt;=0,0,MIN(MAX(0,$H21),N($K21)*IF(Lists!H$21&lt;$J21,0,(((YEAR(Lists!H$21)-YEAR($J21))*12+MONTH(Lists!H$21)-MONTH($J21))-(EDATE($J21,((YEAR(Lists!H$21)-YEAR($J21))*12+MONTH(Lists!H$21)-MONTH($J21)))&gt;Lists!H$21)+1)))-MIN(MAX(0,$H21),N($K21)*IF(Lists!H$22&lt;$J21,0,(((YEAR(Lists!H$22)-YEAR($J21))*12+MONTH(Lists!H$22)-MONTH($J21))-(EDATE($J21,((YEAR(Lists!H$22)-YEAR($J21))*12+MONTH(Lists!H$22)-MONTH($J21)))&gt;Lists!H$22)+1)))),N($C21)*IF($AE21-$AD21&lt;1,($AD21&gt;Lists!H$22)*($AD21&lt;=Lists!H$21),MAX(0,MIN(Lists!H$21,$AE21)-MAX(Lists!H$22,$AD21))/($AE21-$AD21))+N($D21)*IF($AG21-$AF21&lt;1,($AF21&gt;Lists!H$22)*($AF21&lt;=Lists!H$21),MAX(0,MIN(Lists!H$21,$AG21)-MAX(Lists!H$22,$AF21))/($AG21-$AF21))+N($E21)*IF($AI21-$AH21&lt;1,($AH21&gt;Lists!H$22)*($AH21&lt;=Lists!H$21),MAX(0,MIN(Lists!H$21,$AI21)-MAX(Lists!H$22,$AH21))/($AI21-$AH21))+N($F21)*IF($AK21-$AJ21&lt;1,($AJ21&gt;Lists!H$22)*($AJ21&lt;=Lists!H$21),MAX(0,MIN(Lists!H$21,$AK21)-MAX(Lists!H$22,$AJ21))/($AK21-$AJ21))+N($G21)*IF($AM21-$AL21&lt;1,($AL21&gt;Lists!H$22)*($AL21&lt;=Lists!H$21),MAX(0,MIN(Lists!H$21,$AM21)-MAX(Lists!H$22,$AL21))/($AM21-$AL21))))))))</f>
        <v>0</v>
      </c>
      <c r="S21" s="53" t="n">
        <f aca="false">IF($H21=0,0,IF($AP21="X",0,IF($AP21="S",$H21/$AO21*(MIN($AO21,MAX(0,INT((Lists!I$21-N($J21))/7)+1))-MIN($AO21,MAX(0,INT((Lists!I$22-N($J21))/7)+1))),IF($AP21="D",$H21*MAX(0,MIN(Lists!I$21,N($J21)+$AO21)-MAX(Lists!I$22,N($J21)))/$AO21,IF($AP21="M",$H21/$AO21*(IF(Lists!I$21&lt;$J21,0,MIN($AO21,(((YEAR(Lists!I$21)-YEAR($J21))*12+MONTH(Lists!I$21)-MONTH($J21))-(EDATE($J21,((YEAR(Lists!I$21)-YEAR($J21))*12+MONTH(Lists!I$21)-MONTH($J21)))&gt;Lists!I$21)+1)))-IF(Lists!I$22&lt;$J21,0,MIN($AO21,(((YEAR(Lists!I$22)-YEAR($J21))*12+MONTH(Lists!I$22)-MONTH($J21))-(EDATE($J21,((YEAR(Lists!I$22)-YEAR($J21))*12+MONTH(Lists!I$22)-MONTH($J21)))&gt;Lists!I$22)+1)))),IF($AP21="F",IF(N($K21)&lt;=0,0,MIN(MAX(0,$H21),N($K21)*IF(Lists!I$21&lt;$J21,0,(((YEAR(Lists!I$21)-YEAR($J21))*12+MONTH(Lists!I$21)-MONTH($J21))-(EDATE($J21,((YEAR(Lists!I$21)-YEAR($J21))*12+MONTH(Lists!I$21)-MONTH($J21)))&gt;Lists!I$21)+1)))-MIN(MAX(0,$H21),N($K21)*IF(Lists!I$22&lt;$J21,0,(((YEAR(Lists!I$22)-YEAR($J21))*12+MONTH(Lists!I$22)-MONTH($J21))-(EDATE($J21,((YEAR(Lists!I$22)-YEAR($J21))*12+MONTH(Lists!I$22)-MONTH($J21)))&gt;Lists!I$22)+1)))),N($C21)*IF($AE21-$AD21&lt;1,($AD21&gt;Lists!I$22)*($AD21&lt;=Lists!I$21),MAX(0,MIN(Lists!I$21,$AE21)-MAX(Lists!I$22,$AD21))/($AE21-$AD21))+N($D21)*IF($AG21-$AF21&lt;1,($AF21&gt;Lists!I$22)*($AF21&lt;=Lists!I$21),MAX(0,MIN(Lists!I$21,$AG21)-MAX(Lists!I$22,$AF21))/($AG21-$AF21))+N($E21)*IF($AI21-$AH21&lt;1,($AH21&gt;Lists!I$22)*($AH21&lt;=Lists!I$21),MAX(0,MIN(Lists!I$21,$AI21)-MAX(Lists!I$22,$AH21))/($AI21-$AH21))+N($F21)*IF($AK21-$AJ21&lt;1,($AJ21&gt;Lists!I$22)*($AJ21&lt;=Lists!I$21),MAX(0,MIN(Lists!I$21,$AK21)-MAX(Lists!I$22,$AJ21))/($AK21-$AJ21))+N($G21)*IF($AM21-$AL21&lt;1,($AL21&gt;Lists!I$22)*($AL21&lt;=Lists!I$21),MAX(0,MIN(Lists!I$21,$AM21)-MAX(Lists!I$22,$AL21))/($AM21-$AL21))))))))</f>
        <v>0</v>
      </c>
      <c r="T21" s="53" t="n">
        <f aca="false">IF($H21=0,0,IF($AP21="X",0,IF($AP21="S",$H21/$AO21*(MIN($AO21,MAX(0,INT((Lists!J$21-N($J21))/7)+1))-MIN($AO21,MAX(0,INT((Lists!J$22-N($J21))/7)+1))),IF($AP21="D",$H21*MAX(0,MIN(Lists!J$21,N($J21)+$AO21)-MAX(Lists!J$22,N($J21)))/$AO21,IF($AP21="M",$H21/$AO21*(IF(Lists!J$21&lt;$J21,0,MIN($AO21,(((YEAR(Lists!J$21)-YEAR($J21))*12+MONTH(Lists!J$21)-MONTH($J21))-(EDATE($J21,((YEAR(Lists!J$21)-YEAR($J21))*12+MONTH(Lists!J$21)-MONTH($J21)))&gt;Lists!J$21)+1)))-IF(Lists!J$22&lt;$J21,0,MIN($AO21,(((YEAR(Lists!J$22)-YEAR($J21))*12+MONTH(Lists!J$22)-MONTH($J21))-(EDATE($J21,((YEAR(Lists!J$22)-YEAR($J21))*12+MONTH(Lists!J$22)-MONTH($J21)))&gt;Lists!J$22)+1)))),IF($AP21="F",IF(N($K21)&lt;=0,0,MIN(MAX(0,$H21),N($K21)*IF(Lists!J$21&lt;$J21,0,(((YEAR(Lists!J$21)-YEAR($J21))*12+MONTH(Lists!J$21)-MONTH($J21))-(EDATE($J21,((YEAR(Lists!J$21)-YEAR($J21))*12+MONTH(Lists!J$21)-MONTH($J21)))&gt;Lists!J$21)+1)))-MIN(MAX(0,$H21),N($K21)*IF(Lists!J$22&lt;$J21,0,(((YEAR(Lists!J$22)-YEAR($J21))*12+MONTH(Lists!J$22)-MONTH($J21))-(EDATE($J21,((YEAR(Lists!J$22)-YEAR($J21))*12+MONTH(Lists!J$22)-MONTH($J21)))&gt;Lists!J$22)+1)))),N($C21)*IF($AE21-$AD21&lt;1,($AD21&gt;Lists!J$22)*($AD21&lt;=Lists!J$21),MAX(0,MIN(Lists!J$21,$AE21)-MAX(Lists!J$22,$AD21))/($AE21-$AD21))+N($D21)*IF($AG21-$AF21&lt;1,($AF21&gt;Lists!J$22)*($AF21&lt;=Lists!J$21),MAX(0,MIN(Lists!J$21,$AG21)-MAX(Lists!J$22,$AF21))/($AG21-$AF21))+N($E21)*IF($AI21-$AH21&lt;1,($AH21&gt;Lists!J$22)*($AH21&lt;=Lists!J$21),MAX(0,MIN(Lists!J$21,$AI21)-MAX(Lists!J$22,$AH21))/($AI21-$AH21))+N($F21)*IF($AK21-$AJ21&lt;1,($AJ21&gt;Lists!J$22)*($AJ21&lt;=Lists!J$21),MAX(0,MIN(Lists!J$21,$AK21)-MAX(Lists!J$22,$AJ21))/($AK21-$AJ21))+N($G21)*IF($AM21-$AL21&lt;1,($AL21&gt;Lists!J$22)*($AL21&lt;=Lists!J$21),MAX(0,MIN(Lists!J$21,$AM21)-MAX(Lists!J$22,$AL21))/($AM21-$AL21))))))))</f>
        <v>0</v>
      </c>
      <c r="U21" s="53" t="n">
        <f aca="false">IF($H21=0,0,IF($AP21="X",0,IF($AP21="S",$H21/$AO21*(MIN($AO21,MAX(0,INT((Lists!K$21-N($J21))/7)+1))-MIN($AO21,MAX(0,INT((Lists!K$22-N($J21))/7)+1))),IF($AP21="D",$H21*MAX(0,MIN(Lists!K$21,N($J21)+$AO21)-MAX(Lists!K$22,N($J21)))/$AO21,IF($AP21="M",$H21/$AO21*(IF(Lists!K$21&lt;$J21,0,MIN($AO21,(((YEAR(Lists!K$21)-YEAR($J21))*12+MONTH(Lists!K$21)-MONTH($J21))-(EDATE($J21,((YEAR(Lists!K$21)-YEAR($J21))*12+MONTH(Lists!K$21)-MONTH($J21)))&gt;Lists!K$21)+1)))-IF(Lists!K$22&lt;$J21,0,MIN($AO21,(((YEAR(Lists!K$22)-YEAR($J21))*12+MONTH(Lists!K$22)-MONTH($J21))-(EDATE($J21,((YEAR(Lists!K$22)-YEAR($J21))*12+MONTH(Lists!K$22)-MONTH($J21)))&gt;Lists!K$22)+1)))),IF($AP21="F",IF(N($K21)&lt;=0,0,MIN(MAX(0,$H21),N($K21)*IF(Lists!K$21&lt;$J21,0,(((YEAR(Lists!K$21)-YEAR($J21))*12+MONTH(Lists!K$21)-MONTH($J21))-(EDATE($J21,((YEAR(Lists!K$21)-YEAR($J21))*12+MONTH(Lists!K$21)-MONTH($J21)))&gt;Lists!K$21)+1)))-MIN(MAX(0,$H21),N($K21)*IF(Lists!K$22&lt;$J21,0,(((YEAR(Lists!K$22)-YEAR($J21))*12+MONTH(Lists!K$22)-MONTH($J21))-(EDATE($J21,((YEAR(Lists!K$22)-YEAR($J21))*12+MONTH(Lists!K$22)-MONTH($J21)))&gt;Lists!K$22)+1)))),N($C21)*IF($AE21-$AD21&lt;1,($AD21&gt;Lists!K$22)*($AD21&lt;=Lists!K$21),MAX(0,MIN(Lists!K$21,$AE21)-MAX(Lists!K$22,$AD21))/($AE21-$AD21))+N($D21)*IF($AG21-$AF21&lt;1,($AF21&gt;Lists!K$22)*($AF21&lt;=Lists!K$21),MAX(0,MIN(Lists!K$21,$AG21)-MAX(Lists!K$22,$AF21))/($AG21-$AF21))+N($E21)*IF($AI21-$AH21&lt;1,($AH21&gt;Lists!K$22)*($AH21&lt;=Lists!K$21),MAX(0,MIN(Lists!K$21,$AI21)-MAX(Lists!K$22,$AH21))/($AI21-$AH21))+N($F21)*IF($AK21-$AJ21&lt;1,($AJ21&gt;Lists!K$22)*($AJ21&lt;=Lists!K$21),MAX(0,MIN(Lists!K$21,$AK21)-MAX(Lists!K$22,$AJ21))/($AK21-$AJ21))+N($G21)*IF($AM21-$AL21&lt;1,($AL21&gt;Lists!K$22)*($AL21&lt;=Lists!K$21),MAX(0,MIN(Lists!K$21,$AM21)-MAX(Lists!K$22,$AL21))/($AM21-$AL21))))))))</f>
        <v>0</v>
      </c>
      <c r="V21" s="53" t="n">
        <f aca="false">IF($H21=0,0,IF($AP21="X",0,IF($AP21="S",$H21/$AO21*(MIN($AO21,MAX(0,INT((Lists!L$21-N($J21))/7)+1))-MIN($AO21,MAX(0,INT((Lists!L$22-N($J21))/7)+1))),IF($AP21="D",$H21*MAX(0,MIN(Lists!L$21,N($J21)+$AO21)-MAX(Lists!L$22,N($J21)))/$AO21,IF($AP21="M",$H21/$AO21*(IF(Lists!L$21&lt;$J21,0,MIN($AO21,(((YEAR(Lists!L$21)-YEAR($J21))*12+MONTH(Lists!L$21)-MONTH($J21))-(EDATE($J21,((YEAR(Lists!L$21)-YEAR($J21))*12+MONTH(Lists!L$21)-MONTH($J21)))&gt;Lists!L$21)+1)))-IF(Lists!L$22&lt;$J21,0,MIN($AO21,(((YEAR(Lists!L$22)-YEAR($J21))*12+MONTH(Lists!L$22)-MONTH($J21))-(EDATE($J21,((YEAR(Lists!L$22)-YEAR($J21))*12+MONTH(Lists!L$22)-MONTH($J21)))&gt;Lists!L$22)+1)))),IF($AP21="F",IF(N($K21)&lt;=0,0,MIN(MAX(0,$H21),N($K21)*IF(Lists!L$21&lt;$J21,0,(((YEAR(Lists!L$21)-YEAR($J21))*12+MONTH(Lists!L$21)-MONTH($J21))-(EDATE($J21,((YEAR(Lists!L$21)-YEAR($J21))*12+MONTH(Lists!L$21)-MONTH($J21)))&gt;Lists!L$21)+1)))-MIN(MAX(0,$H21),N($K21)*IF(Lists!L$22&lt;$J21,0,(((YEAR(Lists!L$22)-YEAR($J21))*12+MONTH(Lists!L$22)-MONTH($J21))-(EDATE($J21,((YEAR(Lists!L$22)-YEAR($J21))*12+MONTH(Lists!L$22)-MONTH($J21)))&gt;Lists!L$22)+1)))),N($C21)*IF($AE21-$AD21&lt;1,($AD21&gt;Lists!L$22)*($AD21&lt;=Lists!L$21),MAX(0,MIN(Lists!L$21,$AE21)-MAX(Lists!L$22,$AD21))/($AE21-$AD21))+N($D21)*IF($AG21-$AF21&lt;1,($AF21&gt;Lists!L$22)*($AF21&lt;=Lists!L$21),MAX(0,MIN(Lists!L$21,$AG21)-MAX(Lists!L$22,$AF21))/($AG21-$AF21))+N($E21)*IF($AI21-$AH21&lt;1,($AH21&gt;Lists!L$22)*($AH21&lt;=Lists!L$21),MAX(0,MIN(Lists!L$21,$AI21)-MAX(Lists!L$22,$AH21))/($AI21-$AH21))+N($F21)*IF($AK21-$AJ21&lt;1,($AJ21&gt;Lists!L$22)*($AJ21&lt;=Lists!L$21),MAX(0,MIN(Lists!L$21,$AK21)-MAX(Lists!L$22,$AJ21))/($AK21-$AJ21))+N($G21)*IF($AM21-$AL21&lt;1,($AL21&gt;Lists!L$22)*($AL21&lt;=Lists!L$21),MAX(0,MIN(Lists!L$21,$AM21)-MAX(Lists!L$22,$AL21))/($AM21-$AL21))))))))</f>
        <v>0</v>
      </c>
      <c r="W21" s="53" t="n">
        <f aca="false">IF($H21=0,0,IF($AP21="X",0,IF($AP21="S",$H21/$AO21*(MIN($AO21,MAX(0,INT((Lists!M$21-N($J21))/7)+1))-MIN($AO21,MAX(0,INT((Lists!M$22-N($J21))/7)+1))),IF($AP21="D",$H21*MAX(0,MIN(Lists!M$21,N($J21)+$AO21)-MAX(Lists!M$22,N($J21)))/$AO21,IF($AP21="M",$H21/$AO21*(IF(Lists!M$21&lt;$J21,0,MIN($AO21,(((YEAR(Lists!M$21)-YEAR($J21))*12+MONTH(Lists!M$21)-MONTH($J21))-(EDATE($J21,((YEAR(Lists!M$21)-YEAR($J21))*12+MONTH(Lists!M$21)-MONTH($J21)))&gt;Lists!M$21)+1)))-IF(Lists!M$22&lt;$J21,0,MIN($AO21,(((YEAR(Lists!M$22)-YEAR($J21))*12+MONTH(Lists!M$22)-MONTH($J21))-(EDATE($J21,((YEAR(Lists!M$22)-YEAR($J21))*12+MONTH(Lists!M$22)-MONTH($J21)))&gt;Lists!M$22)+1)))),IF($AP21="F",IF(N($K21)&lt;=0,0,MIN(MAX(0,$H21),N($K21)*IF(Lists!M$21&lt;$J21,0,(((YEAR(Lists!M$21)-YEAR($J21))*12+MONTH(Lists!M$21)-MONTH($J21))-(EDATE($J21,((YEAR(Lists!M$21)-YEAR($J21))*12+MONTH(Lists!M$21)-MONTH($J21)))&gt;Lists!M$21)+1)))-MIN(MAX(0,$H21),N($K21)*IF(Lists!M$22&lt;$J21,0,(((YEAR(Lists!M$22)-YEAR($J21))*12+MONTH(Lists!M$22)-MONTH($J21))-(EDATE($J21,((YEAR(Lists!M$22)-YEAR($J21))*12+MONTH(Lists!M$22)-MONTH($J21)))&gt;Lists!M$22)+1)))),N($C21)*IF($AE21-$AD21&lt;1,($AD21&gt;Lists!M$22)*($AD21&lt;=Lists!M$21),MAX(0,MIN(Lists!M$21,$AE21)-MAX(Lists!M$22,$AD21))/($AE21-$AD21))+N($D21)*IF($AG21-$AF21&lt;1,($AF21&gt;Lists!M$22)*($AF21&lt;=Lists!M$21),MAX(0,MIN(Lists!M$21,$AG21)-MAX(Lists!M$22,$AF21))/($AG21-$AF21))+N($E21)*IF($AI21-$AH21&lt;1,($AH21&gt;Lists!M$22)*($AH21&lt;=Lists!M$21),MAX(0,MIN(Lists!M$21,$AI21)-MAX(Lists!M$22,$AH21))/($AI21-$AH21))+N($F21)*IF($AK21-$AJ21&lt;1,($AJ21&gt;Lists!M$22)*($AJ21&lt;=Lists!M$21),MAX(0,MIN(Lists!M$21,$AK21)-MAX(Lists!M$22,$AJ21))/($AK21-$AJ21))+N($G21)*IF($AM21-$AL21&lt;1,($AL21&gt;Lists!M$22)*($AL21&lt;=Lists!M$21),MAX(0,MIN(Lists!M$21,$AM21)-MAX(Lists!M$22,$AL21))/($AM21-$AL21))))))))</f>
        <v>0</v>
      </c>
      <c r="X21" s="53" t="n">
        <f aca="false">IF($H21=0,0,IF($AP21="X",0,IF($AP21="S",$H21/$AO21*(MIN($AO21,MAX(0,INT((Lists!N$21-N($J21))/7)+1))-MIN($AO21,MAX(0,INT((Lists!N$22-N($J21))/7)+1))),IF($AP21="D",$H21*MAX(0,MIN(Lists!N$21,N($J21)+$AO21)-MAX(Lists!N$22,N($J21)))/$AO21,IF($AP21="M",$H21/$AO21*(IF(Lists!N$21&lt;$J21,0,MIN($AO21,(((YEAR(Lists!N$21)-YEAR($J21))*12+MONTH(Lists!N$21)-MONTH($J21))-(EDATE($J21,((YEAR(Lists!N$21)-YEAR($J21))*12+MONTH(Lists!N$21)-MONTH($J21)))&gt;Lists!N$21)+1)))-IF(Lists!N$22&lt;$J21,0,MIN($AO21,(((YEAR(Lists!N$22)-YEAR($J21))*12+MONTH(Lists!N$22)-MONTH($J21))-(EDATE($J21,((YEAR(Lists!N$22)-YEAR($J21))*12+MONTH(Lists!N$22)-MONTH($J21)))&gt;Lists!N$22)+1)))),IF($AP21="F",IF(N($K21)&lt;=0,0,MIN(MAX(0,$H21),N($K21)*IF(Lists!N$21&lt;$J21,0,(((YEAR(Lists!N$21)-YEAR($J21))*12+MONTH(Lists!N$21)-MONTH($J21))-(EDATE($J21,((YEAR(Lists!N$21)-YEAR($J21))*12+MONTH(Lists!N$21)-MONTH($J21)))&gt;Lists!N$21)+1)))-MIN(MAX(0,$H21),N($K21)*IF(Lists!N$22&lt;$J21,0,(((YEAR(Lists!N$22)-YEAR($J21))*12+MONTH(Lists!N$22)-MONTH($J21))-(EDATE($J21,((YEAR(Lists!N$22)-YEAR($J21))*12+MONTH(Lists!N$22)-MONTH($J21)))&gt;Lists!N$22)+1)))),N($C21)*IF($AE21-$AD21&lt;1,($AD21&gt;Lists!N$22)*($AD21&lt;=Lists!N$21),MAX(0,MIN(Lists!N$21,$AE21)-MAX(Lists!N$22,$AD21))/($AE21-$AD21))+N($D21)*IF($AG21-$AF21&lt;1,($AF21&gt;Lists!N$22)*($AF21&lt;=Lists!N$21),MAX(0,MIN(Lists!N$21,$AG21)-MAX(Lists!N$22,$AF21))/($AG21-$AF21))+N($E21)*IF($AI21-$AH21&lt;1,($AH21&gt;Lists!N$22)*($AH21&lt;=Lists!N$21),MAX(0,MIN(Lists!N$21,$AI21)-MAX(Lists!N$22,$AH21))/($AI21-$AH21))+N($F21)*IF($AK21-$AJ21&lt;1,($AJ21&gt;Lists!N$22)*($AJ21&lt;=Lists!N$21),MAX(0,MIN(Lists!N$21,$AK21)-MAX(Lists!N$22,$AJ21))/($AK21-$AJ21))+N($G21)*IF($AM21-$AL21&lt;1,($AL21&gt;Lists!N$22)*($AL21&lt;=Lists!N$21),MAX(0,MIN(Lists!N$21,$AM21)-MAX(Lists!N$22,$AL21))/($AM21-$AL21))))))))</f>
        <v>0</v>
      </c>
      <c r="Y21" s="53" t="n">
        <f aca="false">IF($H21=0,0,IF($AP21="X",0,IF($AP21="S",$H21/$AO21*(MIN($AO21,MAX(0,INT((Lists!O$21-N($J21))/7)+1))-MIN($AO21,MAX(0,INT((Lists!O$22-N($J21))/7)+1))),IF($AP21="D",$H21*MAX(0,MIN(Lists!O$21,N($J21)+$AO21)-MAX(Lists!O$22,N($J21)))/$AO21,IF($AP21="M",$H21/$AO21*(IF(Lists!O$21&lt;$J21,0,MIN($AO21,(((YEAR(Lists!O$21)-YEAR($J21))*12+MONTH(Lists!O$21)-MONTH($J21))-(EDATE($J21,((YEAR(Lists!O$21)-YEAR($J21))*12+MONTH(Lists!O$21)-MONTH($J21)))&gt;Lists!O$21)+1)))-IF(Lists!O$22&lt;$J21,0,MIN($AO21,(((YEAR(Lists!O$22)-YEAR($J21))*12+MONTH(Lists!O$22)-MONTH($J21))-(EDATE($J21,((YEAR(Lists!O$22)-YEAR($J21))*12+MONTH(Lists!O$22)-MONTH($J21)))&gt;Lists!O$22)+1)))),IF($AP21="F",IF(N($K21)&lt;=0,0,MIN(MAX(0,$H21),N($K21)*IF(Lists!O$21&lt;$J21,0,(((YEAR(Lists!O$21)-YEAR($J21))*12+MONTH(Lists!O$21)-MONTH($J21))-(EDATE($J21,((YEAR(Lists!O$21)-YEAR($J21))*12+MONTH(Lists!O$21)-MONTH($J21)))&gt;Lists!O$21)+1)))-MIN(MAX(0,$H21),N($K21)*IF(Lists!O$22&lt;$J21,0,(((YEAR(Lists!O$22)-YEAR($J21))*12+MONTH(Lists!O$22)-MONTH($J21))-(EDATE($J21,((YEAR(Lists!O$22)-YEAR($J21))*12+MONTH(Lists!O$22)-MONTH($J21)))&gt;Lists!O$22)+1)))),N($C21)*IF($AE21-$AD21&lt;1,($AD21&gt;Lists!O$22)*($AD21&lt;=Lists!O$21),MAX(0,MIN(Lists!O$21,$AE21)-MAX(Lists!O$22,$AD21))/($AE21-$AD21))+N($D21)*IF($AG21-$AF21&lt;1,($AF21&gt;Lists!O$22)*($AF21&lt;=Lists!O$21),MAX(0,MIN(Lists!O$21,$AG21)-MAX(Lists!O$22,$AF21))/($AG21-$AF21))+N($E21)*IF($AI21-$AH21&lt;1,($AH21&gt;Lists!O$22)*($AH21&lt;=Lists!O$21),MAX(0,MIN(Lists!O$21,$AI21)-MAX(Lists!O$22,$AH21))/($AI21-$AH21))+N($F21)*IF($AK21-$AJ21&lt;1,($AJ21&gt;Lists!O$22)*($AJ21&lt;=Lists!O$21),MAX(0,MIN(Lists!O$21,$AK21)-MAX(Lists!O$22,$AJ21))/($AK21-$AJ21))+N($G21)*IF($AM21-$AL21&lt;1,($AL21&gt;Lists!O$22)*($AL21&lt;=Lists!O$21),MAX(0,MIN(Lists!O$21,$AM21)-MAX(Lists!O$22,$AL21))/($AM21-$AL21))))))))</f>
        <v>0</v>
      </c>
      <c r="Z21" s="46" t="n">
        <f aca="false">SUM(M21:Y21)</f>
        <v>0</v>
      </c>
      <c r="AA21" s="92" t="n">
        <f aca="false">H21-Z21</f>
        <v>0</v>
      </c>
      <c r="AB21" s="55"/>
      <c r="AC21" s="2"/>
      <c r="AD21" s="93" t="n">
        <f aca="false">Setup!$D$10+MAX(0,$AN21-30)</f>
        <v>46365</v>
      </c>
      <c r="AE21" s="93" t="n">
        <f aca="false">Setup!$D$10+IF($AN21-30&lt;0,MAX(Setup!$D$22,$AN21-0),$AN21-0)</f>
        <v>46395</v>
      </c>
      <c r="AF21" s="93" t="n">
        <f aca="false">Setup!$D$10+MAX(0,$AN21-60)</f>
        <v>46335</v>
      </c>
      <c r="AG21" s="93" t="n">
        <f aca="false">Setup!$D$10+IF($AN21-60&lt;0,MAX(Setup!$D$22,$AN21-31),$AN21-31)</f>
        <v>46364</v>
      </c>
      <c r="AH21" s="93" t="n">
        <f aca="false">Setup!$D$10+MAX(0,$AN21-90)</f>
        <v>46335</v>
      </c>
      <c r="AI21" s="93" t="n">
        <f aca="false">Setup!$D$10+IF($AN21-90&lt;0,MAX(Setup!$D$22,$AN21-61),$AN21-61)</f>
        <v>46363</v>
      </c>
      <c r="AJ21" s="93" t="n">
        <f aca="false">Setup!$D$10+MAX(0,$AN21-120)</f>
        <v>46335</v>
      </c>
      <c r="AK21" s="93" t="n">
        <f aca="false">Setup!$D$10+IF($AN21-120&lt;0,MAX(Setup!$D$22,$AN21-91),$AN21-91)</f>
        <v>46363</v>
      </c>
      <c r="AL21" s="93" t="n">
        <f aca="false">IF(Setup!$D$23="Yes",2958465,Setup!$D$10)</f>
        <v>2958465</v>
      </c>
      <c r="AM21" s="93" t="n">
        <f aca="false">IF(AL21=2958465,AL21,Setup!$D$10+Setup!$D$22)</f>
        <v>2958465</v>
      </c>
      <c r="AN21" s="94" t="n">
        <f aca="false">IF(N(L21)=0,Setup!$D$20,L21)</f>
        <v>60</v>
      </c>
      <c r="AO21" s="94" t="n">
        <f aca="false">MAX(1,ROUND(N(K21),0))</f>
        <v>1</v>
      </c>
      <c r="AP21" s="95" t="str">
        <f aca="false">IF(I21="Doubtful","X",IF(N(J21)=0,"A",IF(I21="Specific date","S",IF(I21="Spread over days","D",IF(I21="Monthly on set day","M",IF(I21="Monthly fixed amount","F","A"))))))</f>
        <v>A</v>
      </c>
    </row>
    <row r="22" customFormat="false" ht="15" hidden="false" customHeight="false" outlineLevel="0" collapsed="false">
      <c r="A22" s="87" t="n">
        <v>14</v>
      </c>
      <c r="B22" s="55"/>
      <c r="C22" s="88"/>
      <c r="D22" s="88"/>
      <c r="E22" s="88"/>
      <c r="F22" s="88"/>
      <c r="G22" s="88"/>
      <c r="H22" s="89" t="n">
        <f aca="false">SUM(C22:G22)</f>
        <v>0</v>
      </c>
      <c r="I22" s="58"/>
      <c r="J22" s="90"/>
      <c r="K22" s="91"/>
      <c r="L22" s="80"/>
      <c r="M22" s="53" t="n">
        <f aca="false">IF($H22=0,0,IF($AP22="X",0,IF($AP22="S",$H22/$AO22*(MIN($AO22,MAX(0,INT((Lists!C$21-N($J22))/7)+1))-MIN($AO22,MAX(0,INT((Lists!C$22-N($J22))/7)+1))),IF($AP22="D",$H22*MAX(0,MIN(Lists!C$21,N($J22)+$AO22)-MAX(Lists!C$22,N($J22)))/$AO22,IF($AP22="M",$H22/$AO22*(IF(Lists!C$21&lt;$J22,0,MIN($AO22,(((YEAR(Lists!C$21)-YEAR($J22))*12+MONTH(Lists!C$21)-MONTH($J22))-(EDATE($J22,((YEAR(Lists!C$21)-YEAR($J22))*12+MONTH(Lists!C$21)-MONTH($J22)))&gt;Lists!C$21)+1)))-IF(Lists!C$22&lt;$J22,0,MIN($AO22,(((YEAR(Lists!C$22)-YEAR($J22))*12+MONTH(Lists!C$22)-MONTH($J22))-(EDATE($J22,((YEAR(Lists!C$22)-YEAR($J22))*12+MONTH(Lists!C$22)-MONTH($J22)))&gt;Lists!C$22)+1)))),IF($AP22="F",IF(N($K22)&lt;=0,0,MIN(MAX(0,$H22),N($K22)*IF(Lists!C$21&lt;$J22,0,(((YEAR(Lists!C$21)-YEAR($J22))*12+MONTH(Lists!C$21)-MONTH($J22))-(EDATE($J22,((YEAR(Lists!C$21)-YEAR($J22))*12+MONTH(Lists!C$21)-MONTH($J22)))&gt;Lists!C$21)+1)))-MIN(MAX(0,$H22),N($K22)*IF(Lists!C$22&lt;$J22,0,(((YEAR(Lists!C$22)-YEAR($J22))*12+MONTH(Lists!C$22)-MONTH($J22))-(EDATE($J22,((YEAR(Lists!C$22)-YEAR($J22))*12+MONTH(Lists!C$22)-MONTH($J22)))&gt;Lists!C$22)+1)))),N($C22)*IF($AE22-$AD22&lt;1,($AD22&gt;Lists!C$22)*($AD22&lt;=Lists!C$21),MAX(0,MIN(Lists!C$21,$AE22)-MAX(Lists!C$22,$AD22))/($AE22-$AD22))+N($D22)*IF($AG22-$AF22&lt;1,($AF22&gt;Lists!C$22)*($AF22&lt;=Lists!C$21),MAX(0,MIN(Lists!C$21,$AG22)-MAX(Lists!C$22,$AF22))/($AG22-$AF22))+N($E22)*IF($AI22-$AH22&lt;1,($AH22&gt;Lists!C$22)*($AH22&lt;=Lists!C$21),MAX(0,MIN(Lists!C$21,$AI22)-MAX(Lists!C$22,$AH22))/($AI22-$AH22))+N($F22)*IF($AK22-$AJ22&lt;1,($AJ22&gt;Lists!C$22)*($AJ22&lt;=Lists!C$21),MAX(0,MIN(Lists!C$21,$AK22)-MAX(Lists!C$22,$AJ22))/($AK22-$AJ22))+N($G22)*IF($AM22-$AL22&lt;1,($AL22&gt;Lists!C$22)*($AL22&lt;=Lists!C$21),MAX(0,MIN(Lists!C$21,$AM22)-MAX(Lists!C$22,$AL22))/($AM22-$AL22))))))))</f>
        <v>0</v>
      </c>
      <c r="N22" s="53" t="n">
        <f aca="false">IF($H22=0,0,IF($AP22="X",0,IF($AP22="S",$H22/$AO22*(MIN($AO22,MAX(0,INT((Lists!D$21-N($J22))/7)+1))-MIN($AO22,MAX(0,INT((Lists!D$22-N($J22))/7)+1))),IF($AP22="D",$H22*MAX(0,MIN(Lists!D$21,N($J22)+$AO22)-MAX(Lists!D$22,N($J22)))/$AO22,IF($AP22="M",$H22/$AO22*(IF(Lists!D$21&lt;$J22,0,MIN($AO22,(((YEAR(Lists!D$21)-YEAR($J22))*12+MONTH(Lists!D$21)-MONTH($J22))-(EDATE($J22,((YEAR(Lists!D$21)-YEAR($J22))*12+MONTH(Lists!D$21)-MONTH($J22)))&gt;Lists!D$21)+1)))-IF(Lists!D$22&lt;$J22,0,MIN($AO22,(((YEAR(Lists!D$22)-YEAR($J22))*12+MONTH(Lists!D$22)-MONTH($J22))-(EDATE($J22,((YEAR(Lists!D$22)-YEAR($J22))*12+MONTH(Lists!D$22)-MONTH($J22)))&gt;Lists!D$22)+1)))),IF($AP22="F",IF(N($K22)&lt;=0,0,MIN(MAX(0,$H22),N($K22)*IF(Lists!D$21&lt;$J22,0,(((YEAR(Lists!D$21)-YEAR($J22))*12+MONTH(Lists!D$21)-MONTH($J22))-(EDATE($J22,((YEAR(Lists!D$21)-YEAR($J22))*12+MONTH(Lists!D$21)-MONTH($J22)))&gt;Lists!D$21)+1)))-MIN(MAX(0,$H22),N($K22)*IF(Lists!D$22&lt;$J22,0,(((YEAR(Lists!D$22)-YEAR($J22))*12+MONTH(Lists!D$22)-MONTH($J22))-(EDATE($J22,((YEAR(Lists!D$22)-YEAR($J22))*12+MONTH(Lists!D$22)-MONTH($J22)))&gt;Lists!D$22)+1)))),N($C22)*IF($AE22-$AD22&lt;1,($AD22&gt;Lists!D$22)*($AD22&lt;=Lists!D$21),MAX(0,MIN(Lists!D$21,$AE22)-MAX(Lists!D$22,$AD22))/($AE22-$AD22))+N($D22)*IF($AG22-$AF22&lt;1,($AF22&gt;Lists!D$22)*($AF22&lt;=Lists!D$21),MAX(0,MIN(Lists!D$21,$AG22)-MAX(Lists!D$22,$AF22))/($AG22-$AF22))+N($E22)*IF($AI22-$AH22&lt;1,($AH22&gt;Lists!D$22)*($AH22&lt;=Lists!D$21),MAX(0,MIN(Lists!D$21,$AI22)-MAX(Lists!D$22,$AH22))/($AI22-$AH22))+N($F22)*IF($AK22-$AJ22&lt;1,($AJ22&gt;Lists!D$22)*($AJ22&lt;=Lists!D$21),MAX(0,MIN(Lists!D$21,$AK22)-MAX(Lists!D$22,$AJ22))/($AK22-$AJ22))+N($G22)*IF($AM22-$AL22&lt;1,($AL22&gt;Lists!D$22)*($AL22&lt;=Lists!D$21),MAX(0,MIN(Lists!D$21,$AM22)-MAX(Lists!D$22,$AL22))/($AM22-$AL22))))))))</f>
        <v>0</v>
      </c>
      <c r="O22" s="53" t="n">
        <f aca="false">IF($H22=0,0,IF($AP22="X",0,IF($AP22="S",$H22/$AO22*(MIN($AO22,MAX(0,INT((Lists!E$21-N($J22))/7)+1))-MIN($AO22,MAX(0,INT((Lists!E$22-N($J22))/7)+1))),IF($AP22="D",$H22*MAX(0,MIN(Lists!E$21,N($J22)+$AO22)-MAX(Lists!E$22,N($J22)))/$AO22,IF($AP22="M",$H22/$AO22*(IF(Lists!E$21&lt;$J22,0,MIN($AO22,(((YEAR(Lists!E$21)-YEAR($J22))*12+MONTH(Lists!E$21)-MONTH($J22))-(EDATE($J22,((YEAR(Lists!E$21)-YEAR($J22))*12+MONTH(Lists!E$21)-MONTH($J22)))&gt;Lists!E$21)+1)))-IF(Lists!E$22&lt;$J22,0,MIN($AO22,(((YEAR(Lists!E$22)-YEAR($J22))*12+MONTH(Lists!E$22)-MONTH($J22))-(EDATE($J22,((YEAR(Lists!E$22)-YEAR($J22))*12+MONTH(Lists!E$22)-MONTH($J22)))&gt;Lists!E$22)+1)))),IF($AP22="F",IF(N($K22)&lt;=0,0,MIN(MAX(0,$H22),N($K22)*IF(Lists!E$21&lt;$J22,0,(((YEAR(Lists!E$21)-YEAR($J22))*12+MONTH(Lists!E$21)-MONTH($J22))-(EDATE($J22,((YEAR(Lists!E$21)-YEAR($J22))*12+MONTH(Lists!E$21)-MONTH($J22)))&gt;Lists!E$21)+1)))-MIN(MAX(0,$H22),N($K22)*IF(Lists!E$22&lt;$J22,0,(((YEAR(Lists!E$22)-YEAR($J22))*12+MONTH(Lists!E$22)-MONTH($J22))-(EDATE($J22,((YEAR(Lists!E$22)-YEAR($J22))*12+MONTH(Lists!E$22)-MONTH($J22)))&gt;Lists!E$22)+1)))),N($C22)*IF($AE22-$AD22&lt;1,($AD22&gt;Lists!E$22)*($AD22&lt;=Lists!E$21),MAX(0,MIN(Lists!E$21,$AE22)-MAX(Lists!E$22,$AD22))/($AE22-$AD22))+N($D22)*IF($AG22-$AF22&lt;1,($AF22&gt;Lists!E$22)*($AF22&lt;=Lists!E$21),MAX(0,MIN(Lists!E$21,$AG22)-MAX(Lists!E$22,$AF22))/($AG22-$AF22))+N($E22)*IF($AI22-$AH22&lt;1,($AH22&gt;Lists!E$22)*($AH22&lt;=Lists!E$21),MAX(0,MIN(Lists!E$21,$AI22)-MAX(Lists!E$22,$AH22))/($AI22-$AH22))+N($F22)*IF($AK22-$AJ22&lt;1,($AJ22&gt;Lists!E$22)*($AJ22&lt;=Lists!E$21),MAX(0,MIN(Lists!E$21,$AK22)-MAX(Lists!E$22,$AJ22))/($AK22-$AJ22))+N($G22)*IF($AM22-$AL22&lt;1,($AL22&gt;Lists!E$22)*($AL22&lt;=Lists!E$21),MAX(0,MIN(Lists!E$21,$AM22)-MAX(Lists!E$22,$AL22))/($AM22-$AL22))))))))</f>
        <v>0</v>
      </c>
      <c r="P22" s="53" t="n">
        <f aca="false">IF($H22=0,0,IF($AP22="X",0,IF($AP22="S",$H22/$AO22*(MIN($AO22,MAX(0,INT((Lists!F$21-N($J22))/7)+1))-MIN($AO22,MAX(0,INT((Lists!F$22-N($J22))/7)+1))),IF($AP22="D",$H22*MAX(0,MIN(Lists!F$21,N($J22)+$AO22)-MAX(Lists!F$22,N($J22)))/$AO22,IF($AP22="M",$H22/$AO22*(IF(Lists!F$21&lt;$J22,0,MIN($AO22,(((YEAR(Lists!F$21)-YEAR($J22))*12+MONTH(Lists!F$21)-MONTH($J22))-(EDATE($J22,((YEAR(Lists!F$21)-YEAR($J22))*12+MONTH(Lists!F$21)-MONTH($J22)))&gt;Lists!F$21)+1)))-IF(Lists!F$22&lt;$J22,0,MIN($AO22,(((YEAR(Lists!F$22)-YEAR($J22))*12+MONTH(Lists!F$22)-MONTH($J22))-(EDATE($J22,((YEAR(Lists!F$22)-YEAR($J22))*12+MONTH(Lists!F$22)-MONTH($J22)))&gt;Lists!F$22)+1)))),IF($AP22="F",IF(N($K22)&lt;=0,0,MIN(MAX(0,$H22),N($K22)*IF(Lists!F$21&lt;$J22,0,(((YEAR(Lists!F$21)-YEAR($J22))*12+MONTH(Lists!F$21)-MONTH($J22))-(EDATE($J22,((YEAR(Lists!F$21)-YEAR($J22))*12+MONTH(Lists!F$21)-MONTH($J22)))&gt;Lists!F$21)+1)))-MIN(MAX(0,$H22),N($K22)*IF(Lists!F$22&lt;$J22,0,(((YEAR(Lists!F$22)-YEAR($J22))*12+MONTH(Lists!F$22)-MONTH($J22))-(EDATE($J22,((YEAR(Lists!F$22)-YEAR($J22))*12+MONTH(Lists!F$22)-MONTH($J22)))&gt;Lists!F$22)+1)))),N($C22)*IF($AE22-$AD22&lt;1,($AD22&gt;Lists!F$22)*($AD22&lt;=Lists!F$21),MAX(0,MIN(Lists!F$21,$AE22)-MAX(Lists!F$22,$AD22))/($AE22-$AD22))+N($D22)*IF($AG22-$AF22&lt;1,($AF22&gt;Lists!F$22)*($AF22&lt;=Lists!F$21),MAX(0,MIN(Lists!F$21,$AG22)-MAX(Lists!F$22,$AF22))/($AG22-$AF22))+N($E22)*IF($AI22-$AH22&lt;1,($AH22&gt;Lists!F$22)*($AH22&lt;=Lists!F$21),MAX(0,MIN(Lists!F$21,$AI22)-MAX(Lists!F$22,$AH22))/($AI22-$AH22))+N($F22)*IF($AK22-$AJ22&lt;1,($AJ22&gt;Lists!F$22)*($AJ22&lt;=Lists!F$21),MAX(0,MIN(Lists!F$21,$AK22)-MAX(Lists!F$22,$AJ22))/($AK22-$AJ22))+N($G22)*IF($AM22-$AL22&lt;1,($AL22&gt;Lists!F$22)*($AL22&lt;=Lists!F$21),MAX(0,MIN(Lists!F$21,$AM22)-MAX(Lists!F$22,$AL22))/($AM22-$AL22))))))))</f>
        <v>0</v>
      </c>
      <c r="Q22" s="53" t="n">
        <f aca="false">IF($H22=0,0,IF($AP22="X",0,IF($AP22="S",$H22/$AO22*(MIN($AO22,MAX(0,INT((Lists!G$21-N($J22))/7)+1))-MIN($AO22,MAX(0,INT((Lists!G$22-N($J22))/7)+1))),IF($AP22="D",$H22*MAX(0,MIN(Lists!G$21,N($J22)+$AO22)-MAX(Lists!G$22,N($J22)))/$AO22,IF($AP22="M",$H22/$AO22*(IF(Lists!G$21&lt;$J22,0,MIN($AO22,(((YEAR(Lists!G$21)-YEAR($J22))*12+MONTH(Lists!G$21)-MONTH($J22))-(EDATE($J22,((YEAR(Lists!G$21)-YEAR($J22))*12+MONTH(Lists!G$21)-MONTH($J22)))&gt;Lists!G$21)+1)))-IF(Lists!G$22&lt;$J22,0,MIN($AO22,(((YEAR(Lists!G$22)-YEAR($J22))*12+MONTH(Lists!G$22)-MONTH($J22))-(EDATE($J22,((YEAR(Lists!G$22)-YEAR($J22))*12+MONTH(Lists!G$22)-MONTH($J22)))&gt;Lists!G$22)+1)))),IF($AP22="F",IF(N($K22)&lt;=0,0,MIN(MAX(0,$H22),N($K22)*IF(Lists!G$21&lt;$J22,0,(((YEAR(Lists!G$21)-YEAR($J22))*12+MONTH(Lists!G$21)-MONTH($J22))-(EDATE($J22,((YEAR(Lists!G$21)-YEAR($J22))*12+MONTH(Lists!G$21)-MONTH($J22)))&gt;Lists!G$21)+1)))-MIN(MAX(0,$H22),N($K22)*IF(Lists!G$22&lt;$J22,0,(((YEAR(Lists!G$22)-YEAR($J22))*12+MONTH(Lists!G$22)-MONTH($J22))-(EDATE($J22,((YEAR(Lists!G$22)-YEAR($J22))*12+MONTH(Lists!G$22)-MONTH($J22)))&gt;Lists!G$22)+1)))),N($C22)*IF($AE22-$AD22&lt;1,($AD22&gt;Lists!G$22)*($AD22&lt;=Lists!G$21),MAX(0,MIN(Lists!G$21,$AE22)-MAX(Lists!G$22,$AD22))/($AE22-$AD22))+N($D22)*IF($AG22-$AF22&lt;1,($AF22&gt;Lists!G$22)*($AF22&lt;=Lists!G$21),MAX(0,MIN(Lists!G$21,$AG22)-MAX(Lists!G$22,$AF22))/($AG22-$AF22))+N($E22)*IF($AI22-$AH22&lt;1,($AH22&gt;Lists!G$22)*($AH22&lt;=Lists!G$21),MAX(0,MIN(Lists!G$21,$AI22)-MAX(Lists!G$22,$AH22))/($AI22-$AH22))+N($F22)*IF($AK22-$AJ22&lt;1,($AJ22&gt;Lists!G$22)*($AJ22&lt;=Lists!G$21),MAX(0,MIN(Lists!G$21,$AK22)-MAX(Lists!G$22,$AJ22))/($AK22-$AJ22))+N($G22)*IF($AM22-$AL22&lt;1,($AL22&gt;Lists!G$22)*($AL22&lt;=Lists!G$21),MAX(0,MIN(Lists!G$21,$AM22)-MAX(Lists!G$22,$AL22))/($AM22-$AL22))))))))</f>
        <v>0</v>
      </c>
      <c r="R22" s="53" t="n">
        <f aca="false">IF($H22=0,0,IF($AP22="X",0,IF($AP22="S",$H22/$AO22*(MIN($AO22,MAX(0,INT((Lists!H$21-N($J22))/7)+1))-MIN($AO22,MAX(0,INT((Lists!H$22-N($J22))/7)+1))),IF($AP22="D",$H22*MAX(0,MIN(Lists!H$21,N($J22)+$AO22)-MAX(Lists!H$22,N($J22)))/$AO22,IF($AP22="M",$H22/$AO22*(IF(Lists!H$21&lt;$J22,0,MIN($AO22,(((YEAR(Lists!H$21)-YEAR($J22))*12+MONTH(Lists!H$21)-MONTH($J22))-(EDATE($J22,((YEAR(Lists!H$21)-YEAR($J22))*12+MONTH(Lists!H$21)-MONTH($J22)))&gt;Lists!H$21)+1)))-IF(Lists!H$22&lt;$J22,0,MIN($AO22,(((YEAR(Lists!H$22)-YEAR($J22))*12+MONTH(Lists!H$22)-MONTH($J22))-(EDATE($J22,((YEAR(Lists!H$22)-YEAR($J22))*12+MONTH(Lists!H$22)-MONTH($J22)))&gt;Lists!H$22)+1)))),IF($AP22="F",IF(N($K22)&lt;=0,0,MIN(MAX(0,$H22),N($K22)*IF(Lists!H$21&lt;$J22,0,(((YEAR(Lists!H$21)-YEAR($J22))*12+MONTH(Lists!H$21)-MONTH($J22))-(EDATE($J22,((YEAR(Lists!H$21)-YEAR($J22))*12+MONTH(Lists!H$21)-MONTH($J22)))&gt;Lists!H$21)+1)))-MIN(MAX(0,$H22),N($K22)*IF(Lists!H$22&lt;$J22,0,(((YEAR(Lists!H$22)-YEAR($J22))*12+MONTH(Lists!H$22)-MONTH($J22))-(EDATE($J22,((YEAR(Lists!H$22)-YEAR($J22))*12+MONTH(Lists!H$22)-MONTH($J22)))&gt;Lists!H$22)+1)))),N($C22)*IF($AE22-$AD22&lt;1,($AD22&gt;Lists!H$22)*($AD22&lt;=Lists!H$21),MAX(0,MIN(Lists!H$21,$AE22)-MAX(Lists!H$22,$AD22))/($AE22-$AD22))+N($D22)*IF($AG22-$AF22&lt;1,($AF22&gt;Lists!H$22)*($AF22&lt;=Lists!H$21),MAX(0,MIN(Lists!H$21,$AG22)-MAX(Lists!H$22,$AF22))/($AG22-$AF22))+N($E22)*IF($AI22-$AH22&lt;1,($AH22&gt;Lists!H$22)*($AH22&lt;=Lists!H$21),MAX(0,MIN(Lists!H$21,$AI22)-MAX(Lists!H$22,$AH22))/($AI22-$AH22))+N($F22)*IF($AK22-$AJ22&lt;1,($AJ22&gt;Lists!H$22)*($AJ22&lt;=Lists!H$21),MAX(0,MIN(Lists!H$21,$AK22)-MAX(Lists!H$22,$AJ22))/($AK22-$AJ22))+N($G22)*IF($AM22-$AL22&lt;1,($AL22&gt;Lists!H$22)*($AL22&lt;=Lists!H$21),MAX(0,MIN(Lists!H$21,$AM22)-MAX(Lists!H$22,$AL22))/($AM22-$AL22))))))))</f>
        <v>0</v>
      </c>
      <c r="S22" s="53" t="n">
        <f aca="false">IF($H22=0,0,IF($AP22="X",0,IF($AP22="S",$H22/$AO22*(MIN($AO22,MAX(0,INT((Lists!I$21-N($J22))/7)+1))-MIN($AO22,MAX(0,INT((Lists!I$22-N($J22))/7)+1))),IF($AP22="D",$H22*MAX(0,MIN(Lists!I$21,N($J22)+$AO22)-MAX(Lists!I$22,N($J22)))/$AO22,IF($AP22="M",$H22/$AO22*(IF(Lists!I$21&lt;$J22,0,MIN($AO22,(((YEAR(Lists!I$21)-YEAR($J22))*12+MONTH(Lists!I$21)-MONTH($J22))-(EDATE($J22,((YEAR(Lists!I$21)-YEAR($J22))*12+MONTH(Lists!I$21)-MONTH($J22)))&gt;Lists!I$21)+1)))-IF(Lists!I$22&lt;$J22,0,MIN($AO22,(((YEAR(Lists!I$22)-YEAR($J22))*12+MONTH(Lists!I$22)-MONTH($J22))-(EDATE($J22,((YEAR(Lists!I$22)-YEAR($J22))*12+MONTH(Lists!I$22)-MONTH($J22)))&gt;Lists!I$22)+1)))),IF($AP22="F",IF(N($K22)&lt;=0,0,MIN(MAX(0,$H22),N($K22)*IF(Lists!I$21&lt;$J22,0,(((YEAR(Lists!I$21)-YEAR($J22))*12+MONTH(Lists!I$21)-MONTH($J22))-(EDATE($J22,((YEAR(Lists!I$21)-YEAR($J22))*12+MONTH(Lists!I$21)-MONTH($J22)))&gt;Lists!I$21)+1)))-MIN(MAX(0,$H22),N($K22)*IF(Lists!I$22&lt;$J22,0,(((YEAR(Lists!I$22)-YEAR($J22))*12+MONTH(Lists!I$22)-MONTH($J22))-(EDATE($J22,((YEAR(Lists!I$22)-YEAR($J22))*12+MONTH(Lists!I$22)-MONTH($J22)))&gt;Lists!I$22)+1)))),N($C22)*IF($AE22-$AD22&lt;1,($AD22&gt;Lists!I$22)*($AD22&lt;=Lists!I$21),MAX(0,MIN(Lists!I$21,$AE22)-MAX(Lists!I$22,$AD22))/($AE22-$AD22))+N($D22)*IF($AG22-$AF22&lt;1,($AF22&gt;Lists!I$22)*($AF22&lt;=Lists!I$21),MAX(0,MIN(Lists!I$21,$AG22)-MAX(Lists!I$22,$AF22))/($AG22-$AF22))+N($E22)*IF($AI22-$AH22&lt;1,($AH22&gt;Lists!I$22)*($AH22&lt;=Lists!I$21),MAX(0,MIN(Lists!I$21,$AI22)-MAX(Lists!I$22,$AH22))/($AI22-$AH22))+N($F22)*IF($AK22-$AJ22&lt;1,($AJ22&gt;Lists!I$22)*($AJ22&lt;=Lists!I$21),MAX(0,MIN(Lists!I$21,$AK22)-MAX(Lists!I$22,$AJ22))/($AK22-$AJ22))+N($G22)*IF($AM22-$AL22&lt;1,($AL22&gt;Lists!I$22)*($AL22&lt;=Lists!I$21),MAX(0,MIN(Lists!I$21,$AM22)-MAX(Lists!I$22,$AL22))/($AM22-$AL22))))))))</f>
        <v>0</v>
      </c>
      <c r="T22" s="53" t="n">
        <f aca="false">IF($H22=0,0,IF($AP22="X",0,IF($AP22="S",$H22/$AO22*(MIN($AO22,MAX(0,INT((Lists!J$21-N($J22))/7)+1))-MIN($AO22,MAX(0,INT((Lists!J$22-N($J22))/7)+1))),IF($AP22="D",$H22*MAX(0,MIN(Lists!J$21,N($J22)+$AO22)-MAX(Lists!J$22,N($J22)))/$AO22,IF($AP22="M",$H22/$AO22*(IF(Lists!J$21&lt;$J22,0,MIN($AO22,(((YEAR(Lists!J$21)-YEAR($J22))*12+MONTH(Lists!J$21)-MONTH($J22))-(EDATE($J22,((YEAR(Lists!J$21)-YEAR($J22))*12+MONTH(Lists!J$21)-MONTH($J22)))&gt;Lists!J$21)+1)))-IF(Lists!J$22&lt;$J22,0,MIN($AO22,(((YEAR(Lists!J$22)-YEAR($J22))*12+MONTH(Lists!J$22)-MONTH($J22))-(EDATE($J22,((YEAR(Lists!J$22)-YEAR($J22))*12+MONTH(Lists!J$22)-MONTH($J22)))&gt;Lists!J$22)+1)))),IF($AP22="F",IF(N($K22)&lt;=0,0,MIN(MAX(0,$H22),N($K22)*IF(Lists!J$21&lt;$J22,0,(((YEAR(Lists!J$21)-YEAR($J22))*12+MONTH(Lists!J$21)-MONTH($J22))-(EDATE($J22,((YEAR(Lists!J$21)-YEAR($J22))*12+MONTH(Lists!J$21)-MONTH($J22)))&gt;Lists!J$21)+1)))-MIN(MAX(0,$H22),N($K22)*IF(Lists!J$22&lt;$J22,0,(((YEAR(Lists!J$22)-YEAR($J22))*12+MONTH(Lists!J$22)-MONTH($J22))-(EDATE($J22,((YEAR(Lists!J$22)-YEAR($J22))*12+MONTH(Lists!J$22)-MONTH($J22)))&gt;Lists!J$22)+1)))),N($C22)*IF($AE22-$AD22&lt;1,($AD22&gt;Lists!J$22)*($AD22&lt;=Lists!J$21),MAX(0,MIN(Lists!J$21,$AE22)-MAX(Lists!J$22,$AD22))/($AE22-$AD22))+N($D22)*IF($AG22-$AF22&lt;1,($AF22&gt;Lists!J$22)*($AF22&lt;=Lists!J$21),MAX(0,MIN(Lists!J$21,$AG22)-MAX(Lists!J$22,$AF22))/($AG22-$AF22))+N($E22)*IF($AI22-$AH22&lt;1,($AH22&gt;Lists!J$22)*($AH22&lt;=Lists!J$21),MAX(0,MIN(Lists!J$21,$AI22)-MAX(Lists!J$22,$AH22))/($AI22-$AH22))+N($F22)*IF($AK22-$AJ22&lt;1,($AJ22&gt;Lists!J$22)*($AJ22&lt;=Lists!J$21),MAX(0,MIN(Lists!J$21,$AK22)-MAX(Lists!J$22,$AJ22))/($AK22-$AJ22))+N($G22)*IF($AM22-$AL22&lt;1,($AL22&gt;Lists!J$22)*($AL22&lt;=Lists!J$21),MAX(0,MIN(Lists!J$21,$AM22)-MAX(Lists!J$22,$AL22))/($AM22-$AL22))))))))</f>
        <v>0</v>
      </c>
      <c r="U22" s="53" t="n">
        <f aca="false">IF($H22=0,0,IF($AP22="X",0,IF($AP22="S",$H22/$AO22*(MIN($AO22,MAX(0,INT((Lists!K$21-N($J22))/7)+1))-MIN($AO22,MAX(0,INT((Lists!K$22-N($J22))/7)+1))),IF($AP22="D",$H22*MAX(0,MIN(Lists!K$21,N($J22)+$AO22)-MAX(Lists!K$22,N($J22)))/$AO22,IF($AP22="M",$H22/$AO22*(IF(Lists!K$21&lt;$J22,0,MIN($AO22,(((YEAR(Lists!K$21)-YEAR($J22))*12+MONTH(Lists!K$21)-MONTH($J22))-(EDATE($J22,((YEAR(Lists!K$21)-YEAR($J22))*12+MONTH(Lists!K$21)-MONTH($J22)))&gt;Lists!K$21)+1)))-IF(Lists!K$22&lt;$J22,0,MIN($AO22,(((YEAR(Lists!K$22)-YEAR($J22))*12+MONTH(Lists!K$22)-MONTH($J22))-(EDATE($J22,((YEAR(Lists!K$22)-YEAR($J22))*12+MONTH(Lists!K$22)-MONTH($J22)))&gt;Lists!K$22)+1)))),IF($AP22="F",IF(N($K22)&lt;=0,0,MIN(MAX(0,$H22),N($K22)*IF(Lists!K$21&lt;$J22,0,(((YEAR(Lists!K$21)-YEAR($J22))*12+MONTH(Lists!K$21)-MONTH($J22))-(EDATE($J22,((YEAR(Lists!K$21)-YEAR($J22))*12+MONTH(Lists!K$21)-MONTH($J22)))&gt;Lists!K$21)+1)))-MIN(MAX(0,$H22),N($K22)*IF(Lists!K$22&lt;$J22,0,(((YEAR(Lists!K$22)-YEAR($J22))*12+MONTH(Lists!K$22)-MONTH($J22))-(EDATE($J22,((YEAR(Lists!K$22)-YEAR($J22))*12+MONTH(Lists!K$22)-MONTH($J22)))&gt;Lists!K$22)+1)))),N($C22)*IF($AE22-$AD22&lt;1,($AD22&gt;Lists!K$22)*($AD22&lt;=Lists!K$21),MAX(0,MIN(Lists!K$21,$AE22)-MAX(Lists!K$22,$AD22))/($AE22-$AD22))+N($D22)*IF($AG22-$AF22&lt;1,($AF22&gt;Lists!K$22)*($AF22&lt;=Lists!K$21),MAX(0,MIN(Lists!K$21,$AG22)-MAX(Lists!K$22,$AF22))/($AG22-$AF22))+N($E22)*IF($AI22-$AH22&lt;1,($AH22&gt;Lists!K$22)*($AH22&lt;=Lists!K$21),MAX(0,MIN(Lists!K$21,$AI22)-MAX(Lists!K$22,$AH22))/($AI22-$AH22))+N($F22)*IF($AK22-$AJ22&lt;1,($AJ22&gt;Lists!K$22)*($AJ22&lt;=Lists!K$21),MAX(0,MIN(Lists!K$21,$AK22)-MAX(Lists!K$22,$AJ22))/($AK22-$AJ22))+N($G22)*IF($AM22-$AL22&lt;1,($AL22&gt;Lists!K$22)*($AL22&lt;=Lists!K$21),MAX(0,MIN(Lists!K$21,$AM22)-MAX(Lists!K$22,$AL22))/($AM22-$AL22))))))))</f>
        <v>0</v>
      </c>
      <c r="V22" s="53" t="n">
        <f aca="false">IF($H22=0,0,IF($AP22="X",0,IF($AP22="S",$H22/$AO22*(MIN($AO22,MAX(0,INT((Lists!L$21-N($J22))/7)+1))-MIN($AO22,MAX(0,INT((Lists!L$22-N($J22))/7)+1))),IF($AP22="D",$H22*MAX(0,MIN(Lists!L$21,N($J22)+$AO22)-MAX(Lists!L$22,N($J22)))/$AO22,IF($AP22="M",$H22/$AO22*(IF(Lists!L$21&lt;$J22,0,MIN($AO22,(((YEAR(Lists!L$21)-YEAR($J22))*12+MONTH(Lists!L$21)-MONTH($J22))-(EDATE($J22,((YEAR(Lists!L$21)-YEAR($J22))*12+MONTH(Lists!L$21)-MONTH($J22)))&gt;Lists!L$21)+1)))-IF(Lists!L$22&lt;$J22,0,MIN($AO22,(((YEAR(Lists!L$22)-YEAR($J22))*12+MONTH(Lists!L$22)-MONTH($J22))-(EDATE($J22,((YEAR(Lists!L$22)-YEAR($J22))*12+MONTH(Lists!L$22)-MONTH($J22)))&gt;Lists!L$22)+1)))),IF($AP22="F",IF(N($K22)&lt;=0,0,MIN(MAX(0,$H22),N($K22)*IF(Lists!L$21&lt;$J22,0,(((YEAR(Lists!L$21)-YEAR($J22))*12+MONTH(Lists!L$21)-MONTH($J22))-(EDATE($J22,((YEAR(Lists!L$21)-YEAR($J22))*12+MONTH(Lists!L$21)-MONTH($J22)))&gt;Lists!L$21)+1)))-MIN(MAX(0,$H22),N($K22)*IF(Lists!L$22&lt;$J22,0,(((YEAR(Lists!L$22)-YEAR($J22))*12+MONTH(Lists!L$22)-MONTH($J22))-(EDATE($J22,((YEAR(Lists!L$22)-YEAR($J22))*12+MONTH(Lists!L$22)-MONTH($J22)))&gt;Lists!L$22)+1)))),N($C22)*IF($AE22-$AD22&lt;1,($AD22&gt;Lists!L$22)*($AD22&lt;=Lists!L$21),MAX(0,MIN(Lists!L$21,$AE22)-MAX(Lists!L$22,$AD22))/($AE22-$AD22))+N($D22)*IF($AG22-$AF22&lt;1,($AF22&gt;Lists!L$22)*($AF22&lt;=Lists!L$21),MAX(0,MIN(Lists!L$21,$AG22)-MAX(Lists!L$22,$AF22))/($AG22-$AF22))+N($E22)*IF($AI22-$AH22&lt;1,($AH22&gt;Lists!L$22)*($AH22&lt;=Lists!L$21),MAX(0,MIN(Lists!L$21,$AI22)-MAX(Lists!L$22,$AH22))/($AI22-$AH22))+N($F22)*IF($AK22-$AJ22&lt;1,($AJ22&gt;Lists!L$22)*($AJ22&lt;=Lists!L$21),MAX(0,MIN(Lists!L$21,$AK22)-MAX(Lists!L$22,$AJ22))/($AK22-$AJ22))+N($G22)*IF($AM22-$AL22&lt;1,($AL22&gt;Lists!L$22)*($AL22&lt;=Lists!L$21),MAX(0,MIN(Lists!L$21,$AM22)-MAX(Lists!L$22,$AL22))/($AM22-$AL22))))))))</f>
        <v>0</v>
      </c>
      <c r="W22" s="53" t="n">
        <f aca="false">IF($H22=0,0,IF($AP22="X",0,IF($AP22="S",$H22/$AO22*(MIN($AO22,MAX(0,INT((Lists!M$21-N($J22))/7)+1))-MIN($AO22,MAX(0,INT((Lists!M$22-N($J22))/7)+1))),IF($AP22="D",$H22*MAX(0,MIN(Lists!M$21,N($J22)+$AO22)-MAX(Lists!M$22,N($J22)))/$AO22,IF($AP22="M",$H22/$AO22*(IF(Lists!M$21&lt;$J22,0,MIN($AO22,(((YEAR(Lists!M$21)-YEAR($J22))*12+MONTH(Lists!M$21)-MONTH($J22))-(EDATE($J22,((YEAR(Lists!M$21)-YEAR($J22))*12+MONTH(Lists!M$21)-MONTH($J22)))&gt;Lists!M$21)+1)))-IF(Lists!M$22&lt;$J22,0,MIN($AO22,(((YEAR(Lists!M$22)-YEAR($J22))*12+MONTH(Lists!M$22)-MONTH($J22))-(EDATE($J22,((YEAR(Lists!M$22)-YEAR($J22))*12+MONTH(Lists!M$22)-MONTH($J22)))&gt;Lists!M$22)+1)))),IF($AP22="F",IF(N($K22)&lt;=0,0,MIN(MAX(0,$H22),N($K22)*IF(Lists!M$21&lt;$J22,0,(((YEAR(Lists!M$21)-YEAR($J22))*12+MONTH(Lists!M$21)-MONTH($J22))-(EDATE($J22,((YEAR(Lists!M$21)-YEAR($J22))*12+MONTH(Lists!M$21)-MONTH($J22)))&gt;Lists!M$21)+1)))-MIN(MAX(0,$H22),N($K22)*IF(Lists!M$22&lt;$J22,0,(((YEAR(Lists!M$22)-YEAR($J22))*12+MONTH(Lists!M$22)-MONTH($J22))-(EDATE($J22,((YEAR(Lists!M$22)-YEAR($J22))*12+MONTH(Lists!M$22)-MONTH($J22)))&gt;Lists!M$22)+1)))),N($C22)*IF($AE22-$AD22&lt;1,($AD22&gt;Lists!M$22)*($AD22&lt;=Lists!M$21),MAX(0,MIN(Lists!M$21,$AE22)-MAX(Lists!M$22,$AD22))/($AE22-$AD22))+N($D22)*IF($AG22-$AF22&lt;1,($AF22&gt;Lists!M$22)*($AF22&lt;=Lists!M$21),MAX(0,MIN(Lists!M$21,$AG22)-MAX(Lists!M$22,$AF22))/($AG22-$AF22))+N($E22)*IF($AI22-$AH22&lt;1,($AH22&gt;Lists!M$22)*($AH22&lt;=Lists!M$21),MAX(0,MIN(Lists!M$21,$AI22)-MAX(Lists!M$22,$AH22))/($AI22-$AH22))+N($F22)*IF($AK22-$AJ22&lt;1,($AJ22&gt;Lists!M$22)*($AJ22&lt;=Lists!M$21),MAX(0,MIN(Lists!M$21,$AK22)-MAX(Lists!M$22,$AJ22))/($AK22-$AJ22))+N($G22)*IF($AM22-$AL22&lt;1,($AL22&gt;Lists!M$22)*($AL22&lt;=Lists!M$21),MAX(0,MIN(Lists!M$21,$AM22)-MAX(Lists!M$22,$AL22))/($AM22-$AL22))))))))</f>
        <v>0</v>
      </c>
      <c r="X22" s="53" t="n">
        <f aca="false">IF($H22=0,0,IF($AP22="X",0,IF($AP22="S",$H22/$AO22*(MIN($AO22,MAX(0,INT((Lists!N$21-N($J22))/7)+1))-MIN($AO22,MAX(0,INT((Lists!N$22-N($J22))/7)+1))),IF($AP22="D",$H22*MAX(0,MIN(Lists!N$21,N($J22)+$AO22)-MAX(Lists!N$22,N($J22)))/$AO22,IF($AP22="M",$H22/$AO22*(IF(Lists!N$21&lt;$J22,0,MIN($AO22,(((YEAR(Lists!N$21)-YEAR($J22))*12+MONTH(Lists!N$21)-MONTH($J22))-(EDATE($J22,((YEAR(Lists!N$21)-YEAR($J22))*12+MONTH(Lists!N$21)-MONTH($J22)))&gt;Lists!N$21)+1)))-IF(Lists!N$22&lt;$J22,0,MIN($AO22,(((YEAR(Lists!N$22)-YEAR($J22))*12+MONTH(Lists!N$22)-MONTH($J22))-(EDATE($J22,((YEAR(Lists!N$22)-YEAR($J22))*12+MONTH(Lists!N$22)-MONTH($J22)))&gt;Lists!N$22)+1)))),IF($AP22="F",IF(N($K22)&lt;=0,0,MIN(MAX(0,$H22),N($K22)*IF(Lists!N$21&lt;$J22,0,(((YEAR(Lists!N$21)-YEAR($J22))*12+MONTH(Lists!N$21)-MONTH($J22))-(EDATE($J22,((YEAR(Lists!N$21)-YEAR($J22))*12+MONTH(Lists!N$21)-MONTH($J22)))&gt;Lists!N$21)+1)))-MIN(MAX(0,$H22),N($K22)*IF(Lists!N$22&lt;$J22,0,(((YEAR(Lists!N$22)-YEAR($J22))*12+MONTH(Lists!N$22)-MONTH($J22))-(EDATE($J22,((YEAR(Lists!N$22)-YEAR($J22))*12+MONTH(Lists!N$22)-MONTH($J22)))&gt;Lists!N$22)+1)))),N($C22)*IF($AE22-$AD22&lt;1,($AD22&gt;Lists!N$22)*($AD22&lt;=Lists!N$21),MAX(0,MIN(Lists!N$21,$AE22)-MAX(Lists!N$22,$AD22))/($AE22-$AD22))+N($D22)*IF($AG22-$AF22&lt;1,($AF22&gt;Lists!N$22)*($AF22&lt;=Lists!N$21),MAX(0,MIN(Lists!N$21,$AG22)-MAX(Lists!N$22,$AF22))/($AG22-$AF22))+N($E22)*IF($AI22-$AH22&lt;1,($AH22&gt;Lists!N$22)*($AH22&lt;=Lists!N$21),MAX(0,MIN(Lists!N$21,$AI22)-MAX(Lists!N$22,$AH22))/($AI22-$AH22))+N($F22)*IF($AK22-$AJ22&lt;1,($AJ22&gt;Lists!N$22)*($AJ22&lt;=Lists!N$21),MAX(0,MIN(Lists!N$21,$AK22)-MAX(Lists!N$22,$AJ22))/($AK22-$AJ22))+N($G22)*IF($AM22-$AL22&lt;1,($AL22&gt;Lists!N$22)*($AL22&lt;=Lists!N$21),MAX(0,MIN(Lists!N$21,$AM22)-MAX(Lists!N$22,$AL22))/($AM22-$AL22))))))))</f>
        <v>0</v>
      </c>
      <c r="Y22" s="53" t="n">
        <f aca="false">IF($H22=0,0,IF($AP22="X",0,IF($AP22="S",$H22/$AO22*(MIN($AO22,MAX(0,INT((Lists!O$21-N($J22))/7)+1))-MIN($AO22,MAX(0,INT((Lists!O$22-N($J22))/7)+1))),IF($AP22="D",$H22*MAX(0,MIN(Lists!O$21,N($J22)+$AO22)-MAX(Lists!O$22,N($J22)))/$AO22,IF($AP22="M",$H22/$AO22*(IF(Lists!O$21&lt;$J22,0,MIN($AO22,(((YEAR(Lists!O$21)-YEAR($J22))*12+MONTH(Lists!O$21)-MONTH($J22))-(EDATE($J22,((YEAR(Lists!O$21)-YEAR($J22))*12+MONTH(Lists!O$21)-MONTH($J22)))&gt;Lists!O$21)+1)))-IF(Lists!O$22&lt;$J22,0,MIN($AO22,(((YEAR(Lists!O$22)-YEAR($J22))*12+MONTH(Lists!O$22)-MONTH($J22))-(EDATE($J22,((YEAR(Lists!O$22)-YEAR($J22))*12+MONTH(Lists!O$22)-MONTH($J22)))&gt;Lists!O$22)+1)))),IF($AP22="F",IF(N($K22)&lt;=0,0,MIN(MAX(0,$H22),N($K22)*IF(Lists!O$21&lt;$J22,0,(((YEAR(Lists!O$21)-YEAR($J22))*12+MONTH(Lists!O$21)-MONTH($J22))-(EDATE($J22,((YEAR(Lists!O$21)-YEAR($J22))*12+MONTH(Lists!O$21)-MONTH($J22)))&gt;Lists!O$21)+1)))-MIN(MAX(0,$H22),N($K22)*IF(Lists!O$22&lt;$J22,0,(((YEAR(Lists!O$22)-YEAR($J22))*12+MONTH(Lists!O$22)-MONTH($J22))-(EDATE($J22,((YEAR(Lists!O$22)-YEAR($J22))*12+MONTH(Lists!O$22)-MONTH($J22)))&gt;Lists!O$22)+1)))),N($C22)*IF($AE22-$AD22&lt;1,($AD22&gt;Lists!O$22)*($AD22&lt;=Lists!O$21),MAX(0,MIN(Lists!O$21,$AE22)-MAX(Lists!O$22,$AD22))/($AE22-$AD22))+N($D22)*IF($AG22-$AF22&lt;1,($AF22&gt;Lists!O$22)*($AF22&lt;=Lists!O$21),MAX(0,MIN(Lists!O$21,$AG22)-MAX(Lists!O$22,$AF22))/($AG22-$AF22))+N($E22)*IF($AI22-$AH22&lt;1,($AH22&gt;Lists!O$22)*($AH22&lt;=Lists!O$21),MAX(0,MIN(Lists!O$21,$AI22)-MAX(Lists!O$22,$AH22))/($AI22-$AH22))+N($F22)*IF($AK22-$AJ22&lt;1,($AJ22&gt;Lists!O$22)*($AJ22&lt;=Lists!O$21),MAX(0,MIN(Lists!O$21,$AK22)-MAX(Lists!O$22,$AJ22))/($AK22-$AJ22))+N($G22)*IF($AM22-$AL22&lt;1,($AL22&gt;Lists!O$22)*($AL22&lt;=Lists!O$21),MAX(0,MIN(Lists!O$21,$AM22)-MAX(Lists!O$22,$AL22))/($AM22-$AL22))))))))</f>
        <v>0</v>
      </c>
      <c r="Z22" s="46" t="n">
        <f aca="false">SUM(M22:Y22)</f>
        <v>0</v>
      </c>
      <c r="AA22" s="92" t="n">
        <f aca="false">H22-Z22</f>
        <v>0</v>
      </c>
      <c r="AB22" s="55"/>
      <c r="AC22" s="2"/>
      <c r="AD22" s="93" t="n">
        <f aca="false">Setup!$D$10+MAX(0,$AN22-30)</f>
        <v>46365</v>
      </c>
      <c r="AE22" s="93" t="n">
        <f aca="false">Setup!$D$10+IF($AN22-30&lt;0,MAX(Setup!$D$22,$AN22-0),$AN22-0)</f>
        <v>46395</v>
      </c>
      <c r="AF22" s="93" t="n">
        <f aca="false">Setup!$D$10+MAX(0,$AN22-60)</f>
        <v>46335</v>
      </c>
      <c r="AG22" s="93" t="n">
        <f aca="false">Setup!$D$10+IF($AN22-60&lt;0,MAX(Setup!$D$22,$AN22-31),$AN22-31)</f>
        <v>46364</v>
      </c>
      <c r="AH22" s="93" t="n">
        <f aca="false">Setup!$D$10+MAX(0,$AN22-90)</f>
        <v>46335</v>
      </c>
      <c r="AI22" s="93" t="n">
        <f aca="false">Setup!$D$10+IF($AN22-90&lt;0,MAX(Setup!$D$22,$AN22-61),$AN22-61)</f>
        <v>46363</v>
      </c>
      <c r="AJ22" s="93" t="n">
        <f aca="false">Setup!$D$10+MAX(0,$AN22-120)</f>
        <v>46335</v>
      </c>
      <c r="AK22" s="93" t="n">
        <f aca="false">Setup!$D$10+IF($AN22-120&lt;0,MAX(Setup!$D$22,$AN22-91),$AN22-91)</f>
        <v>46363</v>
      </c>
      <c r="AL22" s="93" t="n">
        <f aca="false">IF(Setup!$D$23="Yes",2958465,Setup!$D$10)</f>
        <v>2958465</v>
      </c>
      <c r="AM22" s="93" t="n">
        <f aca="false">IF(AL22=2958465,AL22,Setup!$D$10+Setup!$D$22)</f>
        <v>2958465</v>
      </c>
      <c r="AN22" s="94" t="n">
        <f aca="false">IF(N(L22)=0,Setup!$D$20,L22)</f>
        <v>60</v>
      </c>
      <c r="AO22" s="94" t="n">
        <f aca="false">MAX(1,ROUND(N(K22),0))</f>
        <v>1</v>
      </c>
      <c r="AP22" s="95" t="str">
        <f aca="false">IF(I22="Doubtful","X",IF(N(J22)=0,"A",IF(I22="Specific date","S",IF(I22="Spread over days","D",IF(I22="Monthly on set day","M",IF(I22="Monthly fixed amount","F","A"))))))</f>
        <v>A</v>
      </c>
    </row>
    <row r="23" customFormat="false" ht="15" hidden="false" customHeight="false" outlineLevel="0" collapsed="false">
      <c r="A23" s="87" t="n">
        <v>15</v>
      </c>
      <c r="B23" s="55"/>
      <c r="C23" s="88"/>
      <c r="D23" s="88"/>
      <c r="E23" s="88"/>
      <c r="F23" s="88"/>
      <c r="G23" s="88"/>
      <c r="H23" s="89" t="n">
        <f aca="false">SUM(C23:G23)</f>
        <v>0</v>
      </c>
      <c r="I23" s="58"/>
      <c r="J23" s="90"/>
      <c r="K23" s="91"/>
      <c r="L23" s="80"/>
      <c r="M23" s="53" t="n">
        <f aca="false">IF($H23=0,0,IF($AP23="X",0,IF($AP23="S",$H23/$AO23*(MIN($AO23,MAX(0,INT((Lists!C$21-N($J23))/7)+1))-MIN($AO23,MAX(0,INT((Lists!C$22-N($J23))/7)+1))),IF($AP23="D",$H23*MAX(0,MIN(Lists!C$21,N($J23)+$AO23)-MAX(Lists!C$22,N($J23)))/$AO23,IF($AP23="M",$H23/$AO23*(IF(Lists!C$21&lt;$J23,0,MIN($AO23,(((YEAR(Lists!C$21)-YEAR($J23))*12+MONTH(Lists!C$21)-MONTH($J23))-(EDATE($J23,((YEAR(Lists!C$21)-YEAR($J23))*12+MONTH(Lists!C$21)-MONTH($J23)))&gt;Lists!C$21)+1)))-IF(Lists!C$22&lt;$J23,0,MIN($AO23,(((YEAR(Lists!C$22)-YEAR($J23))*12+MONTH(Lists!C$22)-MONTH($J23))-(EDATE($J23,((YEAR(Lists!C$22)-YEAR($J23))*12+MONTH(Lists!C$22)-MONTH($J23)))&gt;Lists!C$22)+1)))),IF($AP23="F",IF(N($K23)&lt;=0,0,MIN(MAX(0,$H23),N($K23)*IF(Lists!C$21&lt;$J23,0,(((YEAR(Lists!C$21)-YEAR($J23))*12+MONTH(Lists!C$21)-MONTH($J23))-(EDATE($J23,((YEAR(Lists!C$21)-YEAR($J23))*12+MONTH(Lists!C$21)-MONTH($J23)))&gt;Lists!C$21)+1)))-MIN(MAX(0,$H23),N($K23)*IF(Lists!C$22&lt;$J23,0,(((YEAR(Lists!C$22)-YEAR($J23))*12+MONTH(Lists!C$22)-MONTH($J23))-(EDATE($J23,((YEAR(Lists!C$22)-YEAR($J23))*12+MONTH(Lists!C$22)-MONTH($J23)))&gt;Lists!C$22)+1)))),N($C23)*IF($AE23-$AD23&lt;1,($AD23&gt;Lists!C$22)*($AD23&lt;=Lists!C$21),MAX(0,MIN(Lists!C$21,$AE23)-MAX(Lists!C$22,$AD23))/($AE23-$AD23))+N($D23)*IF($AG23-$AF23&lt;1,($AF23&gt;Lists!C$22)*($AF23&lt;=Lists!C$21),MAX(0,MIN(Lists!C$21,$AG23)-MAX(Lists!C$22,$AF23))/($AG23-$AF23))+N($E23)*IF($AI23-$AH23&lt;1,($AH23&gt;Lists!C$22)*($AH23&lt;=Lists!C$21),MAX(0,MIN(Lists!C$21,$AI23)-MAX(Lists!C$22,$AH23))/($AI23-$AH23))+N($F23)*IF($AK23-$AJ23&lt;1,($AJ23&gt;Lists!C$22)*($AJ23&lt;=Lists!C$21),MAX(0,MIN(Lists!C$21,$AK23)-MAX(Lists!C$22,$AJ23))/($AK23-$AJ23))+N($G23)*IF($AM23-$AL23&lt;1,($AL23&gt;Lists!C$22)*($AL23&lt;=Lists!C$21),MAX(0,MIN(Lists!C$21,$AM23)-MAX(Lists!C$22,$AL23))/($AM23-$AL23))))))))</f>
        <v>0</v>
      </c>
      <c r="N23" s="53" t="n">
        <f aca="false">IF($H23=0,0,IF($AP23="X",0,IF($AP23="S",$H23/$AO23*(MIN($AO23,MAX(0,INT((Lists!D$21-N($J23))/7)+1))-MIN($AO23,MAX(0,INT((Lists!D$22-N($J23))/7)+1))),IF($AP23="D",$H23*MAX(0,MIN(Lists!D$21,N($J23)+$AO23)-MAX(Lists!D$22,N($J23)))/$AO23,IF($AP23="M",$H23/$AO23*(IF(Lists!D$21&lt;$J23,0,MIN($AO23,(((YEAR(Lists!D$21)-YEAR($J23))*12+MONTH(Lists!D$21)-MONTH($J23))-(EDATE($J23,((YEAR(Lists!D$21)-YEAR($J23))*12+MONTH(Lists!D$21)-MONTH($J23)))&gt;Lists!D$21)+1)))-IF(Lists!D$22&lt;$J23,0,MIN($AO23,(((YEAR(Lists!D$22)-YEAR($J23))*12+MONTH(Lists!D$22)-MONTH($J23))-(EDATE($J23,((YEAR(Lists!D$22)-YEAR($J23))*12+MONTH(Lists!D$22)-MONTH($J23)))&gt;Lists!D$22)+1)))),IF($AP23="F",IF(N($K23)&lt;=0,0,MIN(MAX(0,$H23),N($K23)*IF(Lists!D$21&lt;$J23,0,(((YEAR(Lists!D$21)-YEAR($J23))*12+MONTH(Lists!D$21)-MONTH($J23))-(EDATE($J23,((YEAR(Lists!D$21)-YEAR($J23))*12+MONTH(Lists!D$21)-MONTH($J23)))&gt;Lists!D$21)+1)))-MIN(MAX(0,$H23),N($K23)*IF(Lists!D$22&lt;$J23,0,(((YEAR(Lists!D$22)-YEAR($J23))*12+MONTH(Lists!D$22)-MONTH($J23))-(EDATE($J23,((YEAR(Lists!D$22)-YEAR($J23))*12+MONTH(Lists!D$22)-MONTH($J23)))&gt;Lists!D$22)+1)))),N($C23)*IF($AE23-$AD23&lt;1,($AD23&gt;Lists!D$22)*($AD23&lt;=Lists!D$21),MAX(0,MIN(Lists!D$21,$AE23)-MAX(Lists!D$22,$AD23))/($AE23-$AD23))+N($D23)*IF($AG23-$AF23&lt;1,($AF23&gt;Lists!D$22)*($AF23&lt;=Lists!D$21),MAX(0,MIN(Lists!D$21,$AG23)-MAX(Lists!D$22,$AF23))/($AG23-$AF23))+N($E23)*IF($AI23-$AH23&lt;1,($AH23&gt;Lists!D$22)*($AH23&lt;=Lists!D$21),MAX(0,MIN(Lists!D$21,$AI23)-MAX(Lists!D$22,$AH23))/($AI23-$AH23))+N($F23)*IF($AK23-$AJ23&lt;1,($AJ23&gt;Lists!D$22)*($AJ23&lt;=Lists!D$21),MAX(0,MIN(Lists!D$21,$AK23)-MAX(Lists!D$22,$AJ23))/($AK23-$AJ23))+N($G23)*IF($AM23-$AL23&lt;1,($AL23&gt;Lists!D$22)*($AL23&lt;=Lists!D$21),MAX(0,MIN(Lists!D$21,$AM23)-MAX(Lists!D$22,$AL23))/($AM23-$AL23))))))))</f>
        <v>0</v>
      </c>
      <c r="O23" s="53" t="n">
        <f aca="false">IF($H23=0,0,IF($AP23="X",0,IF($AP23="S",$H23/$AO23*(MIN($AO23,MAX(0,INT((Lists!E$21-N($J23))/7)+1))-MIN($AO23,MAX(0,INT((Lists!E$22-N($J23))/7)+1))),IF($AP23="D",$H23*MAX(0,MIN(Lists!E$21,N($J23)+$AO23)-MAX(Lists!E$22,N($J23)))/$AO23,IF($AP23="M",$H23/$AO23*(IF(Lists!E$21&lt;$J23,0,MIN($AO23,(((YEAR(Lists!E$21)-YEAR($J23))*12+MONTH(Lists!E$21)-MONTH($J23))-(EDATE($J23,((YEAR(Lists!E$21)-YEAR($J23))*12+MONTH(Lists!E$21)-MONTH($J23)))&gt;Lists!E$21)+1)))-IF(Lists!E$22&lt;$J23,0,MIN($AO23,(((YEAR(Lists!E$22)-YEAR($J23))*12+MONTH(Lists!E$22)-MONTH($J23))-(EDATE($J23,((YEAR(Lists!E$22)-YEAR($J23))*12+MONTH(Lists!E$22)-MONTH($J23)))&gt;Lists!E$22)+1)))),IF($AP23="F",IF(N($K23)&lt;=0,0,MIN(MAX(0,$H23),N($K23)*IF(Lists!E$21&lt;$J23,0,(((YEAR(Lists!E$21)-YEAR($J23))*12+MONTH(Lists!E$21)-MONTH($J23))-(EDATE($J23,((YEAR(Lists!E$21)-YEAR($J23))*12+MONTH(Lists!E$21)-MONTH($J23)))&gt;Lists!E$21)+1)))-MIN(MAX(0,$H23),N($K23)*IF(Lists!E$22&lt;$J23,0,(((YEAR(Lists!E$22)-YEAR($J23))*12+MONTH(Lists!E$22)-MONTH($J23))-(EDATE($J23,((YEAR(Lists!E$22)-YEAR($J23))*12+MONTH(Lists!E$22)-MONTH($J23)))&gt;Lists!E$22)+1)))),N($C23)*IF($AE23-$AD23&lt;1,($AD23&gt;Lists!E$22)*($AD23&lt;=Lists!E$21),MAX(0,MIN(Lists!E$21,$AE23)-MAX(Lists!E$22,$AD23))/($AE23-$AD23))+N($D23)*IF($AG23-$AF23&lt;1,($AF23&gt;Lists!E$22)*($AF23&lt;=Lists!E$21),MAX(0,MIN(Lists!E$21,$AG23)-MAX(Lists!E$22,$AF23))/($AG23-$AF23))+N($E23)*IF($AI23-$AH23&lt;1,($AH23&gt;Lists!E$22)*($AH23&lt;=Lists!E$21),MAX(0,MIN(Lists!E$21,$AI23)-MAX(Lists!E$22,$AH23))/($AI23-$AH23))+N($F23)*IF($AK23-$AJ23&lt;1,($AJ23&gt;Lists!E$22)*($AJ23&lt;=Lists!E$21),MAX(0,MIN(Lists!E$21,$AK23)-MAX(Lists!E$22,$AJ23))/($AK23-$AJ23))+N($G23)*IF($AM23-$AL23&lt;1,($AL23&gt;Lists!E$22)*($AL23&lt;=Lists!E$21),MAX(0,MIN(Lists!E$21,$AM23)-MAX(Lists!E$22,$AL23))/($AM23-$AL23))))))))</f>
        <v>0</v>
      </c>
      <c r="P23" s="53" t="n">
        <f aca="false">IF($H23=0,0,IF($AP23="X",0,IF($AP23="S",$H23/$AO23*(MIN($AO23,MAX(0,INT((Lists!F$21-N($J23))/7)+1))-MIN($AO23,MAX(0,INT((Lists!F$22-N($J23))/7)+1))),IF($AP23="D",$H23*MAX(0,MIN(Lists!F$21,N($J23)+$AO23)-MAX(Lists!F$22,N($J23)))/$AO23,IF($AP23="M",$H23/$AO23*(IF(Lists!F$21&lt;$J23,0,MIN($AO23,(((YEAR(Lists!F$21)-YEAR($J23))*12+MONTH(Lists!F$21)-MONTH($J23))-(EDATE($J23,((YEAR(Lists!F$21)-YEAR($J23))*12+MONTH(Lists!F$21)-MONTH($J23)))&gt;Lists!F$21)+1)))-IF(Lists!F$22&lt;$J23,0,MIN($AO23,(((YEAR(Lists!F$22)-YEAR($J23))*12+MONTH(Lists!F$22)-MONTH($J23))-(EDATE($J23,((YEAR(Lists!F$22)-YEAR($J23))*12+MONTH(Lists!F$22)-MONTH($J23)))&gt;Lists!F$22)+1)))),IF($AP23="F",IF(N($K23)&lt;=0,0,MIN(MAX(0,$H23),N($K23)*IF(Lists!F$21&lt;$J23,0,(((YEAR(Lists!F$21)-YEAR($J23))*12+MONTH(Lists!F$21)-MONTH($J23))-(EDATE($J23,((YEAR(Lists!F$21)-YEAR($J23))*12+MONTH(Lists!F$21)-MONTH($J23)))&gt;Lists!F$21)+1)))-MIN(MAX(0,$H23),N($K23)*IF(Lists!F$22&lt;$J23,0,(((YEAR(Lists!F$22)-YEAR($J23))*12+MONTH(Lists!F$22)-MONTH($J23))-(EDATE($J23,((YEAR(Lists!F$22)-YEAR($J23))*12+MONTH(Lists!F$22)-MONTH($J23)))&gt;Lists!F$22)+1)))),N($C23)*IF($AE23-$AD23&lt;1,($AD23&gt;Lists!F$22)*($AD23&lt;=Lists!F$21),MAX(0,MIN(Lists!F$21,$AE23)-MAX(Lists!F$22,$AD23))/($AE23-$AD23))+N($D23)*IF($AG23-$AF23&lt;1,($AF23&gt;Lists!F$22)*($AF23&lt;=Lists!F$21),MAX(0,MIN(Lists!F$21,$AG23)-MAX(Lists!F$22,$AF23))/($AG23-$AF23))+N($E23)*IF($AI23-$AH23&lt;1,($AH23&gt;Lists!F$22)*($AH23&lt;=Lists!F$21),MAX(0,MIN(Lists!F$21,$AI23)-MAX(Lists!F$22,$AH23))/($AI23-$AH23))+N($F23)*IF($AK23-$AJ23&lt;1,($AJ23&gt;Lists!F$22)*($AJ23&lt;=Lists!F$21),MAX(0,MIN(Lists!F$21,$AK23)-MAX(Lists!F$22,$AJ23))/($AK23-$AJ23))+N($G23)*IF($AM23-$AL23&lt;1,($AL23&gt;Lists!F$22)*($AL23&lt;=Lists!F$21),MAX(0,MIN(Lists!F$21,$AM23)-MAX(Lists!F$22,$AL23))/($AM23-$AL23))))))))</f>
        <v>0</v>
      </c>
      <c r="Q23" s="53" t="n">
        <f aca="false">IF($H23=0,0,IF($AP23="X",0,IF($AP23="S",$H23/$AO23*(MIN($AO23,MAX(0,INT((Lists!G$21-N($J23))/7)+1))-MIN($AO23,MAX(0,INT((Lists!G$22-N($J23))/7)+1))),IF($AP23="D",$H23*MAX(0,MIN(Lists!G$21,N($J23)+$AO23)-MAX(Lists!G$22,N($J23)))/$AO23,IF($AP23="M",$H23/$AO23*(IF(Lists!G$21&lt;$J23,0,MIN($AO23,(((YEAR(Lists!G$21)-YEAR($J23))*12+MONTH(Lists!G$21)-MONTH($J23))-(EDATE($J23,((YEAR(Lists!G$21)-YEAR($J23))*12+MONTH(Lists!G$21)-MONTH($J23)))&gt;Lists!G$21)+1)))-IF(Lists!G$22&lt;$J23,0,MIN($AO23,(((YEAR(Lists!G$22)-YEAR($J23))*12+MONTH(Lists!G$22)-MONTH($J23))-(EDATE($J23,((YEAR(Lists!G$22)-YEAR($J23))*12+MONTH(Lists!G$22)-MONTH($J23)))&gt;Lists!G$22)+1)))),IF($AP23="F",IF(N($K23)&lt;=0,0,MIN(MAX(0,$H23),N($K23)*IF(Lists!G$21&lt;$J23,0,(((YEAR(Lists!G$21)-YEAR($J23))*12+MONTH(Lists!G$21)-MONTH($J23))-(EDATE($J23,((YEAR(Lists!G$21)-YEAR($J23))*12+MONTH(Lists!G$21)-MONTH($J23)))&gt;Lists!G$21)+1)))-MIN(MAX(0,$H23),N($K23)*IF(Lists!G$22&lt;$J23,0,(((YEAR(Lists!G$22)-YEAR($J23))*12+MONTH(Lists!G$22)-MONTH($J23))-(EDATE($J23,((YEAR(Lists!G$22)-YEAR($J23))*12+MONTH(Lists!G$22)-MONTH($J23)))&gt;Lists!G$22)+1)))),N($C23)*IF($AE23-$AD23&lt;1,($AD23&gt;Lists!G$22)*($AD23&lt;=Lists!G$21),MAX(0,MIN(Lists!G$21,$AE23)-MAX(Lists!G$22,$AD23))/($AE23-$AD23))+N($D23)*IF($AG23-$AF23&lt;1,($AF23&gt;Lists!G$22)*($AF23&lt;=Lists!G$21),MAX(0,MIN(Lists!G$21,$AG23)-MAX(Lists!G$22,$AF23))/($AG23-$AF23))+N($E23)*IF($AI23-$AH23&lt;1,($AH23&gt;Lists!G$22)*($AH23&lt;=Lists!G$21),MAX(0,MIN(Lists!G$21,$AI23)-MAX(Lists!G$22,$AH23))/($AI23-$AH23))+N($F23)*IF($AK23-$AJ23&lt;1,($AJ23&gt;Lists!G$22)*($AJ23&lt;=Lists!G$21),MAX(0,MIN(Lists!G$21,$AK23)-MAX(Lists!G$22,$AJ23))/($AK23-$AJ23))+N($G23)*IF($AM23-$AL23&lt;1,($AL23&gt;Lists!G$22)*($AL23&lt;=Lists!G$21),MAX(0,MIN(Lists!G$21,$AM23)-MAX(Lists!G$22,$AL23))/($AM23-$AL23))))))))</f>
        <v>0</v>
      </c>
      <c r="R23" s="53" t="n">
        <f aca="false">IF($H23=0,0,IF($AP23="X",0,IF($AP23="S",$H23/$AO23*(MIN($AO23,MAX(0,INT((Lists!H$21-N($J23))/7)+1))-MIN($AO23,MAX(0,INT((Lists!H$22-N($J23))/7)+1))),IF($AP23="D",$H23*MAX(0,MIN(Lists!H$21,N($J23)+$AO23)-MAX(Lists!H$22,N($J23)))/$AO23,IF($AP23="M",$H23/$AO23*(IF(Lists!H$21&lt;$J23,0,MIN($AO23,(((YEAR(Lists!H$21)-YEAR($J23))*12+MONTH(Lists!H$21)-MONTH($J23))-(EDATE($J23,((YEAR(Lists!H$21)-YEAR($J23))*12+MONTH(Lists!H$21)-MONTH($J23)))&gt;Lists!H$21)+1)))-IF(Lists!H$22&lt;$J23,0,MIN($AO23,(((YEAR(Lists!H$22)-YEAR($J23))*12+MONTH(Lists!H$22)-MONTH($J23))-(EDATE($J23,((YEAR(Lists!H$22)-YEAR($J23))*12+MONTH(Lists!H$22)-MONTH($J23)))&gt;Lists!H$22)+1)))),IF($AP23="F",IF(N($K23)&lt;=0,0,MIN(MAX(0,$H23),N($K23)*IF(Lists!H$21&lt;$J23,0,(((YEAR(Lists!H$21)-YEAR($J23))*12+MONTH(Lists!H$21)-MONTH($J23))-(EDATE($J23,((YEAR(Lists!H$21)-YEAR($J23))*12+MONTH(Lists!H$21)-MONTH($J23)))&gt;Lists!H$21)+1)))-MIN(MAX(0,$H23),N($K23)*IF(Lists!H$22&lt;$J23,0,(((YEAR(Lists!H$22)-YEAR($J23))*12+MONTH(Lists!H$22)-MONTH($J23))-(EDATE($J23,((YEAR(Lists!H$22)-YEAR($J23))*12+MONTH(Lists!H$22)-MONTH($J23)))&gt;Lists!H$22)+1)))),N($C23)*IF($AE23-$AD23&lt;1,($AD23&gt;Lists!H$22)*($AD23&lt;=Lists!H$21),MAX(0,MIN(Lists!H$21,$AE23)-MAX(Lists!H$22,$AD23))/($AE23-$AD23))+N($D23)*IF($AG23-$AF23&lt;1,($AF23&gt;Lists!H$22)*($AF23&lt;=Lists!H$21),MAX(0,MIN(Lists!H$21,$AG23)-MAX(Lists!H$22,$AF23))/($AG23-$AF23))+N($E23)*IF($AI23-$AH23&lt;1,($AH23&gt;Lists!H$22)*($AH23&lt;=Lists!H$21),MAX(0,MIN(Lists!H$21,$AI23)-MAX(Lists!H$22,$AH23))/($AI23-$AH23))+N($F23)*IF($AK23-$AJ23&lt;1,($AJ23&gt;Lists!H$22)*($AJ23&lt;=Lists!H$21),MAX(0,MIN(Lists!H$21,$AK23)-MAX(Lists!H$22,$AJ23))/($AK23-$AJ23))+N($G23)*IF($AM23-$AL23&lt;1,($AL23&gt;Lists!H$22)*($AL23&lt;=Lists!H$21),MAX(0,MIN(Lists!H$21,$AM23)-MAX(Lists!H$22,$AL23))/($AM23-$AL23))))))))</f>
        <v>0</v>
      </c>
      <c r="S23" s="53" t="n">
        <f aca="false">IF($H23=0,0,IF($AP23="X",0,IF($AP23="S",$H23/$AO23*(MIN($AO23,MAX(0,INT((Lists!I$21-N($J23))/7)+1))-MIN($AO23,MAX(0,INT((Lists!I$22-N($J23))/7)+1))),IF($AP23="D",$H23*MAX(0,MIN(Lists!I$21,N($J23)+$AO23)-MAX(Lists!I$22,N($J23)))/$AO23,IF($AP23="M",$H23/$AO23*(IF(Lists!I$21&lt;$J23,0,MIN($AO23,(((YEAR(Lists!I$21)-YEAR($J23))*12+MONTH(Lists!I$21)-MONTH($J23))-(EDATE($J23,((YEAR(Lists!I$21)-YEAR($J23))*12+MONTH(Lists!I$21)-MONTH($J23)))&gt;Lists!I$21)+1)))-IF(Lists!I$22&lt;$J23,0,MIN($AO23,(((YEAR(Lists!I$22)-YEAR($J23))*12+MONTH(Lists!I$22)-MONTH($J23))-(EDATE($J23,((YEAR(Lists!I$22)-YEAR($J23))*12+MONTH(Lists!I$22)-MONTH($J23)))&gt;Lists!I$22)+1)))),IF($AP23="F",IF(N($K23)&lt;=0,0,MIN(MAX(0,$H23),N($K23)*IF(Lists!I$21&lt;$J23,0,(((YEAR(Lists!I$21)-YEAR($J23))*12+MONTH(Lists!I$21)-MONTH($J23))-(EDATE($J23,((YEAR(Lists!I$21)-YEAR($J23))*12+MONTH(Lists!I$21)-MONTH($J23)))&gt;Lists!I$21)+1)))-MIN(MAX(0,$H23),N($K23)*IF(Lists!I$22&lt;$J23,0,(((YEAR(Lists!I$22)-YEAR($J23))*12+MONTH(Lists!I$22)-MONTH($J23))-(EDATE($J23,((YEAR(Lists!I$22)-YEAR($J23))*12+MONTH(Lists!I$22)-MONTH($J23)))&gt;Lists!I$22)+1)))),N($C23)*IF($AE23-$AD23&lt;1,($AD23&gt;Lists!I$22)*($AD23&lt;=Lists!I$21),MAX(0,MIN(Lists!I$21,$AE23)-MAX(Lists!I$22,$AD23))/($AE23-$AD23))+N($D23)*IF($AG23-$AF23&lt;1,($AF23&gt;Lists!I$22)*($AF23&lt;=Lists!I$21),MAX(0,MIN(Lists!I$21,$AG23)-MAX(Lists!I$22,$AF23))/($AG23-$AF23))+N($E23)*IF($AI23-$AH23&lt;1,($AH23&gt;Lists!I$22)*($AH23&lt;=Lists!I$21),MAX(0,MIN(Lists!I$21,$AI23)-MAX(Lists!I$22,$AH23))/($AI23-$AH23))+N($F23)*IF($AK23-$AJ23&lt;1,($AJ23&gt;Lists!I$22)*($AJ23&lt;=Lists!I$21),MAX(0,MIN(Lists!I$21,$AK23)-MAX(Lists!I$22,$AJ23))/($AK23-$AJ23))+N($G23)*IF($AM23-$AL23&lt;1,($AL23&gt;Lists!I$22)*($AL23&lt;=Lists!I$21),MAX(0,MIN(Lists!I$21,$AM23)-MAX(Lists!I$22,$AL23))/($AM23-$AL23))))))))</f>
        <v>0</v>
      </c>
      <c r="T23" s="53" t="n">
        <f aca="false">IF($H23=0,0,IF($AP23="X",0,IF($AP23="S",$H23/$AO23*(MIN($AO23,MAX(0,INT((Lists!J$21-N($J23))/7)+1))-MIN($AO23,MAX(0,INT((Lists!J$22-N($J23))/7)+1))),IF($AP23="D",$H23*MAX(0,MIN(Lists!J$21,N($J23)+$AO23)-MAX(Lists!J$22,N($J23)))/$AO23,IF($AP23="M",$H23/$AO23*(IF(Lists!J$21&lt;$J23,0,MIN($AO23,(((YEAR(Lists!J$21)-YEAR($J23))*12+MONTH(Lists!J$21)-MONTH($J23))-(EDATE($J23,((YEAR(Lists!J$21)-YEAR($J23))*12+MONTH(Lists!J$21)-MONTH($J23)))&gt;Lists!J$21)+1)))-IF(Lists!J$22&lt;$J23,0,MIN($AO23,(((YEAR(Lists!J$22)-YEAR($J23))*12+MONTH(Lists!J$22)-MONTH($J23))-(EDATE($J23,((YEAR(Lists!J$22)-YEAR($J23))*12+MONTH(Lists!J$22)-MONTH($J23)))&gt;Lists!J$22)+1)))),IF($AP23="F",IF(N($K23)&lt;=0,0,MIN(MAX(0,$H23),N($K23)*IF(Lists!J$21&lt;$J23,0,(((YEAR(Lists!J$21)-YEAR($J23))*12+MONTH(Lists!J$21)-MONTH($J23))-(EDATE($J23,((YEAR(Lists!J$21)-YEAR($J23))*12+MONTH(Lists!J$21)-MONTH($J23)))&gt;Lists!J$21)+1)))-MIN(MAX(0,$H23),N($K23)*IF(Lists!J$22&lt;$J23,0,(((YEAR(Lists!J$22)-YEAR($J23))*12+MONTH(Lists!J$22)-MONTH($J23))-(EDATE($J23,((YEAR(Lists!J$22)-YEAR($J23))*12+MONTH(Lists!J$22)-MONTH($J23)))&gt;Lists!J$22)+1)))),N($C23)*IF($AE23-$AD23&lt;1,($AD23&gt;Lists!J$22)*($AD23&lt;=Lists!J$21),MAX(0,MIN(Lists!J$21,$AE23)-MAX(Lists!J$22,$AD23))/($AE23-$AD23))+N($D23)*IF($AG23-$AF23&lt;1,($AF23&gt;Lists!J$22)*($AF23&lt;=Lists!J$21),MAX(0,MIN(Lists!J$21,$AG23)-MAX(Lists!J$22,$AF23))/($AG23-$AF23))+N($E23)*IF($AI23-$AH23&lt;1,($AH23&gt;Lists!J$22)*($AH23&lt;=Lists!J$21),MAX(0,MIN(Lists!J$21,$AI23)-MAX(Lists!J$22,$AH23))/($AI23-$AH23))+N($F23)*IF($AK23-$AJ23&lt;1,($AJ23&gt;Lists!J$22)*($AJ23&lt;=Lists!J$21),MAX(0,MIN(Lists!J$21,$AK23)-MAX(Lists!J$22,$AJ23))/($AK23-$AJ23))+N($G23)*IF($AM23-$AL23&lt;1,($AL23&gt;Lists!J$22)*($AL23&lt;=Lists!J$21),MAX(0,MIN(Lists!J$21,$AM23)-MAX(Lists!J$22,$AL23))/($AM23-$AL23))))))))</f>
        <v>0</v>
      </c>
      <c r="U23" s="53" t="n">
        <f aca="false">IF($H23=0,0,IF($AP23="X",0,IF($AP23="S",$H23/$AO23*(MIN($AO23,MAX(0,INT((Lists!K$21-N($J23))/7)+1))-MIN($AO23,MAX(0,INT((Lists!K$22-N($J23))/7)+1))),IF($AP23="D",$H23*MAX(0,MIN(Lists!K$21,N($J23)+$AO23)-MAX(Lists!K$22,N($J23)))/$AO23,IF($AP23="M",$H23/$AO23*(IF(Lists!K$21&lt;$J23,0,MIN($AO23,(((YEAR(Lists!K$21)-YEAR($J23))*12+MONTH(Lists!K$21)-MONTH($J23))-(EDATE($J23,((YEAR(Lists!K$21)-YEAR($J23))*12+MONTH(Lists!K$21)-MONTH($J23)))&gt;Lists!K$21)+1)))-IF(Lists!K$22&lt;$J23,0,MIN($AO23,(((YEAR(Lists!K$22)-YEAR($J23))*12+MONTH(Lists!K$22)-MONTH($J23))-(EDATE($J23,((YEAR(Lists!K$22)-YEAR($J23))*12+MONTH(Lists!K$22)-MONTH($J23)))&gt;Lists!K$22)+1)))),IF($AP23="F",IF(N($K23)&lt;=0,0,MIN(MAX(0,$H23),N($K23)*IF(Lists!K$21&lt;$J23,0,(((YEAR(Lists!K$21)-YEAR($J23))*12+MONTH(Lists!K$21)-MONTH($J23))-(EDATE($J23,((YEAR(Lists!K$21)-YEAR($J23))*12+MONTH(Lists!K$21)-MONTH($J23)))&gt;Lists!K$21)+1)))-MIN(MAX(0,$H23),N($K23)*IF(Lists!K$22&lt;$J23,0,(((YEAR(Lists!K$22)-YEAR($J23))*12+MONTH(Lists!K$22)-MONTH($J23))-(EDATE($J23,((YEAR(Lists!K$22)-YEAR($J23))*12+MONTH(Lists!K$22)-MONTH($J23)))&gt;Lists!K$22)+1)))),N($C23)*IF($AE23-$AD23&lt;1,($AD23&gt;Lists!K$22)*($AD23&lt;=Lists!K$21),MAX(0,MIN(Lists!K$21,$AE23)-MAX(Lists!K$22,$AD23))/($AE23-$AD23))+N($D23)*IF($AG23-$AF23&lt;1,($AF23&gt;Lists!K$22)*($AF23&lt;=Lists!K$21),MAX(0,MIN(Lists!K$21,$AG23)-MAX(Lists!K$22,$AF23))/($AG23-$AF23))+N($E23)*IF($AI23-$AH23&lt;1,($AH23&gt;Lists!K$22)*($AH23&lt;=Lists!K$21),MAX(0,MIN(Lists!K$21,$AI23)-MAX(Lists!K$22,$AH23))/($AI23-$AH23))+N($F23)*IF($AK23-$AJ23&lt;1,($AJ23&gt;Lists!K$22)*($AJ23&lt;=Lists!K$21),MAX(0,MIN(Lists!K$21,$AK23)-MAX(Lists!K$22,$AJ23))/($AK23-$AJ23))+N($G23)*IF($AM23-$AL23&lt;1,($AL23&gt;Lists!K$22)*($AL23&lt;=Lists!K$21),MAX(0,MIN(Lists!K$21,$AM23)-MAX(Lists!K$22,$AL23))/($AM23-$AL23))))))))</f>
        <v>0</v>
      </c>
      <c r="V23" s="53" t="n">
        <f aca="false">IF($H23=0,0,IF($AP23="X",0,IF($AP23="S",$H23/$AO23*(MIN($AO23,MAX(0,INT((Lists!L$21-N($J23))/7)+1))-MIN($AO23,MAX(0,INT((Lists!L$22-N($J23))/7)+1))),IF($AP23="D",$H23*MAX(0,MIN(Lists!L$21,N($J23)+$AO23)-MAX(Lists!L$22,N($J23)))/$AO23,IF($AP23="M",$H23/$AO23*(IF(Lists!L$21&lt;$J23,0,MIN($AO23,(((YEAR(Lists!L$21)-YEAR($J23))*12+MONTH(Lists!L$21)-MONTH($J23))-(EDATE($J23,((YEAR(Lists!L$21)-YEAR($J23))*12+MONTH(Lists!L$21)-MONTH($J23)))&gt;Lists!L$21)+1)))-IF(Lists!L$22&lt;$J23,0,MIN($AO23,(((YEAR(Lists!L$22)-YEAR($J23))*12+MONTH(Lists!L$22)-MONTH($J23))-(EDATE($J23,((YEAR(Lists!L$22)-YEAR($J23))*12+MONTH(Lists!L$22)-MONTH($J23)))&gt;Lists!L$22)+1)))),IF($AP23="F",IF(N($K23)&lt;=0,0,MIN(MAX(0,$H23),N($K23)*IF(Lists!L$21&lt;$J23,0,(((YEAR(Lists!L$21)-YEAR($J23))*12+MONTH(Lists!L$21)-MONTH($J23))-(EDATE($J23,((YEAR(Lists!L$21)-YEAR($J23))*12+MONTH(Lists!L$21)-MONTH($J23)))&gt;Lists!L$21)+1)))-MIN(MAX(0,$H23),N($K23)*IF(Lists!L$22&lt;$J23,0,(((YEAR(Lists!L$22)-YEAR($J23))*12+MONTH(Lists!L$22)-MONTH($J23))-(EDATE($J23,((YEAR(Lists!L$22)-YEAR($J23))*12+MONTH(Lists!L$22)-MONTH($J23)))&gt;Lists!L$22)+1)))),N($C23)*IF($AE23-$AD23&lt;1,($AD23&gt;Lists!L$22)*($AD23&lt;=Lists!L$21),MAX(0,MIN(Lists!L$21,$AE23)-MAX(Lists!L$22,$AD23))/($AE23-$AD23))+N($D23)*IF($AG23-$AF23&lt;1,($AF23&gt;Lists!L$22)*($AF23&lt;=Lists!L$21),MAX(0,MIN(Lists!L$21,$AG23)-MAX(Lists!L$22,$AF23))/($AG23-$AF23))+N($E23)*IF($AI23-$AH23&lt;1,($AH23&gt;Lists!L$22)*($AH23&lt;=Lists!L$21),MAX(0,MIN(Lists!L$21,$AI23)-MAX(Lists!L$22,$AH23))/($AI23-$AH23))+N($F23)*IF($AK23-$AJ23&lt;1,($AJ23&gt;Lists!L$22)*($AJ23&lt;=Lists!L$21),MAX(0,MIN(Lists!L$21,$AK23)-MAX(Lists!L$22,$AJ23))/($AK23-$AJ23))+N($G23)*IF($AM23-$AL23&lt;1,($AL23&gt;Lists!L$22)*($AL23&lt;=Lists!L$21),MAX(0,MIN(Lists!L$21,$AM23)-MAX(Lists!L$22,$AL23))/($AM23-$AL23))))))))</f>
        <v>0</v>
      </c>
      <c r="W23" s="53" t="n">
        <f aca="false">IF($H23=0,0,IF($AP23="X",0,IF($AP23="S",$H23/$AO23*(MIN($AO23,MAX(0,INT((Lists!M$21-N($J23))/7)+1))-MIN($AO23,MAX(0,INT((Lists!M$22-N($J23))/7)+1))),IF($AP23="D",$H23*MAX(0,MIN(Lists!M$21,N($J23)+$AO23)-MAX(Lists!M$22,N($J23)))/$AO23,IF($AP23="M",$H23/$AO23*(IF(Lists!M$21&lt;$J23,0,MIN($AO23,(((YEAR(Lists!M$21)-YEAR($J23))*12+MONTH(Lists!M$21)-MONTH($J23))-(EDATE($J23,((YEAR(Lists!M$21)-YEAR($J23))*12+MONTH(Lists!M$21)-MONTH($J23)))&gt;Lists!M$21)+1)))-IF(Lists!M$22&lt;$J23,0,MIN($AO23,(((YEAR(Lists!M$22)-YEAR($J23))*12+MONTH(Lists!M$22)-MONTH($J23))-(EDATE($J23,((YEAR(Lists!M$22)-YEAR($J23))*12+MONTH(Lists!M$22)-MONTH($J23)))&gt;Lists!M$22)+1)))),IF($AP23="F",IF(N($K23)&lt;=0,0,MIN(MAX(0,$H23),N($K23)*IF(Lists!M$21&lt;$J23,0,(((YEAR(Lists!M$21)-YEAR($J23))*12+MONTH(Lists!M$21)-MONTH($J23))-(EDATE($J23,((YEAR(Lists!M$21)-YEAR($J23))*12+MONTH(Lists!M$21)-MONTH($J23)))&gt;Lists!M$21)+1)))-MIN(MAX(0,$H23),N($K23)*IF(Lists!M$22&lt;$J23,0,(((YEAR(Lists!M$22)-YEAR($J23))*12+MONTH(Lists!M$22)-MONTH($J23))-(EDATE($J23,((YEAR(Lists!M$22)-YEAR($J23))*12+MONTH(Lists!M$22)-MONTH($J23)))&gt;Lists!M$22)+1)))),N($C23)*IF($AE23-$AD23&lt;1,($AD23&gt;Lists!M$22)*($AD23&lt;=Lists!M$21),MAX(0,MIN(Lists!M$21,$AE23)-MAX(Lists!M$22,$AD23))/($AE23-$AD23))+N($D23)*IF($AG23-$AF23&lt;1,($AF23&gt;Lists!M$22)*($AF23&lt;=Lists!M$21),MAX(0,MIN(Lists!M$21,$AG23)-MAX(Lists!M$22,$AF23))/($AG23-$AF23))+N($E23)*IF($AI23-$AH23&lt;1,($AH23&gt;Lists!M$22)*($AH23&lt;=Lists!M$21),MAX(0,MIN(Lists!M$21,$AI23)-MAX(Lists!M$22,$AH23))/($AI23-$AH23))+N($F23)*IF($AK23-$AJ23&lt;1,($AJ23&gt;Lists!M$22)*($AJ23&lt;=Lists!M$21),MAX(0,MIN(Lists!M$21,$AK23)-MAX(Lists!M$22,$AJ23))/($AK23-$AJ23))+N($G23)*IF($AM23-$AL23&lt;1,($AL23&gt;Lists!M$22)*($AL23&lt;=Lists!M$21),MAX(0,MIN(Lists!M$21,$AM23)-MAX(Lists!M$22,$AL23))/($AM23-$AL23))))))))</f>
        <v>0</v>
      </c>
      <c r="X23" s="53" t="n">
        <f aca="false">IF($H23=0,0,IF($AP23="X",0,IF($AP23="S",$H23/$AO23*(MIN($AO23,MAX(0,INT((Lists!N$21-N($J23))/7)+1))-MIN($AO23,MAX(0,INT((Lists!N$22-N($J23))/7)+1))),IF($AP23="D",$H23*MAX(0,MIN(Lists!N$21,N($J23)+$AO23)-MAX(Lists!N$22,N($J23)))/$AO23,IF($AP23="M",$H23/$AO23*(IF(Lists!N$21&lt;$J23,0,MIN($AO23,(((YEAR(Lists!N$21)-YEAR($J23))*12+MONTH(Lists!N$21)-MONTH($J23))-(EDATE($J23,((YEAR(Lists!N$21)-YEAR($J23))*12+MONTH(Lists!N$21)-MONTH($J23)))&gt;Lists!N$21)+1)))-IF(Lists!N$22&lt;$J23,0,MIN($AO23,(((YEAR(Lists!N$22)-YEAR($J23))*12+MONTH(Lists!N$22)-MONTH($J23))-(EDATE($J23,((YEAR(Lists!N$22)-YEAR($J23))*12+MONTH(Lists!N$22)-MONTH($J23)))&gt;Lists!N$22)+1)))),IF($AP23="F",IF(N($K23)&lt;=0,0,MIN(MAX(0,$H23),N($K23)*IF(Lists!N$21&lt;$J23,0,(((YEAR(Lists!N$21)-YEAR($J23))*12+MONTH(Lists!N$21)-MONTH($J23))-(EDATE($J23,((YEAR(Lists!N$21)-YEAR($J23))*12+MONTH(Lists!N$21)-MONTH($J23)))&gt;Lists!N$21)+1)))-MIN(MAX(0,$H23),N($K23)*IF(Lists!N$22&lt;$J23,0,(((YEAR(Lists!N$22)-YEAR($J23))*12+MONTH(Lists!N$22)-MONTH($J23))-(EDATE($J23,((YEAR(Lists!N$22)-YEAR($J23))*12+MONTH(Lists!N$22)-MONTH($J23)))&gt;Lists!N$22)+1)))),N($C23)*IF($AE23-$AD23&lt;1,($AD23&gt;Lists!N$22)*($AD23&lt;=Lists!N$21),MAX(0,MIN(Lists!N$21,$AE23)-MAX(Lists!N$22,$AD23))/($AE23-$AD23))+N($D23)*IF($AG23-$AF23&lt;1,($AF23&gt;Lists!N$22)*($AF23&lt;=Lists!N$21),MAX(0,MIN(Lists!N$21,$AG23)-MAX(Lists!N$22,$AF23))/($AG23-$AF23))+N($E23)*IF($AI23-$AH23&lt;1,($AH23&gt;Lists!N$22)*($AH23&lt;=Lists!N$21),MAX(0,MIN(Lists!N$21,$AI23)-MAX(Lists!N$22,$AH23))/($AI23-$AH23))+N($F23)*IF($AK23-$AJ23&lt;1,($AJ23&gt;Lists!N$22)*($AJ23&lt;=Lists!N$21),MAX(0,MIN(Lists!N$21,$AK23)-MAX(Lists!N$22,$AJ23))/($AK23-$AJ23))+N($G23)*IF($AM23-$AL23&lt;1,($AL23&gt;Lists!N$22)*($AL23&lt;=Lists!N$21),MAX(0,MIN(Lists!N$21,$AM23)-MAX(Lists!N$22,$AL23))/($AM23-$AL23))))))))</f>
        <v>0</v>
      </c>
      <c r="Y23" s="53" t="n">
        <f aca="false">IF($H23=0,0,IF($AP23="X",0,IF($AP23="S",$H23/$AO23*(MIN($AO23,MAX(0,INT((Lists!O$21-N($J23))/7)+1))-MIN($AO23,MAX(0,INT((Lists!O$22-N($J23))/7)+1))),IF($AP23="D",$H23*MAX(0,MIN(Lists!O$21,N($J23)+$AO23)-MAX(Lists!O$22,N($J23)))/$AO23,IF($AP23="M",$H23/$AO23*(IF(Lists!O$21&lt;$J23,0,MIN($AO23,(((YEAR(Lists!O$21)-YEAR($J23))*12+MONTH(Lists!O$21)-MONTH($J23))-(EDATE($J23,((YEAR(Lists!O$21)-YEAR($J23))*12+MONTH(Lists!O$21)-MONTH($J23)))&gt;Lists!O$21)+1)))-IF(Lists!O$22&lt;$J23,0,MIN($AO23,(((YEAR(Lists!O$22)-YEAR($J23))*12+MONTH(Lists!O$22)-MONTH($J23))-(EDATE($J23,((YEAR(Lists!O$22)-YEAR($J23))*12+MONTH(Lists!O$22)-MONTH($J23)))&gt;Lists!O$22)+1)))),IF($AP23="F",IF(N($K23)&lt;=0,0,MIN(MAX(0,$H23),N($K23)*IF(Lists!O$21&lt;$J23,0,(((YEAR(Lists!O$21)-YEAR($J23))*12+MONTH(Lists!O$21)-MONTH($J23))-(EDATE($J23,((YEAR(Lists!O$21)-YEAR($J23))*12+MONTH(Lists!O$21)-MONTH($J23)))&gt;Lists!O$21)+1)))-MIN(MAX(0,$H23),N($K23)*IF(Lists!O$22&lt;$J23,0,(((YEAR(Lists!O$22)-YEAR($J23))*12+MONTH(Lists!O$22)-MONTH($J23))-(EDATE($J23,((YEAR(Lists!O$22)-YEAR($J23))*12+MONTH(Lists!O$22)-MONTH($J23)))&gt;Lists!O$22)+1)))),N($C23)*IF($AE23-$AD23&lt;1,($AD23&gt;Lists!O$22)*($AD23&lt;=Lists!O$21),MAX(0,MIN(Lists!O$21,$AE23)-MAX(Lists!O$22,$AD23))/($AE23-$AD23))+N($D23)*IF($AG23-$AF23&lt;1,($AF23&gt;Lists!O$22)*($AF23&lt;=Lists!O$21),MAX(0,MIN(Lists!O$21,$AG23)-MAX(Lists!O$22,$AF23))/($AG23-$AF23))+N($E23)*IF($AI23-$AH23&lt;1,($AH23&gt;Lists!O$22)*($AH23&lt;=Lists!O$21),MAX(0,MIN(Lists!O$21,$AI23)-MAX(Lists!O$22,$AH23))/($AI23-$AH23))+N($F23)*IF($AK23-$AJ23&lt;1,($AJ23&gt;Lists!O$22)*($AJ23&lt;=Lists!O$21),MAX(0,MIN(Lists!O$21,$AK23)-MAX(Lists!O$22,$AJ23))/($AK23-$AJ23))+N($G23)*IF($AM23-$AL23&lt;1,($AL23&gt;Lists!O$22)*($AL23&lt;=Lists!O$21),MAX(0,MIN(Lists!O$21,$AM23)-MAX(Lists!O$22,$AL23))/($AM23-$AL23))))))))</f>
        <v>0</v>
      </c>
      <c r="Z23" s="46" t="n">
        <f aca="false">SUM(M23:Y23)</f>
        <v>0</v>
      </c>
      <c r="AA23" s="92" t="n">
        <f aca="false">H23-Z23</f>
        <v>0</v>
      </c>
      <c r="AB23" s="55"/>
      <c r="AC23" s="2"/>
      <c r="AD23" s="93" t="n">
        <f aca="false">Setup!$D$10+MAX(0,$AN23-30)</f>
        <v>46365</v>
      </c>
      <c r="AE23" s="93" t="n">
        <f aca="false">Setup!$D$10+IF($AN23-30&lt;0,MAX(Setup!$D$22,$AN23-0),$AN23-0)</f>
        <v>46395</v>
      </c>
      <c r="AF23" s="93" t="n">
        <f aca="false">Setup!$D$10+MAX(0,$AN23-60)</f>
        <v>46335</v>
      </c>
      <c r="AG23" s="93" t="n">
        <f aca="false">Setup!$D$10+IF($AN23-60&lt;0,MAX(Setup!$D$22,$AN23-31),$AN23-31)</f>
        <v>46364</v>
      </c>
      <c r="AH23" s="93" t="n">
        <f aca="false">Setup!$D$10+MAX(0,$AN23-90)</f>
        <v>46335</v>
      </c>
      <c r="AI23" s="93" t="n">
        <f aca="false">Setup!$D$10+IF($AN23-90&lt;0,MAX(Setup!$D$22,$AN23-61),$AN23-61)</f>
        <v>46363</v>
      </c>
      <c r="AJ23" s="93" t="n">
        <f aca="false">Setup!$D$10+MAX(0,$AN23-120)</f>
        <v>46335</v>
      </c>
      <c r="AK23" s="93" t="n">
        <f aca="false">Setup!$D$10+IF($AN23-120&lt;0,MAX(Setup!$D$22,$AN23-91),$AN23-91)</f>
        <v>46363</v>
      </c>
      <c r="AL23" s="93" t="n">
        <f aca="false">IF(Setup!$D$23="Yes",2958465,Setup!$D$10)</f>
        <v>2958465</v>
      </c>
      <c r="AM23" s="93" t="n">
        <f aca="false">IF(AL23=2958465,AL23,Setup!$D$10+Setup!$D$22)</f>
        <v>2958465</v>
      </c>
      <c r="AN23" s="94" t="n">
        <f aca="false">IF(N(L23)=0,Setup!$D$20,L23)</f>
        <v>60</v>
      </c>
      <c r="AO23" s="94" t="n">
        <f aca="false">MAX(1,ROUND(N(K23),0))</f>
        <v>1</v>
      </c>
      <c r="AP23" s="95" t="str">
        <f aca="false">IF(I23="Doubtful","X",IF(N(J23)=0,"A",IF(I23="Specific date","S",IF(I23="Spread over days","D",IF(I23="Monthly on set day","M",IF(I23="Monthly fixed amount","F","A"))))))</f>
        <v>A</v>
      </c>
    </row>
    <row r="24" customFormat="false" ht="15" hidden="false" customHeight="false" outlineLevel="0" collapsed="false">
      <c r="A24" s="87" t="n">
        <v>16</v>
      </c>
      <c r="B24" s="55"/>
      <c r="C24" s="88"/>
      <c r="D24" s="88"/>
      <c r="E24" s="88"/>
      <c r="F24" s="88"/>
      <c r="G24" s="88"/>
      <c r="H24" s="89" t="n">
        <f aca="false">SUM(C24:G24)</f>
        <v>0</v>
      </c>
      <c r="I24" s="58"/>
      <c r="J24" s="90"/>
      <c r="K24" s="91"/>
      <c r="L24" s="80"/>
      <c r="M24" s="53" t="n">
        <f aca="false">IF($H24=0,0,IF($AP24="X",0,IF($AP24="S",$H24/$AO24*(MIN($AO24,MAX(0,INT((Lists!C$21-N($J24))/7)+1))-MIN($AO24,MAX(0,INT((Lists!C$22-N($J24))/7)+1))),IF($AP24="D",$H24*MAX(0,MIN(Lists!C$21,N($J24)+$AO24)-MAX(Lists!C$22,N($J24)))/$AO24,IF($AP24="M",$H24/$AO24*(IF(Lists!C$21&lt;$J24,0,MIN($AO24,(((YEAR(Lists!C$21)-YEAR($J24))*12+MONTH(Lists!C$21)-MONTH($J24))-(EDATE($J24,((YEAR(Lists!C$21)-YEAR($J24))*12+MONTH(Lists!C$21)-MONTH($J24)))&gt;Lists!C$21)+1)))-IF(Lists!C$22&lt;$J24,0,MIN($AO24,(((YEAR(Lists!C$22)-YEAR($J24))*12+MONTH(Lists!C$22)-MONTH($J24))-(EDATE($J24,((YEAR(Lists!C$22)-YEAR($J24))*12+MONTH(Lists!C$22)-MONTH($J24)))&gt;Lists!C$22)+1)))),IF($AP24="F",IF(N($K24)&lt;=0,0,MIN(MAX(0,$H24),N($K24)*IF(Lists!C$21&lt;$J24,0,(((YEAR(Lists!C$21)-YEAR($J24))*12+MONTH(Lists!C$21)-MONTH($J24))-(EDATE($J24,((YEAR(Lists!C$21)-YEAR($J24))*12+MONTH(Lists!C$21)-MONTH($J24)))&gt;Lists!C$21)+1)))-MIN(MAX(0,$H24),N($K24)*IF(Lists!C$22&lt;$J24,0,(((YEAR(Lists!C$22)-YEAR($J24))*12+MONTH(Lists!C$22)-MONTH($J24))-(EDATE($J24,((YEAR(Lists!C$22)-YEAR($J24))*12+MONTH(Lists!C$22)-MONTH($J24)))&gt;Lists!C$22)+1)))),N($C24)*IF($AE24-$AD24&lt;1,($AD24&gt;Lists!C$22)*($AD24&lt;=Lists!C$21),MAX(0,MIN(Lists!C$21,$AE24)-MAX(Lists!C$22,$AD24))/($AE24-$AD24))+N($D24)*IF($AG24-$AF24&lt;1,($AF24&gt;Lists!C$22)*($AF24&lt;=Lists!C$21),MAX(0,MIN(Lists!C$21,$AG24)-MAX(Lists!C$22,$AF24))/($AG24-$AF24))+N($E24)*IF($AI24-$AH24&lt;1,($AH24&gt;Lists!C$22)*($AH24&lt;=Lists!C$21),MAX(0,MIN(Lists!C$21,$AI24)-MAX(Lists!C$22,$AH24))/($AI24-$AH24))+N($F24)*IF($AK24-$AJ24&lt;1,($AJ24&gt;Lists!C$22)*($AJ24&lt;=Lists!C$21),MAX(0,MIN(Lists!C$21,$AK24)-MAX(Lists!C$22,$AJ24))/($AK24-$AJ24))+N($G24)*IF($AM24-$AL24&lt;1,($AL24&gt;Lists!C$22)*($AL24&lt;=Lists!C$21),MAX(0,MIN(Lists!C$21,$AM24)-MAX(Lists!C$22,$AL24))/($AM24-$AL24))))))))</f>
        <v>0</v>
      </c>
      <c r="N24" s="53" t="n">
        <f aca="false">IF($H24=0,0,IF($AP24="X",0,IF($AP24="S",$H24/$AO24*(MIN($AO24,MAX(0,INT((Lists!D$21-N($J24))/7)+1))-MIN($AO24,MAX(0,INT((Lists!D$22-N($J24))/7)+1))),IF($AP24="D",$H24*MAX(0,MIN(Lists!D$21,N($J24)+$AO24)-MAX(Lists!D$22,N($J24)))/$AO24,IF($AP24="M",$H24/$AO24*(IF(Lists!D$21&lt;$J24,0,MIN($AO24,(((YEAR(Lists!D$21)-YEAR($J24))*12+MONTH(Lists!D$21)-MONTH($J24))-(EDATE($J24,((YEAR(Lists!D$21)-YEAR($J24))*12+MONTH(Lists!D$21)-MONTH($J24)))&gt;Lists!D$21)+1)))-IF(Lists!D$22&lt;$J24,0,MIN($AO24,(((YEAR(Lists!D$22)-YEAR($J24))*12+MONTH(Lists!D$22)-MONTH($J24))-(EDATE($J24,((YEAR(Lists!D$22)-YEAR($J24))*12+MONTH(Lists!D$22)-MONTH($J24)))&gt;Lists!D$22)+1)))),IF($AP24="F",IF(N($K24)&lt;=0,0,MIN(MAX(0,$H24),N($K24)*IF(Lists!D$21&lt;$J24,0,(((YEAR(Lists!D$21)-YEAR($J24))*12+MONTH(Lists!D$21)-MONTH($J24))-(EDATE($J24,((YEAR(Lists!D$21)-YEAR($J24))*12+MONTH(Lists!D$21)-MONTH($J24)))&gt;Lists!D$21)+1)))-MIN(MAX(0,$H24),N($K24)*IF(Lists!D$22&lt;$J24,0,(((YEAR(Lists!D$22)-YEAR($J24))*12+MONTH(Lists!D$22)-MONTH($J24))-(EDATE($J24,((YEAR(Lists!D$22)-YEAR($J24))*12+MONTH(Lists!D$22)-MONTH($J24)))&gt;Lists!D$22)+1)))),N($C24)*IF($AE24-$AD24&lt;1,($AD24&gt;Lists!D$22)*($AD24&lt;=Lists!D$21),MAX(0,MIN(Lists!D$21,$AE24)-MAX(Lists!D$22,$AD24))/($AE24-$AD24))+N($D24)*IF($AG24-$AF24&lt;1,($AF24&gt;Lists!D$22)*($AF24&lt;=Lists!D$21),MAX(0,MIN(Lists!D$21,$AG24)-MAX(Lists!D$22,$AF24))/($AG24-$AF24))+N($E24)*IF($AI24-$AH24&lt;1,($AH24&gt;Lists!D$22)*($AH24&lt;=Lists!D$21),MAX(0,MIN(Lists!D$21,$AI24)-MAX(Lists!D$22,$AH24))/($AI24-$AH24))+N($F24)*IF($AK24-$AJ24&lt;1,($AJ24&gt;Lists!D$22)*($AJ24&lt;=Lists!D$21),MAX(0,MIN(Lists!D$21,$AK24)-MAX(Lists!D$22,$AJ24))/($AK24-$AJ24))+N($G24)*IF($AM24-$AL24&lt;1,($AL24&gt;Lists!D$22)*($AL24&lt;=Lists!D$21),MAX(0,MIN(Lists!D$21,$AM24)-MAX(Lists!D$22,$AL24))/($AM24-$AL24))))))))</f>
        <v>0</v>
      </c>
      <c r="O24" s="53" t="n">
        <f aca="false">IF($H24=0,0,IF($AP24="X",0,IF($AP24="S",$H24/$AO24*(MIN($AO24,MAX(0,INT((Lists!E$21-N($J24))/7)+1))-MIN($AO24,MAX(0,INT((Lists!E$22-N($J24))/7)+1))),IF($AP24="D",$H24*MAX(0,MIN(Lists!E$21,N($J24)+$AO24)-MAX(Lists!E$22,N($J24)))/$AO24,IF($AP24="M",$H24/$AO24*(IF(Lists!E$21&lt;$J24,0,MIN($AO24,(((YEAR(Lists!E$21)-YEAR($J24))*12+MONTH(Lists!E$21)-MONTH($J24))-(EDATE($J24,((YEAR(Lists!E$21)-YEAR($J24))*12+MONTH(Lists!E$21)-MONTH($J24)))&gt;Lists!E$21)+1)))-IF(Lists!E$22&lt;$J24,0,MIN($AO24,(((YEAR(Lists!E$22)-YEAR($J24))*12+MONTH(Lists!E$22)-MONTH($J24))-(EDATE($J24,((YEAR(Lists!E$22)-YEAR($J24))*12+MONTH(Lists!E$22)-MONTH($J24)))&gt;Lists!E$22)+1)))),IF($AP24="F",IF(N($K24)&lt;=0,0,MIN(MAX(0,$H24),N($K24)*IF(Lists!E$21&lt;$J24,0,(((YEAR(Lists!E$21)-YEAR($J24))*12+MONTH(Lists!E$21)-MONTH($J24))-(EDATE($J24,((YEAR(Lists!E$21)-YEAR($J24))*12+MONTH(Lists!E$21)-MONTH($J24)))&gt;Lists!E$21)+1)))-MIN(MAX(0,$H24),N($K24)*IF(Lists!E$22&lt;$J24,0,(((YEAR(Lists!E$22)-YEAR($J24))*12+MONTH(Lists!E$22)-MONTH($J24))-(EDATE($J24,((YEAR(Lists!E$22)-YEAR($J24))*12+MONTH(Lists!E$22)-MONTH($J24)))&gt;Lists!E$22)+1)))),N($C24)*IF($AE24-$AD24&lt;1,($AD24&gt;Lists!E$22)*($AD24&lt;=Lists!E$21),MAX(0,MIN(Lists!E$21,$AE24)-MAX(Lists!E$22,$AD24))/($AE24-$AD24))+N($D24)*IF($AG24-$AF24&lt;1,($AF24&gt;Lists!E$22)*($AF24&lt;=Lists!E$21),MAX(0,MIN(Lists!E$21,$AG24)-MAX(Lists!E$22,$AF24))/($AG24-$AF24))+N($E24)*IF($AI24-$AH24&lt;1,($AH24&gt;Lists!E$22)*($AH24&lt;=Lists!E$21),MAX(0,MIN(Lists!E$21,$AI24)-MAX(Lists!E$22,$AH24))/($AI24-$AH24))+N($F24)*IF($AK24-$AJ24&lt;1,($AJ24&gt;Lists!E$22)*($AJ24&lt;=Lists!E$21),MAX(0,MIN(Lists!E$21,$AK24)-MAX(Lists!E$22,$AJ24))/($AK24-$AJ24))+N($G24)*IF($AM24-$AL24&lt;1,($AL24&gt;Lists!E$22)*($AL24&lt;=Lists!E$21),MAX(0,MIN(Lists!E$21,$AM24)-MAX(Lists!E$22,$AL24))/($AM24-$AL24))))))))</f>
        <v>0</v>
      </c>
      <c r="P24" s="53" t="n">
        <f aca="false">IF($H24=0,0,IF($AP24="X",0,IF($AP24="S",$H24/$AO24*(MIN($AO24,MAX(0,INT((Lists!F$21-N($J24))/7)+1))-MIN($AO24,MAX(0,INT((Lists!F$22-N($J24))/7)+1))),IF($AP24="D",$H24*MAX(0,MIN(Lists!F$21,N($J24)+$AO24)-MAX(Lists!F$22,N($J24)))/$AO24,IF($AP24="M",$H24/$AO24*(IF(Lists!F$21&lt;$J24,0,MIN($AO24,(((YEAR(Lists!F$21)-YEAR($J24))*12+MONTH(Lists!F$21)-MONTH($J24))-(EDATE($J24,((YEAR(Lists!F$21)-YEAR($J24))*12+MONTH(Lists!F$21)-MONTH($J24)))&gt;Lists!F$21)+1)))-IF(Lists!F$22&lt;$J24,0,MIN($AO24,(((YEAR(Lists!F$22)-YEAR($J24))*12+MONTH(Lists!F$22)-MONTH($J24))-(EDATE($J24,((YEAR(Lists!F$22)-YEAR($J24))*12+MONTH(Lists!F$22)-MONTH($J24)))&gt;Lists!F$22)+1)))),IF($AP24="F",IF(N($K24)&lt;=0,0,MIN(MAX(0,$H24),N($K24)*IF(Lists!F$21&lt;$J24,0,(((YEAR(Lists!F$21)-YEAR($J24))*12+MONTH(Lists!F$21)-MONTH($J24))-(EDATE($J24,((YEAR(Lists!F$21)-YEAR($J24))*12+MONTH(Lists!F$21)-MONTH($J24)))&gt;Lists!F$21)+1)))-MIN(MAX(0,$H24),N($K24)*IF(Lists!F$22&lt;$J24,0,(((YEAR(Lists!F$22)-YEAR($J24))*12+MONTH(Lists!F$22)-MONTH($J24))-(EDATE($J24,((YEAR(Lists!F$22)-YEAR($J24))*12+MONTH(Lists!F$22)-MONTH($J24)))&gt;Lists!F$22)+1)))),N($C24)*IF($AE24-$AD24&lt;1,($AD24&gt;Lists!F$22)*($AD24&lt;=Lists!F$21),MAX(0,MIN(Lists!F$21,$AE24)-MAX(Lists!F$22,$AD24))/($AE24-$AD24))+N($D24)*IF($AG24-$AF24&lt;1,($AF24&gt;Lists!F$22)*($AF24&lt;=Lists!F$21),MAX(0,MIN(Lists!F$21,$AG24)-MAX(Lists!F$22,$AF24))/($AG24-$AF24))+N($E24)*IF($AI24-$AH24&lt;1,($AH24&gt;Lists!F$22)*($AH24&lt;=Lists!F$21),MAX(0,MIN(Lists!F$21,$AI24)-MAX(Lists!F$22,$AH24))/($AI24-$AH24))+N($F24)*IF($AK24-$AJ24&lt;1,($AJ24&gt;Lists!F$22)*($AJ24&lt;=Lists!F$21),MAX(0,MIN(Lists!F$21,$AK24)-MAX(Lists!F$22,$AJ24))/($AK24-$AJ24))+N($G24)*IF($AM24-$AL24&lt;1,($AL24&gt;Lists!F$22)*($AL24&lt;=Lists!F$21),MAX(0,MIN(Lists!F$21,$AM24)-MAX(Lists!F$22,$AL24))/($AM24-$AL24))))))))</f>
        <v>0</v>
      </c>
      <c r="Q24" s="53" t="n">
        <f aca="false">IF($H24=0,0,IF($AP24="X",0,IF($AP24="S",$H24/$AO24*(MIN($AO24,MAX(0,INT((Lists!G$21-N($J24))/7)+1))-MIN($AO24,MAX(0,INT((Lists!G$22-N($J24))/7)+1))),IF($AP24="D",$H24*MAX(0,MIN(Lists!G$21,N($J24)+$AO24)-MAX(Lists!G$22,N($J24)))/$AO24,IF($AP24="M",$H24/$AO24*(IF(Lists!G$21&lt;$J24,0,MIN($AO24,(((YEAR(Lists!G$21)-YEAR($J24))*12+MONTH(Lists!G$21)-MONTH($J24))-(EDATE($J24,((YEAR(Lists!G$21)-YEAR($J24))*12+MONTH(Lists!G$21)-MONTH($J24)))&gt;Lists!G$21)+1)))-IF(Lists!G$22&lt;$J24,0,MIN($AO24,(((YEAR(Lists!G$22)-YEAR($J24))*12+MONTH(Lists!G$22)-MONTH($J24))-(EDATE($J24,((YEAR(Lists!G$22)-YEAR($J24))*12+MONTH(Lists!G$22)-MONTH($J24)))&gt;Lists!G$22)+1)))),IF($AP24="F",IF(N($K24)&lt;=0,0,MIN(MAX(0,$H24),N($K24)*IF(Lists!G$21&lt;$J24,0,(((YEAR(Lists!G$21)-YEAR($J24))*12+MONTH(Lists!G$21)-MONTH($J24))-(EDATE($J24,((YEAR(Lists!G$21)-YEAR($J24))*12+MONTH(Lists!G$21)-MONTH($J24)))&gt;Lists!G$21)+1)))-MIN(MAX(0,$H24),N($K24)*IF(Lists!G$22&lt;$J24,0,(((YEAR(Lists!G$22)-YEAR($J24))*12+MONTH(Lists!G$22)-MONTH($J24))-(EDATE($J24,((YEAR(Lists!G$22)-YEAR($J24))*12+MONTH(Lists!G$22)-MONTH($J24)))&gt;Lists!G$22)+1)))),N($C24)*IF($AE24-$AD24&lt;1,($AD24&gt;Lists!G$22)*($AD24&lt;=Lists!G$21),MAX(0,MIN(Lists!G$21,$AE24)-MAX(Lists!G$22,$AD24))/($AE24-$AD24))+N($D24)*IF($AG24-$AF24&lt;1,($AF24&gt;Lists!G$22)*($AF24&lt;=Lists!G$21),MAX(0,MIN(Lists!G$21,$AG24)-MAX(Lists!G$22,$AF24))/($AG24-$AF24))+N($E24)*IF($AI24-$AH24&lt;1,($AH24&gt;Lists!G$22)*($AH24&lt;=Lists!G$21),MAX(0,MIN(Lists!G$21,$AI24)-MAX(Lists!G$22,$AH24))/($AI24-$AH24))+N($F24)*IF($AK24-$AJ24&lt;1,($AJ24&gt;Lists!G$22)*($AJ24&lt;=Lists!G$21),MAX(0,MIN(Lists!G$21,$AK24)-MAX(Lists!G$22,$AJ24))/($AK24-$AJ24))+N($G24)*IF($AM24-$AL24&lt;1,($AL24&gt;Lists!G$22)*($AL24&lt;=Lists!G$21),MAX(0,MIN(Lists!G$21,$AM24)-MAX(Lists!G$22,$AL24))/($AM24-$AL24))))))))</f>
        <v>0</v>
      </c>
      <c r="R24" s="53" t="n">
        <f aca="false">IF($H24=0,0,IF($AP24="X",0,IF($AP24="S",$H24/$AO24*(MIN($AO24,MAX(0,INT((Lists!H$21-N($J24))/7)+1))-MIN($AO24,MAX(0,INT((Lists!H$22-N($J24))/7)+1))),IF($AP24="D",$H24*MAX(0,MIN(Lists!H$21,N($J24)+$AO24)-MAX(Lists!H$22,N($J24)))/$AO24,IF($AP24="M",$H24/$AO24*(IF(Lists!H$21&lt;$J24,0,MIN($AO24,(((YEAR(Lists!H$21)-YEAR($J24))*12+MONTH(Lists!H$21)-MONTH($J24))-(EDATE($J24,((YEAR(Lists!H$21)-YEAR($J24))*12+MONTH(Lists!H$21)-MONTH($J24)))&gt;Lists!H$21)+1)))-IF(Lists!H$22&lt;$J24,0,MIN($AO24,(((YEAR(Lists!H$22)-YEAR($J24))*12+MONTH(Lists!H$22)-MONTH($J24))-(EDATE($J24,((YEAR(Lists!H$22)-YEAR($J24))*12+MONTH(Lists!H$22)-MONTH($J24)))&gt;Lists!H$22)+1)))),IF($AP24="F",IF(N($K24)&lt;=0,0,MIN(MAX(0,$H24),N($K24)*IF(Lists!H$21&lt;$J24,0,(((YEAR(Lists!H$21)-YEAR($J24))*12+MONTH(Lists!H$21)-MONTH($J24))-(EDATE($J24,((YEAR(Lists!H$21)-YEAR($J24))*12+MONTH(Lists!H$21)-MONTH($J24)))&gt;Lists!H$21)+1)))-MIN(MAX(0,$H24),N($K24)*IF(Lists!H$22&lt;$J24,0,(((YEAR(Lists!H$22)-YEAR($J24))*12+MONTH(Lists!H$22)-MONTH($J24))-(EDATE($J24,((YEAR(Lists!H$22)-YEAR($J24))*12+MONTH(Lists!H$22)-MONTH($J24)))&gt;Lists!H$22)+1)))),N($C24)*IF($AE24-$AD24&lt;1,($AD24&gt;Lists!H$22)*($AD24&lt;=Lists!H$21),MAX(0,MIN(Lists!H$21,$AE24)-MAX(Lists!H$22,$AD24))/($AE24-$AD24))+N($D24)*IF($AG24-$AF24&lt;1,($AF24&gt;Lists!H$22)*($AF24&lt;=Lists!H$21),MAX(0,MIN(Lists!H$21,$AG24)-MAX(Lists!H$22,$AF24))/($AG24-$AF24))+N($E24)*IF($AI24-$AH24&lt;1,($AH24&gt;Lists!H$22)*($AH24&lt;=Lists!H$21),MAX(0,MIN(Lists!H$21,$AI24)-MAX(Lists!H$22,$AH24))/($AI24-$AH24))+N($F24)*IF($AK24-$AJ24&lt;1,($AJ24&gt;Lists!H$22)*($AJ24&lt;=Lists!H$21),MAX(0,MIN(Lists!H$21,$AK24)-MAX(Lists!H$22,$AJ24))/($AK24-$AJ24))+N($G24)*IF($AM24-$AL24&lt;1,($AL24&gt;Lists!H$22)*($AL24&lt;=Lists!H$21),MAX(0,MIN(Lists!H$21,$AM24)-MAX(Lists!H$22,$AL24))/($AM24-$AL24))))))))</f>
        <v>0</v>
      </c>
      <c r="S24" s="53" t="n">
        <f aca="false">IF($H24=0,0,IF($AP24="X",0,IF($AP24="S",$H24/$AO24*(MIN($AO24,MAX(0,INT((Lists!I$21-N($J24))/7)+1))-MIN($AO24,MAX(0,INT((Lists!I$22-N($J24))/7)+1))),IF($AP24="D",$H24*MAX(0,MIN(Lists!I$21,N($J24)+$AO24)-MAX(Lists!I$22,N($J24)))/$AO24,IF($AP24="M",$H24/$AO24*(IF(Lists!I$21&lt;$J24,0,MIN($AO24,(((YEAR(Lists!I$21)-YEAR($J24))*12+MONTH(Lists!I$21)-MONTH($J24))-(EDATE($J24,((YEAR(Lists!I$21)-YEAR($J24))*12+MONTH(Lists!I$21)-MONTH($J24)))&gt;Lists!I$21)+1)))-IF(Lists!I$22&lt;$J24,0,MIN($AO24,(((YEAR(Lists!I$22)-YEAR($J24))*12+MONTH(Lists!I$22)-MONTH($J24))-(EDATE($J24,((YEAR(Lists!I$22)-YEAR($J24))*12+MONTH(Lists!I$22)-MONTH($J24)))&gt;Lists!I$22)+1)))),IF($AP24="F",IF(N($K24)&lt;=0,0,MIN(MAX(0,$H24),N($K24)*IF(Lists!I$21&lt;$J24,0,(((YEAR(Lists!I$21)-YEAR($J24))*12+MONTH(Lists!I$21)-MONTH($J24))-(EDATE($J24,((YEAR(Lists!I$21)-YEAR($J24))*12+MONTH(Lists!I$21)-MONTH($J24)))&gt;Lists!I$21)+1)))-MIN(MAX(0,$H24),N($K24)*IF(Lists!I$22&lt;$J24,0,(((YEAR(Lists!I$22)-YEAR($J24))*12+MONTH(Lists!I$22)-MONTH($J24))-(EDATE($J24,((YEAR(Lists!I$22)-YEAR($J24))*12+MONTH(Lists!I$22)-MONTH($J24)))&gt;Lists!I$22)+1)))),N($C24)*IF($AE24-$AD24&lt;1,($AD24&gt;Lists!I$22)*($AD24&lt;=Lists!I$21),MAX(0,MIN(Lists!I$21,$AE24)-MAX(Lists!I$22,$AD24))/($AE24-$AD24))+N($D24)*IF($AG24-$AF24&lt;1,($AF24&gt;Lists!I$22)*($AF24&lt;=Lists!I$21),MAX(0,MIN(Lists!I$21,$AG24)-MAX(Lists!I$22,$AF24))/($AG24-$AF24))+N($E24)*IF($AI24-$AH24&lt;1,($AH24&gt;Lists!I$22)*($AH24&lt;=Lists!I$21),MAX(0,MIN(Lists!I$21,$AI24)-MAX(Lists!I$22,$AH24))/($AI24-$AH24))+N($F24)*IF($AK24-$AJ24&lt;1,($AJ24&gt;Lists!I$22)*($AJ24&lt;=Lists!I$21),MAX(0,MIN(Lists!I$21,$AK24)-MAX(Lists!I$22,$AJ24))/($AK24-$AJ24))+N($G24)*IF($AM24-$AL24&lt;1,($AL24&gt;Lists!I$22)*($AL24&lt;=Lists!I$21),MAX(0,MIN(Lists!I$21,$AM24)-MAX(Lists!I$22,$AL24))/($AM24-$AL24))))))))</f>
        <v>0</v>
      </c>
      <c r="T24" s="53" t="n">
        <f aca="false">IF($H24=0,0,IF($AP24="X",0,IF($AP24="S",$H24/$AO24*(MIN($AO24,MAX(0,INT((Lists!J$21-N($J24))/7)+1))-MIN($AO24,MAX(0,INT((Lists!J$22-N($J24))/7)+1))),IF($AP24="D",$H24*MAX(0,MIN(Lists!J$21,N($J24)+$AO24)-MAX(Lists!J$22,N($J24)))/$AO24,IF($AP24="M",$H24/$AO24*(IF(Lists!J$21&lt;$J24,0,MIN($AO24,(((YEAR(Lists!J$21)-YEAR($J24))*12+MONTH(Lists!J$21)-MONTH($J24))-(EDATE($J24,((YEAR(Lists!J$21)-YEAR($J24))*12+MONTH(Lists!J$21)-MONTH($J24)))&gt;Lists!J$21)+1)))-IF(Lists!J$22&lt;$J24,0,MIN($AO24,(((YEAR(Lists!J$22)-YEAR($J24))*12+MONTH(Lists!J$22)-MONTH($J24))-(EDATE($J24,((YEAR(Lists!J$22)-YEAR($J24))*12+MONTH(Lists!J$22)-MONTH($J24)))&gt;Lists!J$22)+1)))),IF($AP24="F",IF(N($K24)&lt;=0,0,MIN(MAX(0,$H24),N($K24)*IF(Lists!J$21&lt;$J24,0,(((YEAR(Lists!J$21)-YEAR($J24))*12+MONTH(Lists!J$21)-MONTH($J24))-(EDATE($J24,((YEAR(Lists!J$21)-YEAR($J24))*12+MONTH(Lists!J$21)-MONTH($J24)))&gt;Lists!J$21)+1)))-MIN(MAX(0,$H24),N($K24)*IF(Lists!J$22&lt;$J24,0,(((YEAR(Lists!J$22)-YEAR($J24))*12+MONTH(Lists!J$22)-MONTH($J24))-(EDATE($J24,((YEAR(Lists!J$22)-YEAR($J24))*12+MONTH(Lists!J$22)-MONTH($J24)))&gt;Lists!J$22)+1)))),N($C24)*IF($AE24-$AD24&lt;1,($AD24&gt;Lists!J$22)*($AD24&lt;=Lists!J$21),MAX(0,MIN(Lists!J$21,$AE24)-MAX(Lists!J$22,$AD24))/($AE24-$AD24))+N($D24)*IF($AG24-$AF24&lt;1,($AF24&gt;Lists!J$22)*($AF24&lt;=Lists!J$21),MAX(0,MIN(Lists!J$21,$AG24)-MAX(Lists!J$22,$AF24))/($AG24-$AF24))+N($E24)*IF($AI24-$AH24&lt;1,($AH24&gt;Lists!J$22)*($AH24&lt;=Lists!J$21),MAX(0,MIN(Lists!J$21,$AI24)-MAX(Lists!J$22,$AH24))/($AI24-$AH24))+N($F24)*IF($AK24-$AJ24&lt;1,($AJ24&gt;Lists!J$22)*($AJ24&lt;=Lists!J$21),MAX(0,MIN(Lists!J$21,$AK24)-MAX(Lists!J$22,$AJ24))/($AK24-$AJ24))+N($G24)*IF($AM24-$AL24&lt;1,($AL24&gt;Lists!J$22)*($AL24&lt;=Lists!J$21),MAX(0,MIN(Lists!J$21,$AM24)-MAX(Lists!J$22,$AL24))/($AM24-$AL24))))))))</f>
        <v>0</v>
      </c>
      <c r="U24" s="53" t="n">
        <f aca="false">IF($H24=0,0,IF($AP24="X",0,IF($AP24="S",$H24/$AO24*(MIN($AO24,MAX(0,INT((Lists!K$21-N($J24))/7)+1))-MIN($AO24,MAX(0,INT((Lists!K$22-N($J24))/7)+1))),IF($AP24="D",$H24*MAX(0,MIN(Lists!K$21,N($J24)+$AO24)-MAX(Lists!K$22,N($J24)))/$AO24,IF($AP24="M",$H24/$AO24*(IF(Lists!K$21&lt;$J24,0,MIN($AO24,(((YEAR(Lists!K$21)-YEAR($J24))*12+MONTH(Lists!K$21)-MONTH($J24))-(EDATE($J24,((YEAR(Lists!K$21)-YEAR($J24))*12+MONTH(Lists!K$21)-MONTH($J24)))&gt;Lists!K$21)+1)))-IF(Lists!K$22&lt;$J24,0,MIN($AO24,(((YEAR(Lists!K$22)-YEAR($J24))*12+MONTH(Lists!K$22)-MONTH($J24))-(EDATE($J24,((YEAR(Lists!K$22)-YEAR($J24))*12+MONTH(Lists!K$22)-MONTH($J24)))&gt;Lists!K$22)+1)))),IF($AP24="F",IF(N($K24)&lt;=0,0,MIN(MAX(0,$H24),N($K24)*IF(Lists!K$21&lt;$J24,0,(((YEAR(Lists!K$21)-YEAR($J24))*12+MONTH(Lists!K$21)-MONTH($J24))-(EDATE($J24,((YEAR(Lists!K$21)-YEAR($J24))*12+MONTH(Lists!K$21)-MONTH($J24)))&gt;Lists!K$21)+1)))-MIN(MAX(0,$H24),N($K24)*IF(Lists!K$22&lt;$J24,0,(((YEAR(Lists!K$22)-YEAR($J24))*12+MONTH(Lists!K$22)-MONTH($J24))-(EDATE($J24,((YEAR(Lists!K$22)-YEAR($J24))*12+MONTH(Lists!K$22)-MONTH($J24)))&gt;Lists!K$22)+1)))),N($C24)*IF($AE24-$AD24&lt;1,($AD24&gt;Lists!K$22)*($AD24&lt;=Lists!K$21),MAX(0,MIN(Lists!K$21,$AE24)-MAX(Lists!K$22,$AD24))/($AE24-$AD24))+N($D24)*IF($AG24-$AF24&lt;1,($AF24&gt;Lists!K$22)*($AF24&lt;=Lists!K$21),MAX(0,MIN(Lists!K$21,$AG24)-MAX(Lists!K$22,$AF24))/($AG24-$AF24))+N($E24)*IF($AI24-$AH24&lt;1,($AH24&gt;Lists!K$22)*($AH24&lt;=Lists!K$21),MAX(0,MIN(Lists!K$21,$AI24)-MAX(Lists!K$22,$AH24))/($AI24-$AH24))+N($F24)*IF($AK24-$AJ24&lt;1,($AJ24&gt;Lists!K$22)*($AJ24&lt;=Lists!K$21),MAX(0,MIN(Lists!K$21,$AK24)-MAX(Lists!K$22,$AJ24))/($AK24-$AJ24))+N($G24)*IF($AM24-$AL24&lt;1,($AL24&gt;Lists!K$22)*($AL24&lt;=Lists!K$21),MAX(0,MIN(Lists!K$21,$AM24)-MAX(Lists!K$22,$AL24))/($AM24-$AL24))))))))</f>
        <v>0</v>
      </c>
      <c r="V24" s="53" t="n">
        <f aca="false">IF($H24=0,0,IF($AP24="X",0,IF($AP24="S",$H24/$AO24*(MIN($AO24,MAX(0,INT((Lists!L$21-N($J24))/7)+1))-MIN($AO24,MAX(0,INT((Lists!L$22-N($J24))/7)+1))),IF($AP24="D",$H24*MAX(0,MIN(Lists!L$21,N($J24)+$AO24)-MAX(Lists!L$22,N($J24)))/$AO24,IF($AP24="M",$H24/$AO24*(IF(Lists!L$21&lt;$J24,0,MIN($AO24,(((YEAR(Lists!L$21)-YEAR($J24))*12+MONTH(Lists!L$21)-MONTH($J24))-(EDATE($J24,((YEAR(Lists!L$21)-YEAR($J24))*12+MONTH(Lists!L$21)-MONTH($J24)))&gt;Lists!L$21)+1)))-IF(Lists!L$22&lt;$J24,0,MIN($AO24,(((YEAR(Lists!L$22)-YEAR($J24))*12+MONTH(Lists!L$22)-MONTH($J24))-(EDATE($J24,((YEAR(Lists!L$22)-YEAR($J24))*12+MONTH(Lists!L$22)-MONTH($J24)))&gt;Lists!L$22)+1)))),IF($AP24="F",IF(N($K24)&lt;=0,0,MIN(MAX(0,$H24),N($K24)*IF(Lists!L$21&lt;$J24,0,(((YEAR(Lists!L$21)-YEAR($J24))*12+MONTH(Lists!L$21)-MONTH($J24))-(EDATE($J24,((YEAR(Lists!L$21)-YEAR($J24))*12+MONTH(Lists!L$21)-MONTH($J24)))&gt;Lists!L$21)+1)))-MIN(MAX(0,$H24),N($K24)*IF(Lists!L$22&lt;$J24,0,(((YEAR(Lists!L$22)-YEAR($J24))*12+MONTH(Lists!L$22)-MONTH($J24))-(EDATE($J24,((YEAR(Lists!L$22)-YEAR($J24))*12+MONTH(Lists!L$22)-MONTH($J24)))&gt;Lists!L$22)+1)))),N($C24)*IF($AE24-$AD24&lt;1,($AD24&gt;Lists!L$22)*($AD24&lt;=Lists!L$21),MAX(0,MIN(Lists!L$21,$AE24)-MAX(Lists!L$22,$AD24))/($AE24-$AD24))+N($D24)*IF($AG24-$AF24&lt;1,($AF24&gt;Lists!L$22)*($AF24&lt;=Lists!L$21),MAX(0,MIN(Lists!L$21,$AG24)-MAX(Lists!L$22,$AF24))/($AG24-$AF24))+N($E24)*IF($AI24-$AH24&lt;1,($AH24&gt;Lists!L$22)*($AH24&lt;=Lists!L$21),MAX(0,MIN(Lists!L$21,$AI24)-MAX(Lists!L$22,$AH24))/($AI24-$AH24))+N($F24)*IF($AK24-$AJ24&lt;1,($AJ24&gt;Lists!L$22)*($AJ24&lt;=Lists!L$21),MAX(0,MIN(Lists!L$21,$AK24)-MAX(Lists!L$22,$AJ24))/($AK24-$AJ24))+N($G24)*IF($AM24-$AL24&lt;1,($AL24&gt;Lists!L$22)*($AL24&lt;=Lists!L$21),MAX(0,MIN(Lists!L$21,$AM24)-MAX(Lists!L$22,$AL24))/($AM24-$AL24))))))))</f>
        <v>0</v>
      </c>
      <c r="W24" s="53" t="n">
        <f aca="false">IF($H24=0,0,IF($AP24="X",0,IF($AP24="S",$H24/$AO24*(MIN($AO24,MAX(0,INT((Lists!M$21-N($J24))/7)+1))-MIN($AO24,MAX(0,INT((Lists!M$22-N($J24))/7)+1))),IF($AP24="D",$H24*MAX(0,MIN(Lists!M$21,N($J24)+$AO24)-MAX(Lists!M$22,N($J24)))/$AO24,IF($AP24="M",$H24/$AO24*(IF(Lists!M$21&lt;$J24,0,MIN($AO24,(((YEAR(Lists!M$21)-YEAR($J24))*12+MONTH(Lists!M$21)-MONTH($J24))-(EDATE($J24,((YEAR(Lists!M$21)-YEAR($J24))*12+MONTH(Lists!M$21)-MONTH($J24)))&gt;Lists!M$21)+1)))-IF(Lists!M$22&lt;$J24,0,MIN($AO24,(((YEAR(Lists!M$22)-YEAR($J24))*12+MONTH(Lists!M$22)-MONTH($J24))-(EDATE($J24,((YEAR(Lists!M$22)-YEAR($J24))*12+MONTH(Lists!M$22)-MONTH($J24)))&gt;Lists!M$22)+1)))),IF($AP24="F",IF(N($K24)&lt;=0,0,MIN(MAX(0,$H24),N($K24)*IF(Lists!M$21&lt;$J24,0,(((YEAR(Lists!M$21)-YEAR($J24))*12+MONTH(Lists!M$21)-MONTH($J24))-(EDATE($J24,((YEAR(Lists!M$21)-YEAR($J24))*12+MONTH(Lists!M$21)-MONTH($J24)))&gt;Lists!M$21)+1)))-MIN(MAX(0,$H24),N($K24)*IF(Lists!M$22&lt;$J24,0,(((YEAR(Lists!M$22)-YEAR($J24))*12+MONTH(Lists!M$22)-MONTH($J24))-(EDATE($J24,((YEAR(Lists!M$22)-YEAR($J24))*12+MONTH(Lists!M$22)-MONTH($J24)))&gt;Lists!M$22)+1)))),N($C24)*IF($AE24-$AD24&lt;1,($AD24&gt;Lists!M$22)*($AD24&lt;=Lists!M$21),MAX(0,MIN(Lists!M$21,$AE24)-MAX(Lists!M$22,$AD24))/($AE24-$AD24))+N($D24)*IF($AG24-$AF24&lt;1,($AF24&gt;Lists!M$22)*($AF24&lt;=Lists!M$21),MAX(0,MIN(Lists!M$21,$AG24)-MAX(Lists!M$22,$AF24))/($AG24-$AF24))+N($E24)*IF($AI24-$AH24&lt;1,($AH24&gt;Lists!M$22)*($AH24&lt;=Lists!M$21),MAX(0,MIN(Lists!M$21,$AI24)-MAX(Lists!M$22,$AH24))/($AI24-$AH24))+N($F24)*IF($AK24-$AJ24&lt;1,($AJ24&gt;Lists!M$22)*($AJ24&lt;=Lists!M$21),MAX(0,MIN(Lists!M$21,$AK24)-MAX(Lists!M$22,$AJ24))/($AK24-$AJ24))+N($G24)*IF($AM24-$AL24&lt;1,($AL24&gt;Lists!M$22)*($AL24&lt;=Lists!M$21),MAX(0,MIN(Lists!M$21,$AM24)-MAX(Lists!M$22,$AL24))/($AM24-$AL24))))))))</f>
        <v>0</v>
      </c>
      <c r="X24" s="53" t="n">
        <f aca="false">IF($H24=0,0,IF($AP24="X",0,IF($AP24="S",$H24/$AO24*(MIN($AO24,MAX(0,INT((Lists!N$21-N($J24))/7)+1))-MIN($AO24,MAX(0,INT((Lists!N$22-N($J24))/7)+1))),IF($AP24="D",$H24*MAX(0,MIN(Lists!N$21,N($J24)+$AO24)-MAX(Lists!N$22,N($J24)))/$AO24,IF($AP24="M",$H24/$AO24*(IF(Lists!N$21&lt;$J24,0,MIN($AO24,(((YEAR(Lists!N$21)-YEAR($J24))*12+MONTH(Lists!N$21)-MONTH($J24))-(EDATE($J24,((YEAR(Lists!N$21)-YEAR($J24))*12+MONTH(Lists!N$21)-MONTH($J24)))&gt;Lists!N$21)+1)))-IF(Lists!N$22&lt;$J24,0,MIN($AO24,(((YEAR(Lists!N$22)-YEAR($J24))*12+MONTH(Lists!N$22)-MONTH($J24))-(EDATE($J24,((YEAR(Lists!N$22)-YEAR($J24))*12+MONTH(Lists!N$22)-MONTH($J24)))&gt;Lists!N$22)+1)))),IF($AP24="F",IF(N($K24)&lt;=0,0,MIN(MAX(0,$H24),N($K24)*IF(Lists!N$21&lt;$J24,0,(((YEAR(Lists!N$21)-YEAR($J24))*12+MONTH(Lists!N$21)-MONTH($J24))-(EDATE($J24,((YEAR(Lists!N$21)-YEAR($J24))*12+MONTH(Lists!N$21)-MONTH($J24)))&gt;Lists!N$21)+1)))-MIN(MAX(0,$H24),N($K24)*IF(Lists!N$22&lt;$J24,0,(((YEAR(Lists!N$22)-YEAR($J24))*12+MONTH(Lists!N$22)-MONTH($J24))-(EDATE($J24,((YEAR(Lists!N$22)-YEAR($J24))*12+MONTH(Lists!N$22)-MONTH($J24)))&gt;Lists!N$22)+1)))),N($C24)*IF($AE24-$AD24&lt;1,($AD24&gt;Lists!N$22)*($AD24&lt;=Lists!N$21),MAX(0,MIN(Lists!N$21,$AE24)-MAX(Lists!N$22,$AD24))/($AE24-$AD24))+N($D24)*IF($AG24-$AF24&lt;1,($AF24&gt;Lists!N$22)*($AF24&lt;=Lists!N$21),MAX(0,MIN(Lists!N$21,$AG24)-MAX(Lists!N$22,$AF24))/($AG24-$AF24))+N($E24)*IF($AI24-$AH24&lt;1,($AH24&gt;Lists!N$22)*($AH24&lt;=Lists!N$21),MAX(0,MIN(Lists!N$21,$AI24)-MAX(Lists!N$22,$AH24))/($AI24-$AH24))+N($F24)*IF($AK24-$AJ24&lt;1,($AJ24&gt;Lists!N$22)*($AJ24&lt;=Lists!N$21),MAX(0,MIN(Lists!N$21,$AK24)-MAX(Lists!N$22,$AJ24))/($AK24-$AJ24))+N($G24)*IF($AM24-$AL24&lt;1,($AL24&gt;Lists!N$22)*($AL24&lt;=Lists!N$21),MAX(0,MIN(Lists!N$21,$AM24)-MAX(Lists!N$22,$AL24))/($AM24-$AL24))))))))</f>
        <v>0</v>
      </c>
      <c r="Y24" s="53" t="n">
        <f aca="false">IF($H24=0,0,IF($AP24="X",0,IF($AP24="S",$H24/$AO24*(MIN($AO24,MAX(0,INT((Lists!O$21-N($J24))/7)+1))-MIN($AO24,MAX(0,INT((Lists!O$22-N($J24))/7)+1))),IF($AP24="D",$H24*MAX(0,MIN(Lists!O$21,N($J24)+$AO24)-MAX(Lists!O$22,N($J24)))/$AO24,IF($AP24="M",$H24/$AO24*(IF(Lists!O$21&lt;$J24,0,MIN($AO24,(((YEAR(Lists!O$21)-YEAR($J24))*12+MONTH(Lists!O$21)-MONTH($J24))-(EDATE($J24,((YEAR(Lists!O$21)-YEAR($J24))*12+MONTH(Lists!O$21)-MONTH($J24)))&gt;Lists!O$21)+1)))-IF(Lists!O$22&lt;$J24,0,MIN($AO24,(((YEAR(Lists!O$22)-YEAR($J24))*12+MONTH(Lists!O$22)-MONTH($J24))-(EDATE($J24,((YEAR(Lists!O$22)-YEAR($J24))*12+MONTH(Lists!O$22)-MONTH($J24)))&gt;Lists!O$22)+1)))),IF($AP24="F",IF(N($K24)&lt;=0,0,MIN(MAX(0,$H24),N($K24)*IF(Lists!O$21&lt;$J24,0,(((YEAR(Lists!O$21)-YEAR($J24))*12+MONTH(Lists!O$21)-MONTH($J24))-(EDATE($J24,((YEAR(Lists!O$21)-YEAR($J24))*12+MONTH(Lists!O$21)-MONTH($J24)))&gt;Lists!O$21)+1)))-MIN(MAX(0,$H24),N($K24)*IF(Lists!O$22&lt;$J24,0,(((YEAR(Lists!O$22)-YEAR($J24))*12+MONTH(Lists!O$22)-MONTH($J24))-(EDATE($J24,((YEAR(Lists!O$22)-YEAR($J24))*12+MONTH(Lists!O$22)-MONTH($J24)))&gt;Lists!O$22)+1)))),N($C24)*IF($AE24-$AD24&lt;1,($AD24&gt;Lists!O$22)*($AD24&lt;=Lists!O$21),MAX(0,MIN(Lists!O$21,$AE24)-MAX(Lists!O$22,$AD24))/($AE24-$AD24))+N($D24)*IF($AG24-$AF24&lt;1,($AF24&gt;Lists!O$22)*($AF24&lt;=Lists!O$21),MAX(0,MIN(Lists!O$21,$AG24)-MAX(Lists!O$22,$AF24))/($AG24-$AF24))+N($E24)*IF($AI24-$AH24&lt;1,($AH24&gt;Lists!O$22)*($AH24&lt;=Lists!O$21),MAX(0,MIN(Lists!O$21,$AI24)-MAX(Lists!O$22,$AH24))/($AI24-$AH24))+N($F24)*IF($AK24-$AJ24&lt;1,($AJ24&gt;Lists!O$22)*($AJ24&lt;=Lists!O$21),MAX(0,MIN(Lists!O$21,$AK24)-MAX(Lists!O$22,$AJ24))/($AK24-$AJ24))+N($G24)*IF($AM24-$AL24&lt;1,($AL24&gt;Lists!O$22)*($AL24&lt;=Lists!O$21),MAX(0,MIN(Lists!O$21,$AM24)-MAX(Lists!O$22,$AL24))/($AM24-$AL24))))))))</f>
        <v>0</v>
      </c>
      <c r="Z24" s="46" t="n">
        <f aca="false">SUM(M24:Y24)</f>
        <v>0</v>
      </c>
      <c r="AA24" s="92" t="n">
        <f aca="false">H24-Z24</f>
        <v>0</v>
      </c>
      <c r="AB24" s="55"/>
      <c r="AC24" s="2"/>
      <c r="AD24" s="93" t="n">
        <f aca="false">Setup!$D$10+MAX(0,$AN24-30)</f>
        <v>46365</v>
      </c>
      <c r="AE24" s="93" t="n">
        <f aca="false">Setup!$D$10+IF($AN24-30&lt;0,MAX(Setup!$D$22,$AN24-0),$AN24-0)</f>
        <v>46395</v>
      </c>
      <c r="AF24" s="93" t="n">
        <f aca="false">Setup!$D$10+MAX(0,$AN24-60)</f>
        <v>46335</v>
      </c>
      <c r="AG24" s="93" t="n">
        <f aca="false">Setup!$D$10+IF($AN24-60&lt;0,MAX(Setup!$D$22,$AN24-31),$AN24-31)</f>
        <v>46364</v>
      </c>
      <c r="AH24" s="93" t="n">
        <f aca="false">Setup!$D$10+MAX(0,$AN24-90)</f>
        <v>46335</v>
      </c>
      <c r="AI24" s="93" t="n">
        <f aca="false">Setup!$D$10+IF($AN24-90&lt;0,MAX(Setup!$D$22,$AN24-61),$AN24-61)</f>
        <v>46363</v>
      </c>
      <c r="AJ24" s="93" t="n">
        <f aca="false">Setup!$D$10+MAX(0,$AN24-120)</f>
        <v>46335</v>
      </c>
      <c r="AK24" s="93" t="n">
        <f aca="false">Setup!$D$10+IF($AN24-120&lt;0,MAX(Setup!$D$22,$AN24-91),$AN24-91)</f>
        <v>46363</v>
      </c>
      <c r="AL24" s="93" t="n">
        <f aca="false">IF(Setup!$D$23="Yes",2958465,Setup!$D$10)</f>
        <v>2958465</v>
      </c>
      <c r="AM24" s="93" t="n">
        <f aca="false">IF(AL24=2958465,AL24,Setup!$D$10+Setup!$D$22)</f>
        <v>2958465</v>
      </c>
      <c r="AN24" s="94" t="n">
        <f aca="false">IF(N(L24)=0,Setup!$D$20,L24)</f>
        <v>60</v>
      </c>
      <c r="AO24" s="94" t="n">
        <f aca="false">MAX(1,ROUND(N(K24),0))</f>
        <v>1</v>
      </c>
      <c r="AP24" s="95" t="str">
        <f aca="false">IF(I24="Doubtful","X",IF(N(J24)=0,"A",IF(I24="Specific date","S",IF(I24="Spread over days","D",IF(I24="Monthly on set day","M",IF(I24="Monthly fixed amount","F","A"))))))</f>
        <v>A</v>
      </c>
    </row>
    <row r="25" customFormat="false" ht="15" hidden="false" customHeight="false" outlineLevel="0" collapsed="false">
      <c r="A25" s="87" t="n">
        <v>17</v>
      </c>
      <c r="B25" s="55"/>
      <c r="C25" s="88"/>
      <c r="D25" s="88"/>
      <c r="E25" s="88"/>
      <c r="F25" s="88"/>
      <c r="G25" s="88"/>
      <c r="H25" s="89" t="n">
        <f aca="false">SUM(C25:G25)</f>
        <v>0</v>
      </c>
      <c r="I25" s="58"/>
      <c r="J25" s="90"/>
      <c r="K25" s="91"/>
      <c r="L25" s="80"/>
      <c r="M25" s="53" t="n">
        <f aca="false">IF($H25=0,0,IF($AP25="X",0,IF($AP25="S",$H25/$AO25*(MIN($AO25,MAX(0,INT((Lists!C$21-N($J25))/7)+1))-MIN($AO25,MAX(0,INT((Lists!C$22-N($J25))/7)+1))),IF($AP25="D",$H25*MAX(0,MIN(Lists!C$21,N($J25)+$AO25)-MAX(Lists!C$22,N($J25)))/$AO25,IF($AP25="M",$H25/$AO25*(IF(Lists!C$21&lt;$J25,0,MIN($AO25,(((YEAR(Lists!C$21)-YEAR($J25))*12+MONTH(Lists!C$21)-MONTH($J25))-(EDATE($J25,((YEAR(Lists!C$21)-YEAR($J25))*12+MONTH(Lists!C$21)-MONTH($J25)))&gt;Lists!C$21)+1)))-IF(Lists!C$22&lt;$J25,0,MIN($AO25,(((YEAR(Lists!C$22)-YEAR($J25))*12+MONTH(Lists!C$22)-MONTH($J25))-(EDATE($J25,((YEAR(Lists!C$22)-YEAR($J25))*12+MONTH(Lists!C$22)-MONTH($J25)))&gt;Lists!C$22)+1)))),IF($AP25="F",IF(N($K25)&lt;=0,0,MIN(MAX(0,$H25),N($K25)*IF(Lists!C$21&lt;$J25,0,(((YEAR(Lists!C$21)-YEAR($J25))*12+MONTH(Lists!C$21)-MONTH($J25))-(EDATE($J25,((YEAR(Lists!C$21)-YEAR($J25))*12+MONTH(Lists!C$21)-MONTH($J25)))&gt;Lists!C$21)+1)))-MIN(MAX(0,$H25),N($K25)*IF(Lists!C$22&lt;$J25,0,(((YEAR(Lists!C$22)-YEAR($J25))*12+MONTH(Lists!C$22)-MONTH($J25))-(EDATE($J25,((YEAR(Lists!C$22)-YEAR($J25))*12+MONTH(Lists!C$22)-MONTH($J25)))&gt;Lists!C$22)+1)))),N($C25)*IF($AE25-$AD25&lt;1,($AD25&gt;Lists!C$22)*($AD25&lt;=Lists!C$21),MAX(0,MIN(Lists!C$21,$AE25)-MAX(Lists!C$22,$AD25))/($AE25-$AD25))+N($D25)*IF($AG25-$AF25&lt;1,($AF25&gt;Lists!C$22)*($AF25&lt;=Lists!C$21),MAX(0,MIN(Lists!C$21,$AG25)-MAX(Lists!C$22,$AF25))/($AG25-$AF25))+N($E25)*IF($AI25-$AH25&lt;1,($AH25&gt;Lists!C$22)*($AH25&lt;=Lists!C$21),MAX(0,MIN(Lists!C$21,$AI25)-MAX(Lists!C$22,$AH25))/($AI25-$AH25))+N($F25)*IF($AK25-$AJ25&lt;1,($AJ25&gt;Lists!C$22)*($AJ25&lt;=Lists!C$21),MAX(0,MIN(Lists!C$21,$AK25)-MAX(Lists!C$22,$AJ25))/($AK25-$AJ25))+N($G25)*IF($AM25-$AL25&lt;1,($AL25&gt;Lists!C$22)*($AL25&lt;=Lists!C$21),MAX(0,MIN(Lists!C$21,$AM25)-MAX(Lists!C$22,$AL25))/($AM25-$AL25))))))))</f>
        <v>0</v>
      </c>
      <c r="N25" s="53" t="n">
        <f aca="false">IF($H25=0,0,IF($AP25="X",0,IF($AP25="S",$H25/$AO25*(MIN($AO25,MAX(0,INT((Lists!D$21-N($J25))/7)+1))-MIN($AO25,MAX(0,INT((Lists!D$22-N($J25))/7)+1))),IF($AP25="D",$H25*MAX(0,MIN(Lists!D$21,N($J25)+$AO25)-MAX(Lists!D$22,N($J25)))/$AO25,IF($AP25="M",$H25/$AO25*(IF(Lists!D$21&lt;$J25,0,MIN($AO25,(((YEAR(Lists!D$21)-YEAR($J25))*12+MONTH(Lists!D$21)-MONTH($J25))-(EDATE($J25,((YEAR(Lists!D$21)-YEAR($J25))*12+MONTH(Lists!D$21)-MONTH($J25)))&gt;Lists!D$21)+1)))-IF(Lists!D$22&lt;$J25,0,MIN($AO25,(((YEAR(Lists!D$22)-YEAR($J25))*12+MONTH(Lists!D$22)-MONTH($J25))-(EDATE($J25,((YEAR(Lists!D$22)-YEAR($J25))*12+MONTH(Lists!D$22)-MONTH($J25)))&gt;Lists!D$22)+1)))),IF($AP25="F",IF(N($K25)&lt;=0,0,MIN(MAX(0,$H25),N($K25)*IF(Lists!D$21&lt;$J25,0,(((YEAR(Lists!D$21)-YEAR($J25))*12+MONTH(Lists!D$21)-MONTH($J25))-(EDATE($J25,((YEAR(Lists!D$21)-YEAR($J25))*12+MONTH(Lists!D$21)-MONTH($J25)))&gt;Lists!D$21)+1)))-MIN(MAX(0,$H25),N($K25)*IF(Lists!D$22&lt;$J25,0,(((YEAR(Lists!D$22)-YEAR($J25))*12+MONTH(Lists!D$22)-MONTH($J25))-(EDATE($J25,((YEAR(Lists!D$22)-YEAR($J25))*12+MONTH(Lists!D$22)-MONTH($J25)))&gt;Lists!D$22)+1)))),N($C25)*IF($AE25-$AD25&lt;1,($AD25&gt;Lists!D$22)*($AD25&lt;=Lists!D$21),MAX(0,MIN(Lists!D$21,$AE25)-MAX(Lists!D$22,$AD25))/($AE25-$AD25))+N($D25)*IF($AG25-$AF25&lt;1,($AF25&gt;Lists!D$22)*($AF25&lt;=Lists!D$21),MAX(0,MIN(Lists!D$21,$AG25)-MAX(Lists!D$22,$AF25))/($AG25-$AF25))+N($E25)*IF($AI25-$AH25&lt;1,($AH25&gt;Lists!D$22)*($AH25&lt;=Lists!D$21),MAX(0,MIN(Lists!D$21,$AI25)-MAX(Lists!D$22,$AH25))/($AI25-$AH25))+N($F25)*IF($AK25-$AJ25&lt;1,($AJ25&gt;Lists!D$22)*($AJ25&lt;=Lists!D$21),MAX(0,MIN(Lists!D$21,$AK25)-MAX(Lists!D$22,$AJ25))/($AK25-$AJ25))+N($G25)*IF($AM25-$AL25&lt;1,($AL25&gt;Lists!D$22)*($AL25&lt;=Lists!D$21),MAX(0,MIN(Lists!D$21,$AM25)-MAX(Lists!D$22,$AL25))/($AM25-$AL25))))))))</f>
        <v>0</v>
      </c>
      <c r="O25" s="53" t="n">
        <f aca="false">IF($H25=0,0,IF($AP25="X",0,IF($AP25="S",$H25/$AO25*(MIN($AO25,MAX(0,INT((Lists!E$21-N($J25))/7)+1))-MIN($AO25,MAX(0,INT((Lists!E$22-N($J25))/7)+1))),IF($AP25="D",$H25*MAX(0,MIN(Lists!E$21,N($J25)+$AO25)-MAX(Lists!E$22,N($J25)))/$AO25,IF($AP25="M",$H25/$AO25*(IF(Lists!E$21&lt;$J25,0,MIN($AO25,(((YEAR(Lists!E$21)-YEAR($J25))*12+MONTH(Lists!E$21)-MONTH($J25))-(EDATE($J25,((YEAR(Lists!E$21)-YEAR($J25))*12+MONTH(Lists!E$21)-MONTH($J25)))&gt;Lists!E$21)+1)))-IF(Lists!E$22&lt;$J25,0,MIN($AO25,(((YEAR(Lists!E$22)-YEAR($J25))*12+MONTH(Lists!E$22)-MONTH($J25))-(EDATE($J25,((YEAR(Lists!E$22)-YEAR($J25))*12+MONTH(Lists!E$22)-MONTH($J25)))&gt;Lists!E$22)+1)))),IF($AP25="F",IF(N($K25)&lt;=0,0,MIN(MAX(0,$H25),N($K25)*IF(Lists!E$21&lt;$J25,0,(((YEAR(Lists!E$21)-YEAR($J25))*12+MONTH(Lists!E$21)-MONTH($J25))-(EDATE($J25,((YEAR(Lists!E$21)-YEAR($J25))*12+MONTH(Lists!E$21)-MONTH($J25)))&gt;Lists!E$21)+1)))-MIN(MAX(0,$H25),N($K25)*IF(Lists!E$22&lt;$J25,0,(((YEAR(Lists!E$22)-YEAR($J25))*12+MONTH(Lists!E$22)-MONTH($J25))-(EDATE($J25,((YEAR(Lists!E$22)-YEAR($J25))*12+MONTH(Lists!E$22)-MONTH($J25)))&gt;Lists!E$22)+1)))),N($C25)*IF($AE25-$AD25&lt;1,($AD25&gt;Lists!E$22)*($AD25&lt;=Lists!E$21),MAX(0,MIN(Lists!E$21,$AE25)-MAX(Lists!E$22,$AD25))/($AE25-$AD25))+N($D25)*IF($AG25-$AF25&lt;1,($AF25&gt;Lists!E$22)*($AF25&lt;=Lists!E$21),MAX(0,MIN(Lists!E$21,$AG25)-MAX(Lists!E$22,$AF25))/($AG25-$AF25))+N($E25)*IF($AI25-$AH25&lt;1,($AH25&gt;Lists!E$22)*($AH25&lt;=Lists!E$21),MAX(0,MIN(Lists!E$21,$AI25)-MAX(Lists!E$22,$AH25))/($AI25-$AH25))+N($F25)*IF($AK25-$AJ25&lt;1,($AJ25&gt;Lists!E$22)*($AJ25&lt;=Lists!E$21),MAX(0,MIN(Lists!E$21,$AK25)-MAX(Lists!E$22,$AJ25))/($AK25-$AJ25))+N($G25)*IF($AM25-$AL25&lt;1,($AL25&gt;Lists!E$22)*($AL25&lt;=Lists!E$21),MAX(0,MIN(Lists!E$21,$AM25)-MAX(Lists!E$22,$AL25))/($AM25-$AL25))))))))</f>
        <v>0</v>
      </c>
      <c r="P25" s="53" t="n">
        <f aca="false">IF($H25=0,0,IF($AP25="X",0,IF($AP25="S",$H25/$AO25*(MIN($AO25,MAX(0,INT((Lists!F$21-N($J25))/7)+1))-MIN($AO25,MAX(0,INT((Lists!F$22-N($J25))/7)+1))),IF($AP25="D",$H25*MAX(0,MIN(Lists!F$21,N($J25)+$AO25)-MAX(Lists!F$22,N($J25)))/$AO25,IF($AP25="M",$H25/$AO25*(IF(Lists!F$21&lt;$J25,0,MIN($AO25,(((YEAR(Lists!F$21)-YEAR($J25))*12+MONTH(Lists!F$21)-MONTH($J25))-(EDATE($J25,((YEAR(Lists!F$21)-YEAR($J25))*12+MONTH(Lists!F$21)-MONTH($J25)))&gt;Lists!F$21)+1)))-IF(Lists!F$22&lt;$J25,0,MIN($AO25,(((YEAR(Lists!F$22)-YEAR($J25))*12+MONTH(Lists!F$22)-MONTH($J25))-(EDATE($J25,((YEAR(Lists!F$22)-YEAR($J25))*12+MONTH(Lists!F$22)-MONTH($J25)))&gt;Lists!F$22)+1)))),IF($AP25="F",IF(N($K25)&lt;=0,0,MIN(MAX(0,$H25),N($K25)*IF(Lists!F$21&lt;$J25,0,(((YEAR(Lists!F$21)-YEAR($J25))*12+MONTH(Lists!F$21)-MONTH($J25))-(EDATE($J25,((YEAR(Lists!F$21)-YEAR($J25))*12+MONTH(Lists!F$21)-MONTH($J25)))&gt;Lists!F$21)+1)))-MIN(MAX(0,$H25),N($K25)*IF(Lists!F$22&lt;$J25,0,(((YEAR(Lists!F$22)-YEAR($J25))*12+MONTH(Lists!F$22)-MONTH($J25))-(EDATE($J25,((YEAR(Lists!F$22)-YEAR($J25))*12+MONTH(Lists!F$22)-MONTH($J25)))&gt;Lists!F$22)+1)))),N($C25)*IF($AE25-$AD25&lt;1,($AD25&gt;Lists!F$22)*($AD25&lt;=Lists!F$21),MAX(0,MIN(Lists!F$21,$AE25)-MAX(Lists!F$22,$AD25))/($AE25-$AD25))+N($D25)*IF($AG25-$AF25&lt;1,($AF25&gt;Lists!F$22)*($AF25&lt;=Lists!F$21),MAX(0,MIN(Lists!F$21,$AG25)-MAX(Lists!F$22,$AF25))/($AG25-$AF25))+N($E25)*IF($AI25-$AH25&lt;1,($AH25&gt;Lists!F$22)*($AH25&lt;=Lists!F$21),MAX(0,MIN(Lists!F$21,$AI25)-MAX(Lists!F$22,$AH25))/($AI25-$AH25))+N($F25)*IF($AK25-$AJ25&lt;1,($AJ25&gt;Lists!F$22)*($AJ25&lt;=Lists!F$21),MAX(0,MIN(Lists!F$21,$AK25)-MAX(Lists!F$22,$AJ25))/($AK25-$AJ25))+N($G25)*IF($AM25-$AL25&lt;1,($AL25&gt;Lists!F$22)*($AL25&lt;=Lists!F$21),MAX(0,MIN(Lists!F$21,$AM25)-MAX(Lists!F$22,$AL25))/($AM25-$AL25))))))))</f>
        <v>0</v>
      </c>
      <c r="Q25" s="53" t="n">
        <f aca="false">IF($H25=0,0,IF($AP25="X",0,IF($AP25="S",$H25/$AO25*(MIN($AO25,MAX(0,INT((Lists!G$21-N($J25))/7)+1))-MIN($AO25,MAX(0,INT((Lists!G$22-N($J25))/7)+1))),IF($AP25="D",$H25*MAX(0,MIN(Lists!G$21,N($J25)+$AO25)-MAX(Lists!G$22,N($J25)))/$AO25,IF($AP25="M",$H25/$AO25*(IF(Lists!G$21&lt;$J25,0,MIN($AO25,(((YEAR(Lists!G$21)-YEAR($J25))*12+MONTH(Lists!G$21)-MONTH($J25))-(EDATE($J25,((YEAR(Lists!G$21)-YEAR($J25))*12+MONTH(Lists!G$21)-MONTH($J25)))&gt;Lists!G$21)+1)))-IF(Lists!G$22&lt;$J25,0,MIN($AO25,(((YEAR(Lists!G$22)-YEAR($J25))*12+MONTH(Lists!G$22)-MONTH($J25))-(EDATE($J25,((YEAR(Lists!G$22)-YEAR($J25))*12+MONTH(Lists!G$22)-MONTH($J25)))&gt;Lists!G$22)+1)))),IF($AP25="F",IF(N($K25)&lt;=0,0,MIN(MAX(0,$H25),N($K25)*IF(Lists!G$21&lt;$J25,0,(((YEAR(Lists!G$21)-YEAR($J25))*12+MONTH(Lists!G$21)-MONTH($J25))-(EDATE($J25,((YEAR(Lists!G$21)-YEAR($J25))*12+MONTH(Lists!G$21)-MONTH($J25)))&gt;Lists!G$21)+1)))-MIN(MAX(0,$H25),N($K25)*IF(Lists!G$22&lt;$J25,0,(((YEAR(Lists!G$22)-YEAR($J25))*12+MONTH(Lists!G$22)-MONTH($J25))-(EDATE($J25,((YEAR(Lists!G$22)-YEAR($J25))*12+MONTH(Lists!G$22)-MONTH($J25)))&gt;Lists!G$22)+1)))),N($C25)*IF($AE25-$AD25&lt;1,($AD25&gt;Lists!G$22)*($AD25&lt;=Lists!G$21),MAX(0,MIN(Lists!G$21,$AE25)-MAX(Lists!G$22,$AD25))/($AE25-$AD25))+N($D25)*IF($AG25-$AF25&lt;1,($AF25&gt;Lists!G$22)*($AF25&lt;=Lists!G$21),MAX(0,MIN(Lists!G$21,$AG25)-MAX(Lists!G$22,$AF25))/($AG25-$AF25))+N($E25)*IF($AI25-$AH25&lt;1,($AH25&gt;Lists!G$22)*($AH25&lt;=Lists!G$21),MAX(0,MIN(Lists!G$21,$AI25)-MAX(Lists!G$22,$AH25))/($AI25-$AH25))+N($F25)*IF($AK25-$AJ25&lt;1,($AJ25&gt;Lists!G$22)*($AJ25&lt;=Lists!G$21),MAX(0,MIN(Lists!G$21,$AK25)-MAX(Lists!G$22,$AJ25))/($AK25-$AJ25))+N($G25)*IF($AM25-$AL25&lt;1,($AL25&gt;Lists!G$22)*($AL25&lt;=Lists!G$21),MAX(0,MIN(Lists!G$21,$AM25)-MAX(Lists!G$22,$AL25))/($AM25-$AL25))))))))</f>
        <v>0</v>
      </c>
      <c r="R25" s="53" t="n">
        <f aca="false">IF($H25=0,0,IF($AP25="X",0,IF($AP25="S",$H25/$AO25*(MIN($AO25,MAX(0,INT((Lists!H$21-N($J25))/7)+1))-MIN($AO25,MAX(0,INT((Lists!H$22-N($J25))/7)+1))),IF($AP25="D",$H25*MAX(0,MIN(Lists!H$21,N($J25)+$AO25)-MAX(Lists!H$22,N($J25)))/$AO25,IF($AP25="M",$H25/$AO25*(IF(Lists!H$21&lt;$J25,0,MIN($AO25,(((YEAR(Lists!H$21)-YEAR($J25))*12+MONTH(Lists!H$21)-MONTH($J25))-(EDATE($J25,((YEAR(Lists!H$21)-YEAR($J25))*12+MONTH(Lists!H$21)-MONTH($J25)))&gt;Lists!H$21)+1)))-IF(Lists!H$22&lt;$J25,0,MIN($AO25,(((YEAR(Lists!H$22)-YEAR($J25))*12+MONTH(Lists!H$22)-MONTH($J25))-(EDATE($J25,((YEAR(Lists!H$22)-YEAR($J25))*12+MONTH(Lists!H$22)-MONTH($J25)))&gt;Lists!H$22)+1)))),IF($AP25="F",IF(N($K25)&lt;=0,0,MIN(MAX(0,$H25),N($K25)*IF(Lists!H$21&lt;$J25,0,(((YEAR(Lists!H$21)-YEAR($J25))*12+MONTH(Lists!H$21)-MONTH($J25))-(EDATE($J25,((YEAR(Lists!H$21)-YEAR($J25))*12+MONTH(Lists!H$21)-MONTH($J25)))&gt;Lists!H$21)+1)))-MIN(MAX(0,$H25),N($K25)*IF(Lists!H$22&lt;$J25,0,(((YEAR(Lists!H$22)-YEAR($J25))*12+MONTH(Lists!H$22)-MONTH($J25))-(EDATE($J25,((YEAR(Lists!H$22)-YEAR($J25))*12+MONTH(Lists!H$22)-MONTH($J25)))&gt;Lists!H$22)+1)))),N($C25)*IF($AE25-$AD25&lt;1,($AD25&gt;Lists!H$22)*($AD25&lt;=Lists!H$21),MAX(0,MIN(Lists!H$21,$AE25)-MAX(Lists!H$22,$AD25))/($AE25-$AD25))+N($D25)*IF($AG25-$AF25&lt;1,($AF25&gt;Lists!H$22)*($AF25&lt;=Lists!H$21),MAX(0,MIN(Lists!H$21,$AG25)-MAX(Lists!H$22,$AF25))/($AG25-$AF25))+N($E25)*IF($AI25-$AH25&lt;1,($AH25&gt;Lists!H$22)*($AH25&lt;=Lists!H$21),MAX(0,MIN(Lists!H$21,$AI25)-MAX(Lists!H$22,$AH25))/($AI25-$AH25))+N($F25)*IF($AK25-$AJ25&lt;1,($AJ25&gt;Lists!H$22)*($AJ25&lt;=Lists!H$21),MAX(0,MIN(Lists!H$21,$AK25)-MAX(Lists!H$22,$AJ25))/($AK25-$AJ25))+N($G25)*IF($AM25-$AL25&lt;1,($AL25&gt;Lists!H$22)*($AL25&lt;=Lists!H$21),MAX(0,MIN(Lists!H$21,$AM25)-MAX(Lists!H$22,$AL25))/($AM25-$AL25))))))))</f>
        <v>0</v>
      </c>
      <c r="S25" s="53" t="n">
        <f aca="false">IF($H25=0,0,IF($AP25="X",0,IF($AP25="S",$H25/$AO25*(MIN($AO25,MAX(0,INT((Lists!I$21-N($J25))/7)+1))-MIN($AO25,MAX(0,INT((Lists!I$22-N($J25))/7)+1))),IF($AP25="D",$H25*MAX(0,MIN(Lists!I$21,N($J25)+$AO25)-MAX(Lists!I$22,N($J25)))/$AO25,IF($AP25="M",$H25/$AO25*(IF(Lists!I$21&lt;$J25,0,MIN($AO25,(((YEAR(Lists!I$21)-YEAR($J25))*12+MONTH(Lists!I$21)-MONTH($J25))-(EDATE($J25,((YEAR(Lists!I$21)-YEAR($J25))*12+MONTH(Lists!I$21)-MONTH($J25)))&gt;Lists!I$21)+1)))-IF(Lists!I$22&lt;$J25,0,MIN($AO25,(((YEAR(Lists!I$22)-YEAR($J25))*12+MONTH(Lists!I$22)-MONTH($J25))-(EDATE($J25,((YEAR(Lists!I$22)-YEAR($J25))*12+MONTH(Lists!I$22)-MONTH($J25)))&gt;Lists!I$22)+1)))),IF($AP25="F",IF(N($K25)&lt;=0,0,MIN(MAX(0,$H25),N($K25)*IF(Lists!I$21&lt;$J25,0,(((YEAR(Lists!I$21)-YEAR($J25))*12+MONTH(Lists!I$21)-MONTH($J25))-(EDATE($J25,((YEAR(Lists!I$21)-YEAR($J25))*12+MONTH(Lists!I$21)-MONTH($J25)))&gt;Lists!I$21)+1)))-MIN(MAX(0,$H25),N($K25)*IF(Lists!I$22&lt;$J25,0,(((YEAR(Lists!I$22)-YEAR($J25))*12+MONTH(Lists!I$22)-MONTH($J25))-(EDATE($J25,((YEAR(Lists!I$22)-YEAR($J25))*12+MONTH(Lists!I$22)-MONTH($J25)))&gt;Lists!I$22)+1)))),N($C25)*IF($AE25-$AD25&lt;1,($AD25&gt;Lists!I$22)*($AD25&lt;=Lists!I$21),MAX(0,MIN(Lists!I$21,$AE25)-MAX(Lists!I$22,$AD25))/($AE25-$AD25))+N($D25)*IF($AG25-$AF25&lt;1,($AF25&gt;Lists!I$22)*($AF25&lt;=Lists!I$21),MAX(0,MIN(Lists!I$21,$AG25)-MAX(Lists!I$22,$AF25))/($AG25-$AF25))+N($E25)*IF($AI25-$AH25&lt;1,($AH25&gt;Lists!I$22)*($AH25&lt;=Lists!I$21),MAX(0,MIN(Lists!I$21,$AI25)-MAX(Lists!I$22,$AH25))/($AI25-$AH25))+N($F25)*IF($AK25-$AJ25&lt;1,($AJ25&gt;Lists!I$22)*($AJ25&lt;=Lists!I$21),MAX(0,MIN(Lists!I$21,$AK25)-MAX(Lists!I$22,$AJ25))/($AK25-$AJ25))+N($G25)*IF($AM25-$AL25&lt;1,($AL25&gt;Lists!I$22)*($AL25&lt;=Lists!I$21),MAX(0,MIN(Lists!I$21,$AM25)-MAX(Lists!I$22,$AL25))/($AM25-$AL25))))))))</f>
        <v>0</v>
      </c>
      <c r="T25" s="53" t="n">
        <f aca="false">IF($H25=0,0,IF($AP25="X",0,IF($AP25="S",$H25/$AO25*(MIN($AO25,MAX(0,INT((Lists!J$21-N($J25))/7)+1))-MIN($AO25,MAX(0,INT((Lists!J$22-N($J25))/7)+1))),IF($AP25="D",$H25*MAX(0,MIN(Lists!J$21,N($J25)+$AO25)-MAX(Lists!J$22,N($J25)))/$AO25,IF($AP25="M",$H25/$AO25*(IF(Lists!J$21&lt;$J25,0,MIN($AO25,(((YEAR(Lists!J$21)-YEAR($J25))*12+MONTH(Lists!J$21)-MONTH($J25))-(EDATE($J25,((YEAR(Lists!J$21)-YEAR($J25))*12+MONTH(Lists!J$21)-MONTH($J25)))&gt;Lists!J$21)+1)))-IF(Lists!J$22&lt;$J25,0,MIN($AO25,(((YEAR(Lists!J$22)-YEAR($J25))*12+MONTH(Lists!J$22)-MONTH($J25))-(EDATE($J25,((YEAR(Lists!J$22)-YEAR($J25))*12+MONTH(Lists!J$22)-MONTH($J25)))&gt;Lists!J$22)+1)))),IF($AP25="F",IF(N($K25)&lt;=0,0,MIN(MAX(0,$H25),N($K25)*IF(Lists!J$21&lt;$J25,0,(((YEAR(Lists!J$21)-YEAR($J25))*12+MONTH(Lists!J$21)-MONTH($J25))-(EDATE($J25,((YEAR(Lists!J$21)-YEAR($J25))*12+MONTH(Lists!J$21)-MONTH($J25)))&gt;Lists!J$21)+1)))-MIN(MAX(0,$H25),N($K25)*IF(Lists!J$22&lt;$J25,0,(((YEAR(Lists!J$22)-YEAR($J25))*12+MONTH(Lists!J$22)-MONTH($J25))-(EDATE($J25,((YEAR(Lists!J$22)-YEAR($J25))*12+MONTH(Lists!J$22)-MONTH($J25)))&gt;Lists!J$22)+1)))),N($C25)*IF($AE25-$AD25&lt;1,($AD25&gt;Lists!J$22)*($AD25&lt;=Lists!J$21),MAX(0,MIN(Lists!J$21,$AE25)-MAX(Lists!J$22,$AD25))/($AE25-$AD25))+N($D25)*IF($AG25-$AF25&lt;1,($AF25&gt;Lists!J$22)*($AF25&lt;=Lists!J$21),MAX(0,MIN(Lists!J$21,$AG25)-MAX(Lists!J$22,$AF25))/($AG25-$AF25))+N($E25)*IF($AI25-$AH25&lt;1,($AH25&gt;Lists!J$22)*($AH25&lt;=Lists!J$21),MAX(0,MIN(Lists!J$21,$AI25)-MAX(Lists!J$22,$AH25))/($AI25-$AH25))+N($F25)*IF($AK25-$AJ25&lt;1,($AJ25&gt;Lists!J$22)*($AJ25&lt;=Lists!J$21),MAX(0,MIN(Lists!J$21,$AK25)-MAX(Lists!J$22,$AJ25))/($AK25-$AJ25))+N($G25)*IF($AM25-$AL25&lt;1,($AL25&gt;Lists!J$22)*($AL25&lt;=Lists!J$21),MAX(0,MIN(Lists!J$21,$AM25)-MAX(Lists!J$22,$AL25))/($AM25-$AL25))))))))</f>
        <v>0</v>
      </c>
      <c r="U25" s="53" t="n">
        <f aca="false">IF($H25=0,0,IF($AP25="X",0,IF($AP25="S",$H25/$AO25*(MIN($AO25,MAX(0,INT((Lists!K$21-N($J25))/7)+1))-MIN($AO25,MAX(0,INT((Lists!K$22-N($J25))/7)+1))),IF($AP25="D",$H25*MAX(0,MIN(Lists!K$21,N($J25)+$AO25)-MAX(Lists!K$22,N($J25)))/$AO25,IF($AP25="M",$H25/$AO25*(IF(Lists!K$21&lt;$J25,0,MIN($AO25,(((YEAR(Lists!K$21)-YEAR($J25))*12+MONTH(Lists!K$21)-MONTH($J25))-(EDATE($J25,((YEAR(Lists!K$21)-YEAR($J25))*12+MONTH(Lists!K$21)-MONTH($J25)))&gt;Lists!K$21)+1)))-IF(Lists!K$22&lt;$J25,0,MIN($AO25,(((YEAR(Lists!K$22)-YEAR($J25))*12+MONTH(Lists!K$22)-MONTH($J25))-(EDATE($J25,((YEAR(Lists!K$22)-YEAR($J25))*12+MONTH(Lists!K$22)-MONTH($J25)))&gt;Lists!K$22)+1)))),IF($AP25="F",IF(N($K25)&lt;=0,0,MIN(MAX(0,$H25),N($K25)*IF(Lists!K$21&lt;$J25,0,(((YEAR(Lists!K$21)-YEAR($J25))*12+MONTH(Lists!K$21)-MONTH($J25))-(EDATE($J25,((YEAR(Lists!K$21)-YEAR($J25))*12+MONTH(Lists!K$21)-MONTH($J25)))&gt;Lists!K$21)+1)))-MIN(MAX(0,$H25),N($K25)*IF(Lists!K$22&lt;$J25,0,(((YEAR(Lists!K$22)-YEAR($J25))*12+MONTH(Lists!K$22)-MONTH($J25))-(EDATE($J25,((YEAR(Lists!K$22)-YEAR($J25))*12+MONTH(Lists!K$22)-MONTH($J25)))&gt;Lists!K$22)+1)))),N($C25)*IF($AE25-$AD25&lt;1,($AD25&gt;Lists!K$22)*($AD25&lt;=Lists!K$21),MAX(0,MIN(Lists!K$21,$AE25)-MAX(Lists!K$22,$AD25))/($AE25-$AD25))+N($D25)*IF($AG25-$AF25&lt;1,($AF25&gt;Lists!K$22)*($AF25&lt;=Lists!K$21),MAX(0,MIN(Lists!K$21,$AG25)-MAX(Lists!K$22,$AF25))/($AG25-$AF25))+N($E25)*IF($AI25-$AH25&lt;1,($AH25&gt;Lists!K$22)*($AH25&lt;=Lists!K$21),MAX(0,MIN(Lists!K$21,$AI25)-MAX(Lists!K$22,$AH25))/($AI25-$AH25))+N($F25)*IF($AK25-$AJ25&lt;1,($AJ25&gt;Lists!K$22)*($AJ25&lt;=Lists!K$21),MAX(0,MIN(Lists!K$21,$AK25)-MAX(Lists!K$22,$AJ25))/($AK25-$AJ25))+N($G25)*IF($AM25-$AL25&lt;1,($AL25&gt;Lists!K$22)*($AL25&lt;=Lists!K$21),MAX(0,MIN(Lists!K$21,$AM25)-MAX(Lists!K$22,$AL25))/($AM25-$AL25))))))))</f>
        <v>0</v>
      </c>
      <c r="V25" s="53" t="n">
        <f aca="false">IF($H25=0,0,IF($AP25="X",0,IF($AP25="S",$H25/$AO25*(MIN($AO25,MAX(0,INT((Lists!L$21-N($J25))/7)+1))-MIN($AO25,MAX(0,INT((Lists!L$22-N($J25))/7)+1))),IF($AP25="D",$H25*MAX(0,MIN(Lists!L$21,N($J25)+$AO25)-MAX(Lists!L$22,N($J25)))/$AO25,IF($AP25="M",$H25/$AO25*(IF(Lists!L$21&lt;$J25,0,MIN($AO25,(((YEAR(Lists!L$21)-YEAR($J25))*12+MONTH(Lists!L$21)-MONTH($J25))-(EDATE($J25,((YEAR(Lists!L$21)-YEAR($J25))*12+MONTH(Lists!L$21)-MONTH($J25)))&gt;Lists!L$21)+1)))-IF(Lists!L$22&lt;$J25,0,MIN($AO25,(((YEAR(Lists!L$22)-YEAR($J25))*12+MONTH(Lists!L$22)-MONTH($J25))-(EDATE($J25,((YEAR(Lists!L$22)-YEAR($J25))*12+MONTH(Lists!L$22)-MONTH($J25)))&gt;Lists!L$22)+1)))),IF($AP25="F",IF(N($K25)&lt;=0,0,MIN(MAX(0,$H25),N($K25)*IF(Lists!L$21&lt;$J25,0,(((YEAR(Lists!L$21)-YEAR($J25))*12+MONTH(Lists!L$21)-MONTH($J25))-(EDATE($J25,((YEAR(Lists!L$21)-YEAR($J25))*12+MONTH(Lists!L$21)-MONTH($J25)))&gt;Lists!L$21)+1)))-MIN(MAX(0,$H25),N($K25)*IF(Lists!L$22&lt;$J25,0,(((YEAR(Lists!L$22)-YEAR($J25))*12+MONTH(Lists!L$22)-MONTH($J25))-(EDATE($J25,((YEAR(Lists!L$22)-YEAR($J25))*12+MONTH(Lists!L$22)-MONTH($J25)))&gt;Lists!L$22)+1)))),N($C25)*IF($AE25-$AD25&lt;1,($AD25&gt;Lists!L$22)*($AD25&lt;=Lists!L$21),MAX(0,MIN(Lists!L$21,$AE25)-MAX(Lists!L$22,$AD25))/($AE25-$AD25))+N($D25)*IF($AG25-$AF25&lt;1,($AF25&gt;Lists!L$22)*($AF25&lt;=Lists!L$21),MAX(0,MIN(Lists!L$21,$AG25)-MAX(Lists!L$22,$AF25))/($AG25-$AF25))+N($E25)*IF($AI25-$AH25&lt;1,($AH25&gt;Lists!L$22)*($AH25&lt;=Lists!L$21),MAX(0,MIN(Lists!L$21,$AI25)-MAX(Lists!L$22,$AH25))/($AI25-$AH25))+N($F25)*IF($AK25-$AJ25&lt;1,($AJ25&gt;Lists!L$22)*($AJ25&lt;=Lists!L$21),MAX(0,MIN(Lists!L$21,$AK25)-MAX(Lists!L$22,$AJ25))/($AK25-$AJ25))+N($G25)*IF($AM25-$AL25&lt;1,($AL25&gt;Lists!L$22)*($AL25&lt;=Lists!L$21),MAX(0,MIN(Lists!L$21,$AM25)-MAX(Lists!L$22,$AL25))/($AM25-$AL25))))))))</f>
        <v>0</v>
      </c>
      <c r="W25" s="53" t="n">
        <f aca="false">IF($H25=0,0,IF($AP25="X",0,IF($AP25="S",$H25/$AO25*(MIN($AO25,MAX(0,INT((Lists!M$21-N($J25))/7)+1))-MIN($AO25,MAX(0,INT((Lists!M$22-N($J25))/7)+1))),IF($AP25="D",$H25*MAX(0,MIN(Lists!M$21,N($J25)+$AO25)-MAX(Lists!M$22,N($J25)))/$AO25,IF($AP25="M",$H25/$AO25*(IF(Lists!M$21&lt;$J25,0,MIN($AO25,(((YEAR(Lists!M$21)-YEAR($J25))*12+MONTH(Lists!M$21)-MONTH($J25))-(EDATE($J25,((YEAR(Lists!M$21)-YEAR($J25))*12+MONTH(Lists!M$21)-MONTH($J25)))&gt;Lists!M$21)+1)))-IF(Lists!M$22&lt;$J25,0,MIN($AO25,(((YEAR(Lists!M$22)-YEAR($J25))*12+MONTH(Lists!M$22)-MONTH($J25))-(EDATE($J25,((YEAR(Lists!M$22)-YEAR($J25))*12+MONTH(Lists!M$22)-MONTH($J25)))&gt;Lists!M$22)+1)))),IF($AP25="F",IF(N($K25)&lt;=0,0,MIN(MAX(0,$H25),N($K25)*IF(Lists!M$21&lt;$J25,0,(((YEAR(Lists!M$21)-YEAR($J25))*12+MONTH(Lists!M$21)-MONTH($J25))-(EDATE($J25,((YEAR(Lists!M$21)-YEAR($J25))*12+MONTH(Lists!M$21)-MONTH($J25)))&gt;Lists!M$21)+1)))-MIN(MAX(0,$H25),N($K25)*IF(Lists!M$22&lt;$J25,0,(((YEAR(Lists!M$22)-YEAR($J25))*12+MONTH(Lists!M$22)-MONTH($J25))-(EDATE($J25,((YEAR(Lists!M$22)-YEAR($J25))*12+MONTH(Lists!M$22)-MONTH($J25)))&gt;Lists!M$22)+1)))),N($C25)*IF($AE25-$AD25&lt;1,($AD25&gt;Lists!M$22)*($AD25&lt;=Lists!M$21),MAX(0,MIN(Lists!M$21,$AE25)-MAX(Lists!M$22,$AD25))/($AE25-$AD25))+N($D25)*IF($AG25-$AF25&lt;1,($AF25&gt;Lists!M$22)*($AF25&lt;=Lists!M$21),MAX(0,MIN(Lists!M$21,$AG25)-MAX(Lists!M$22,$AF25))/($AG25-$AF25))+N($E25)*IF($AI25-$AH25&lt;1,($AH25&gt;Lists!M$22)*($AH25&lt;=Lists!M$21),MAX(0,MIN(Lists!M$21,$AI25)-MAX(Lists!M$22,$AH25))/($AI25-$AH25))+N($F25)*IF($AK25-$AJ25&lt;1,($AJ25&gt;Lists!M$22)*($AJ25&lt;=Lists!M$21),MAX(0,MIN(Lists!M$21,$AK25)-MAX(Lists!M$22,$AJ25))/($AK25-$AJ25))+N($G25)*IF($AM25-$AL25&lt;1,($AL25&gt;Lists!M$22)*($AL25&lt;=Lists!M$21),MAX(0,MIN(Lists!M$21,$AM25)-MAX(Lists!M$22,$AL25))/($AM25-$AL25))))))))</f>
        <v>0</v>
      </c>
      <c r="X25" s="53" t="n">
        <f aca="false">IF($H25=0,0,IF($AP25="X",0,IF($AP25="S",$H25/$AO25*(MIN($AO25,MAX(0,INT((Lists!N$21-N($J25))/7)+1))-MIN($AO25,MAX(0,INT((Lists!N$22-N($J25))/7)+1))),IF($AP25="D",$H25*MAX(0,MIN(Lists!N$21,N($J25)+$AO25)-MAX(Lists!N$22,N($J25)))/$AO25,IF($AP25="M",$H25/$AO25*(IF(Lists!N$21&lt;$J25,0,MIN($AO25,(((YEAR(Lists!N$21)-YEAR($J25))*12+MONTH(Lists!N$21)-MONTH($J25))-(EDATE($J25,((YEAR(Lists!N$21)-YEAR($J25))*12+MONTH(Lists!N$21)-MONTH($J25)))&gt;Lists!N$21)+1)))-IF(Lists!N$22&lt;$J25,0,MIN($AO25,(((YEAR(Lists!N$22)-YEAR($J25))*12+MONTH(Lists!N$22)-MONTH($J25))-(EDATE($J25,((YEAR(Lists!N$22)-YEAR($J25))*12+MONTH(Lists!N$22)-MONTH($J25)))&gt;Lists!N$22)+1)))),IF($AP25="F",IF(N($K25)&lt;=0,0,MIN(MAX(0,$H25),N($K25)*IF(Lists!N$21&lt;$J25,0,(((YEAR(Lists!N$21)-YEAR($J25))*12+MONTH(Lists!N$21)-MONTH($J25))-(EDATE($J25,((YEAR(Lists!N$21)-YEAR($J25))*12+MONTH(Lists!N$21)-MONTH($J25)))&gt;Lists!N$21)+1)))-MIN(MAX(0,$H25),N($K25)*IF(Lists!N$22&lt;$J25,0,(((YEAR(Lists!N$22)-YEAR($J25))*12+MONTH(Lists!N$22)-MONTH($J25))-(EDATE($J25,((YEAR(Lists!N$22)-YEAR($J25))*12+MONTH(Lists!N$22)-MONTH($J25)))&gt;Lists!N$22)+1)))),N($C25)*IF($AE25-$AD25&lt;1,($AD25&gt;Lists!N$22)*($AD25&lt;=Lists!N$21),MAX(0,MIN(Lists!N$21,$AE25)-MAX(Lists!N$22,$AD25))/($AE25-$AD25))+N($D25)*IF($AG25-$AF25&lt;1,($AF25&gt;Lists!N$22)*($AF25&lt;=Lists!N$21),MAX(0,MIN(Lists!N$21,$AG25)-MAX(Lists!N$22,$AF25))/($AG25-$AF25))+N($E25)*IF($AI25-$AH25&lt;1,($AH25&gt;Lists!N$22)*($AH25&lt;=Lists!N$21),MAX(0,MIN(Lists!N$21,$AI25)-MAX(Lists!N$22,$AH25))/($AI25-$AH25))+N($F25)*IF($AK25-$AJ25&lt;1,($AJ25&gt;Lists!N$22)*($AJ25&lt;=Lists!N$21),MAX(0,MIN(Lists!N$21,$AK25)-MAX(Lists!N$22,$AJ25))/($AK25-$AJ25))+N($G25)*IF($AM25-$AL25&lt;1,($AL25&gt;Lists!N$22)*($AL25&lt;=Lists!N$21),MAX(0,MIN(Lists!N$21,$AM25)-MAX(Lists!N$22,$AL25))/($AM25-$AL25))))))))</f>
        <v>0</v>
      </c>
      <c r="Y25" s="53" t="n">
        <f aca="false">IF($H25=0,0,IF($AP25="X",0,IF($AP25="S",$H25/$AO25*(MIN($AO25,MAX(0,INT((Lists!O$21-N($J25))/7)+1))-MIN($AO25,MAX(0,INT((Lists!O$22-N($J25))/7)+1))),IF($AP25="D",$H25*MAX(0,MIN(Lists!O$21,N($J25)+$AO25)-MAX(Lists!O$22,N($J25)))/$AO25,IF($AP25="M",$H25/$AO25*(IF(Lists!O$21&lt;$J25,0,MIN($AO25,(((YEAR(Lists!O$21)-YEAR($J25))*12+MONTH(Lists!O$21)-MONTH($J25))-(EDATE($J25,((YEAR(Lists!O$21)-YEAR($J25))*12+MONTH(Lists!O$21)-MONTH($J25)))&gt;Lists!O$21)+1)))-IF(Lists!O$22&lt;$J25,0,MIN($AO25,(((YEAR(Lists!O$22)-YEAR($J25))*12+MONTH(Lists!O$22)-MONTH($J25))-(EDATE($J25,((YEAR(Lists!O$22)-YEAR($J25))*12+MONTH(Lists!O$22)-MONTH($J25)))&gt;Lists!O$22)+1)))),IF($AP25="F",IF(N($K25)&lt;=0,0,MIN(MAX(0,$H25),N($K25)*IF(Lists!O$21&lt;$J25,0,(((YEAR(Lists!O$21)-YEAR($J25))*12+MONTH(Lists!O$21)-MONTH($J25))-(EDATE($J25,((YEAR(Lists!O$21)-YEAR($J25))*12+MONTH(Lists!O$21)-MONTH($J25)))&gt;Lists!O$21)+1)))-MIN(MAX(0,$H25),N($K25)*IF(Lists!O$22&lt;$J25,0,(((YEAR(Lists!O$22)-YEAR($J25))*12+MONTH(Lists!O$22)-MONTH($J25))-(EDATE($J25,((YEAR(Lists!O$22)-YEAR($J25))*12+MONTH(Lists!O$22)-MONTH($J25)))&gt;Lists!O$22)+1)))),N($C25)*IF($AE25-$AD25&lt;1,($AD25&gt;Lists!O$22)*($AD25&lt;=Lists!O$21),MAX(0,MIN(Lists!O$21,$AE25)-MAX(Lists!O$22,$AD25))/($AE25-$AD25))+N($D25)*IF($AG25-$AF25&lt;1,($AF25&gt;Lists!O$22)*($AF25&lt;=Lists!O$21),MAX(0,MIN(Lists!O$21,$AG25)-MAX(Lists!O$22,$AF25))/($AG25-$AF25))+N($E25)*IF($AI25-$AH25&lt;1,($AH25&gt;Lists!O$22)*($AH25&lt;=Lists!O$21),MAX(0,MIN(Lists!O$21,$AI25)-MAX(Lists!O$22,$AH25))/($AI25-$AH25))+N($F25)*IF($AK25-$AJ25&lt;1,($AJ25&gt;Lists!O$22)*($AJ25&lt;=Lists!O$21),MAX(0,MIN(Lists!O$21,$AK25)-MAX(Lists!O$22,$AJ25))/($AK25-$AJ25))+N($G25)*IF($AM25-$AL25&lt;1,($AL25&gt;Lists!O$22)*($AL25&lt;=Lists!O$21),MAX(0,MIN(Lists!O$21,$AM25)-MAX(Lists!O$22,$AL25))/($AM25-$AL25))))))))</f>
        <v>0</v>
      </c>
      <c r="Z25" s="46" t="n">
        <f aca="false">SUM(M25:Y25)</f>
        <v>0</v>
      </c>
      <c r="AA25" s="92" t="n">
        <f aca="false">H25-Z25</f>
        <v>0</v>
      </c>
      <c r="AB25" s="55"/>
      <c r="AC25" s="2"/>
      <c r="AD25" s="93" t="n">
        <f aca="false">Setup!$D$10+MAX(0,$AN25-30)</f>
        <v>46365</v>
      </c>
      <c r="AE25" s="93" t="n">
        <f aca="false">Setup!$D$10+IF($AN25-30&lt;0,MAX(Setup!$D$22,$AN25-0),$AN25-0)</f>
        <v>46395</v>
      </c>
      <c r="AF25" s="93" t="n">
        <f aca="false">Setup!$D$10+MAX(0,$AN25-60)</f>
        <v>46335</v>
      </c>
      <c r="AG25" s="93" t="n">
        <f aca="false">Setup!$D$10+IF($AN25-60&lt;0,MAX(Setup!$D$22,$AN25-31),$AN25-31)</f>
        <v>46364</v>
      </c>
      <c r="AH25" s="93" t="n">
        <f aca="false">Setup!$D$10+MAX(0,$AN25-90)</f>
        <v>46335</v>
      </c>
      <c r="AI25" s="93" t="n">
        <f aca="false">Setup!$D$10+IF($AN25-90&lt;0,MAX(Setup!$D$22,$AN25-61),$AN25-61)</f>
        <v>46363</v>
      </c>
      <c r="AJ25" s="93" t="n">
        <f aca="false">Setup!$D$10+MAX(0,$AN25-120)</f>
        <v>46335</v>
      </c>
      <c r="AK25" s="93" t="n">
        <f aca="false">Setup!$D$10+IF($AN25-120&lt;0,MAX(Setup!$D$22,$AN25-91),$AN25-91)</f>
        <v>46363</v>
      </c>
      <c r="AL25" s="93" t="n">
        <f aca="false">IF(Setup!$D$23="Yes",2958465,Setup!$D$10)</f>
        <v>2958465</v>
      </c>
      <c r="AM25" s="93" t="n">
        <f aca="false">IF(AL25=2958465,AL25,Setup!$D$10+Setup!$D$22)</f>
        <v>2958465</v>
      </c>
      <c r="AN25" s="94" t="n">
        <f aca="false">IF(N(L25)=0,Setup!$D$20,L25)</f>
        <v>60</v>
      </c>
      <c r="AO25" s="94" t="n">
        <f aca="false">MAX(1,ROUND(N(K25),0))</f>
        <v>1</v>
      </c>
      <c r="AP25" s="95" t="str">
        <f aca="false">IF(I25="Doubtful","X",IF(N(J25)=0,"A",IF(I25="Specific date","S",IF(I25="Spread over days","D",IF(I25="Monthly on set day","M",IF(I25="Monthly fixed amount","F","A"))))))</f>
        <v>A</v>
      </c>
    </row>
    <row r="26" customFormat="false" ht="15" hidden="false" customHeight="false" outlineLevel="0" collapsed="false">
      <c r="A26" s="87" t="n">
        <v>18</v>
      </c>
      <c r="B26" s="55"/>
      <c r="C26" s="88"/>
      <c r="D26" s="88"/>
      <c r="E26" s="88"/>
      <c r="F26" s="88"/>
      <c r="G26" s="88"/>
      <c r="H26" s="89" t="n">
        <f aca="false">SUM(C26:G26)</f>
        <v>0</v>
      </c>
      <c r="I26" s="58"/>
      <c r="J26" s="90"/>
      <c r="K26" s="91"/>
      <c r="L26" s="80"/>
      <c r="M26" s="53" t="n">
        <f aca="false">IF($H26=0,0,IF($AP26="X",0,IF($AP26="S",$H26/$AO26*(MIN($AO26,MAX(0,INT((Lists!C$21-N($J26))/7)+1))-MIN($AO26,MAX(0,INT((Lists!C$22-N($J26))/7)+1))),IF($AP26="D",$H26*MAX(0,MIN(Lists!C$21,N($J26)+$AO26)-MAX(Lists!C$22,N($J26)))/$AO26,IF($AP26="M",$H26/$AO26*(IF(Lists!C$21&lt;$J26,0,MIN($AO26,(((YEAR(Lists!C$21)-YEAR($J26))*12+MONTH(Lists!C$21)-MONTH($J26))-(EDATE($J26,((YEAR(Lists!C$21)-YEAR($J26))*12+MONTH(Lists!C$21)-MONTH($J26)))&gt;Lists!C$21)+1)))-IF(Lists!C$22&lt;$J26,0,MIN($AO26,(((YEAR(Lists!C$22)-YEAR($J26))*12+MONTH(Lists!C$22)-MONTH($J26))-(EDATE($J26,((YEAR(Lists!C$22)-YEAR($J26))*12+MONTH(Lists!C$22)-MONTH($J26)))&gt;Lists!C$22)+1)))),IF($AP26="F",IF(N($K26)&lt;=0,0,MIN(MAX(0,$H26),N($K26)*IF(Lists!C$21&lt;$J26,0,(((YEAR(Lists!C$21)-YEAR($J26))*12+MONTH(Lists!C$21)-MONTH($J26))-(EDATE($J26,((YEAR(Lists!C$21)-YEAR($J26))*12+MONTH(Lists!C$21)-MONTH($J26)))&gt;Lists!C$21)+1)))-MIN(MAX(0,$H26),N($K26)*IF(Lists!C$22&lt;$J26,0,(((YEAR(Lists!C$22)-YEAR($J26))*12+MONTH(Lists!C$22)-MONTH($J26))-(EDATE($J26,((YEAR(Lists!C$22)-YEAR($J26))*12+MONTH(Lists!C$22)-MONTH($J26)))&gt;Lists!C$22)+1)))),N($C26)*IF($AE26-$AD26&lt;1,($AD26&gt;Lists!C$22)*($AD26&lt;=Lists!C$21),MAX(0,MIN(Lists!C$21,$AE26)-MAX(Lists!C$22,$AD26))/($AE26-$AD26))+N($D26)*IF($AG26-$AF26&lt;1,($AF26&gt;Lists!C$22)*($AF26&lt;=Lists!C$21),MAX(0,MIN(Lists!C$21,$AG26)-MAX(Lists!C$22,$AF26))/($AG26-$AF26))+N($E26)*IF($AI26-$AH26&lt;1,($AH26&gt;Lists!C$22)*($AH26&lt;=Lists!C$21),MAX(0,MIN(Lists!C$21,$AI26)-MAX(Lists!C$22,$AH26))/($AI26-$AH26))+N($F26)*IF($AK26-$AJ26&lt;1,($AJ26&gt;Lists!C$22)*($AJ26&lt;=Lists!C$21),MAX(0,MIN(Lists!C$21,$AK26)-MAX(Lists!C$22,$AJ26))/($AK26-$AJ26))+N($G26)*IF($AM26-$AL26&lt;1,($AL26&gt;Lists!C$22)*($AL26&lt;=Lists!C$21),MAX(0,MIN(Lists!C$21,$AM26)-MAX(Lists!C$22,$AL26))/($AM26-$AL26))))))))</f>
        <v>0</v>
      </c>
      <c r="N26" s="53" t="n">
        <f aca="false">IF($H26=0,0,IF($AP26="X",0,IF($AP26="S",$H26/$AO26*(MIN($AO26,MAX(0,INT((Lists!D$21-N($J26))/7)+1))-MIN($AO26,MAX(0,INT((Lists!D$22-N($J26))/7)+1))),IF($AP26="D",$H26*MAX(0,MIN(Lists!D$21,N($J26)+$AO26)-MAX(Lists!D$22,N($J26)))/$AO26,IF($AP26="M",$H26/$AO26*(IF(Lists!D$21&lt;$J26,0,MIN($AO26,(((YEAR(Lists!D$21)-YEAR($J26))*12+MONTH(Lists!D$21)-MONTH($J26))-(EDATE($J26,((YEAR(Lists!D$21)-YEAR($J26))*12+MONTH(Lists!D$21)-MONTH($J26)))&gt;Lists!D$21)+1)))-IF(Lists!D$22&lt;$J26,0,MIN($AO26,(((YEAR(Lists!D$22)-YEAR($J26))*12+MONTH(Lists!D$22)-MONTH($J26))-(EDATE($J26,((YEAR(Lists!D$22)-YEAR($J26))*12+MONTH(Lists!D$22)-MONTH($J26)))&gt;Lists!D$22)+1)))),IF($AP26="F",IF(N($K26)&lt;=0,0,MIN(MAX(0,$H26),N($K26)*IF(Lists!D$21&lt;$J26,0,(((YEAR(Lists!D$21)-YEAR($J26))*12+MONTH(Lists!D$21)-MONTH($J26))-(EDATE($J26,((YEAR(Lists!D$21)-YEAR($J26))*12+MONTH(Lists!D$21)-MONTH($J26)))&gt;Lists!D$21)+1)))-MIN(MAX(0,$H26),N($K26)*IF(Lists!D$22&lt;$J26,0,(((YEAR(Lists!D$22)-YEAR($J26))*12+MONTH(Lists!D$22)-MONTH($J26))-(EDATE($J26,((YEAR(Lists!D$22)-YEAR($J26))*12+MONTH(Lists!D$22)-MONTH($J26)))&gt;Lists!D$22)+1)))),N($C26)*IF($AE26-$AD26&lt;1,($AD26&gt;Lists!D$22)*($AD26&lt;=Lists!D$21),MAX(0,MIN(Lists!D$21,$AE26)-MAX(Lists!D$22,$AD26))/($AE26-$AD26))+N($D26)*IF($AG26-$AF26&lt;1,($AF26&gt;Lists!D$22)*($AF26&lt;=Lists!D$21),MAX(0,MIN(Lists!D$21,$AG26)-MAX(Lists!D$22,$AF26))/($AG26-$AF26))+N($E26)*IF($AI26-$AH26&lt;1,($AH26&gt;Lists!D$22)*($AH26&lt;=Lists!D$21),MAX(0,MIN(Lists!D$21,$AI26)-MAX(Lists!D$22,$AH26))/($AI26-$AH26))+N($F26)*IF($AK26-$AJ26&lt;1,($AJ26&gt;Lists!D$22)*($AJ26&lt;=Lists!D$21),MAX(0,MIN(Lists!D$21,$AK26)-MAX(Lists!D$22,$AJ26))/($AK26-$AJ26))+N($G26)*IF($AM26-$AL26&lt;1,($AL26&gt;Lists!D$22)*($AL26&lt;=Lists!D$21),MAX(0,MIN(Lists!D$21,$AM26)-MAX(Lists!D$22,$AL26))/($AM26-$AL26))))))))</f>
        <v>0</v>
      </c>
      <c r="O26" s="53" t="n">
        <f aca="false">IF($H26=0,0,IF($AP26="X",0,IF($AP26="S",$H26/$AO26*(MIN($AO26,MAX(0,INT((Lists!E$21-N($J26))/7)+1))-MIN($AO26,MAX(0,INT((Lists!E$22-N($J26))/7)+1))),IF($AP26="D",$H26*MAX(0,MIN(Lists!E$21,N($J26)+$AO26)-MAX(Lists!E$22,N($J26)))/$AO26,IF($AP26="M",$H26/$AO26*(IF(Lists!E$21&lt;$J26,0,MIN($AO26,(((YEAR(Lists!E$21)-YEAR($J26))*12+MONTH(Lists!E$21)-MONTH($J26))-(EDATE($J26,((YEAR(Lists!E$21)-YEAR($J26))*12+MONTH(Lists!E$21)-MONTH($J26)))&gt;Lists!E$21)+1)))-IF(Lists!E$22&lt;$J26,0,MIN($AO26,(((YEAR(Lists!E$22)-YEAR($J26))*12+MONTH(Lists!E$22)-MONTH($J26))-(EDATE($J26,((YEAR(Lists!E$22)-YEAR($J26))*12+MONTH(Lists!E$22)-MONTH($J26)))&gt;Lists!E$22)+1)))),IF($AP26="F",IF(N($K26)&lt;=0,0,MIN(MAX(0,$H26),N($K26)*IF(Lists!E$21&lt;$J26,0,(((YEAR(Lists!E$21)-YEAR($J26))*12+MONTH(Lists!E$21)-MONTH($J26))-(EDATE($J26,((YEAR(Lists!E$21)-YEAR($J26))*12+MONTH(Lists!E$21)-MONTH($J26)))&gt;Lists!E$21)+1)))-MIN(MAX(0,$H26),N($K26)*IF(Lists!E$22&lt;$J26,0,(((YEAR(Lists!E$22)-YEAR($J26))*12+MONTH(Lists!E$22)-MONTH($J26))-(EDATE($J26,((YEAR(Lists!E$22)-YEAR($J26))*12+MONTH(Lists!E$22)-MONTH($J26)))&gt;Lists!E$22)+1)))),N($C26)*IF($AE26-$AD26&lt;1,($AD26&gt;Lists!E$22)*($AD26&lt;=Lists!E$21),MAX(0,MIN(Lists!E$21,$AE26)-MAX(Lists!E$22,$AD26))/($AE26-$AD26))+N($D26)*IF($AG26-$AF26&lt;1,($AF26&gt;Lists!E$22)*($AF26&lt;=Lists!E$21),MAX(0,MIN(Lists!E$21,$AG26)-MAX(Lists!E$22,$AF26))/($AG26-$AF26))+N($E26)*IF($AI26-$AH26&lt;1,($AH26&gt;Lists!E$22)*($AH26&lt;=Lists!E$21),MAX(0,MIN(Lists!E$21,$AI26)-MAX(Lists!E$22,$AH26))/($AI26-$AH26))+N($F26)*IF($AK26-$AJ26&lt;1,($AJ26&gt;Lists!E$22)*($AJ26&lt;=Lists!E$21),MAX(0,MIN(Lists!E$21,$AK26)-MAX(Lists!E$22,$AJ26))/($AK26-$AJ26))+N($G26)*IF($AM26-$AL26&lt;1,($AL26&gt;Lists!E$22)*($AL26&lt;=Lists!E$21),MAX(0,MIN(Lists!E$21,$AM26)-MAX(Lists!E$22,$AL26))/($AM26-$AL26))))))))</f>
        <v>0</v>
      </c>
      <c r="P26" s="53" t="n">
        <f aca="false">IF($H26=0,0,IF($AP26="X",0,IF($AP26="S",$H26/$AO26*(MIN($AO26,MAX(0,INT((Lists!F$21-N($J26))/7)+1))-MIN($AO26,MAX(0,INT((Lists!F$22-N($J26))/7)+1))),IF($AP26="D",$H26*MAX(0,MIN(Lists!F$21,N($J26)+$AO26)-MAX(Lists!F$22,N($J26)))/$AO26,IF($AP26="M",$H26/$AO26*(IF(Lists!F$21&lt;$J26,0,MIN($AO26,(((YEAR(Lists!F$21)-YEAR($J26))*12+MONTH(Lists!F$21)-MONTH($J26))-(EDATE($J26,((YEAR(Lists!F$21)-YEAR($J26))*12+MONTH(Lists!F$21)-MONTH($J26)))&gt;Lists!F$21)+1)))-IF(Lists!F$22&lt;$J26,0,MIN($AO26,(((YEAR(Lists!F$22)-YEAR($J26))*12+MONTH(Lists!F$22)-MONTH($J26))-(EDATE($J26,((YEAR(Lists!F$22)-YEAR($J26))*12+MONTH(Lists!F$22)-MONTH($J26)))&gt;Lists!F$22)+1)))),IF($AP26="F",IF(N($K26)&lt;=0,0,MIN(MAX(0,$H26),N($K26)*IF(Lists!F$21&lt;$J26,0,(((YEAR(Lists!F$21)-YEAR($J26))*12+MONTH(Lists!F$21)-MONTH($J26))-(EDATE($J26,((YEAR(Lists!F$21)-YEAR($J26))*12+MONTH(Lists!F$21)-MONTH($J26)))&gt;Lists!F$21)+1)))-MIN(MAX(0,$H26),N($K26)*IF(Lists!F$22&lt;$J26,0,(((YEAR(Lists!F$22)-YEAR($J26))*12+MONTH(Lists!F$22)-MONTH($J26))-(EDATE($J26,((YEAR(Lists!F$22)-YEAR($J26))*12+MONTH(Lists!F$22)-MONTH($J26)))&gt;Lists!F$22)+1)))),N($C26)*IF($AE26-$AD26&lt;1,($AD26&gt;Lists!F$22)*($AD26&lt;=Lists!F$21),MAX(0,MIN(Lists!F$21,$AE26)-MAX(Lists!F$22,$AD26))/($AE26-$AD26))+N($D26)*IF($AG26-$AF26&lt;1,($AF26&gt;Lists!F$22)*($AF26&lt;=Lists!F$21),MAX(0,MIN(Lists!F$21,$AG26)-MAX(Lists!F$22,$AF26))/($AG26-$AF26))+N($E26)*IF($AI26-$AH26&lt;1,($AH26&gt;Lists!F$22)*($AH26&lt;=Lists!F$21),MAX(0,MIN(Lists!F$21,$AI26)-MAX(Lists!F$22,$AH26))/($AI26-$AH26))+N($F26)*IF($AK26-$AJ26&lt;1,($AJ26&gt;Lists!F$22)*($AJ26&lt;=Lists!F$21),MAX(0,MIN(Lists!F$21,$AK26)-MAX(Lists!F$22,$AJ26))/($AK26-$AJ26))+N($G26)*IF($AM26-$AL26&lt;1,($AL26&gt;Lists!F$22)*($AL26&lt;=Lists!F$21),MAX(0,MIN(Lists!F$21,$AM26)-MAX(Lists!F$22,$AL26))/($AM26-$AL26))))))))</f>
        <v>0</v>
      </c>
      <c r="Q26" s="53" t="n">
        <f aca="false">IF($H26=0,0,IF($AP26="X",0,IF($AP26="S",$H26/$AO26*(MIN($AO26,MAX(0,INT((Lists!G$21-N($J26))/7)+1))-MIN($AO26,MAX(0,INT((Lists!G$22-N($J26))/7)+1))),IF($AP26="D",$H26*MAX(0,MIN(Lists!G$21,N($J26)+$AO26)-MAX(Lists!G$22,N($J26)))/$AO26,IF($AP26="M",$H26/$AO26*(IF(Lists!G$21&lt;$J26,0,MIN($AO26,(((YEAR(Lists!G$21)-YEAR($J26))*12+MONTH(Lists!G$21)-MONTH($J26))-(EDATE($J26,((YEAR(Lists!G$21)-YEAR($J26))*12+MONTH(Lists!G$21)-MONTH($J26)))&gt;Lists!G$21)+1)))-IF(Lists!G$22&lt;$J26,0,MIN($AO26,(((YEAR(Lists!G$22)-YEAR($J26))*12+MONTH(Lists!G$22)-MONTH($J26))-(EDATE($J26,((YEAR(Lists!G$22)-YEAR($J26))*12+MONTH(Lists!G$22)-MONTH($J26)))&gt;Lists!G$22)+1)))),IF($AP26="F",IF(N($K26)&lt;=0,0,MIN(MAX(0,$H26),N($K26)*IF(Lists!G$21&lt;$J26,0,(((YEAR(Lists!G$21)-YEAR($J26))*12+MONTH(Lists!G$21)-MONTH($J26))-(EDATE($J26,((YEAR(Lists!G$21)-YEAR($J26))*12+MONTH(Lists!G$21)-MONTH($J26)))&gt;Lists!G$21)+1)))-MIN(MAX(0,$H26),N($K26)*IF(Lists!G$22&lt;$J26,0,(((YEAR(Lists!G$22)-YEAR($J26))*12+MONTH(Lists!G$22)-MONTH($J26))-(EDATE($J26,((YEAR(Lists!G$22)-YEAR($J26))*12+MONTH(Lists!G$22)-MONTH($J26)))&gt;Lists!G$22)+1)))),N($C26)*IF($AE26-$AD26&lt;1,($AD26&gt;Lists!G$22)*($AD26&lt;=Lists!G$21),MAX(0,MIN(Lists!G$21,$AE26)-MAX(Lists!G$22,$AD26))/($AE26-$AD26))+N($D26)*IF($AG26-$AF26&lt;1,($AF26&gt;Lists!G$22)*($AF26&lt;=Lists!G$21),MAX(0,MIN(Lists!G$21,$AG26)-MAX(Lists!G$22,$AF26))/($AG26-$AF26))+N($E26)*IF($AI26-$AH26&lt;1,($AH26&gt;Lists!G$22)*($AH26&lt;=Lists!G$21),MAX(0,MIN(Lists!G$21,$AI26)-MAX(Lists!G$22,$AH26))/($AI26-$AH26))+N($F26)*IF($AK26-$AJ26&lt;1,($AJ26&gt;Lists!G$22)*($AJ26&lt;=Lists!G$21),MAX(0,MIN(Lists!G$21,$AK26)-MAX(Lists!G$22,$AJ26))/($AK26-$AJ26))+N($G26)*IF($AM26-$AL26&lt;1,($AL26&gt;Lists!G$22)*($AL26&lt;=Lists!G$21),MAX(0,MIN(Lists!G$21,$AM26)-MAX(Lists!G$22,$AL26))/($AM26-$AL26))))))))</f>
        <v>0</v>
      </c>
      <c r="R26" s="53" t="n">
        <f aca="false">IF($H26=0,0,IF($AP26="X",0,IF($AP26="S",$H26/$AO26*(MIN($AO26,MAX(0,INT((Lists!H$21-N($J26))/7)+1))-MIN($AO26,MAX(0,INT((Lists!H$22-N($J26))/7)+1))),IF($AP26="D",$H26*MAX(0,MIN(Lists!H$21,N($J26)+$AO26)-MAX(Lists!H$22,N($J26)))/$AO26,IF($AP26="M",$H26/$AO26*(IF(Lists!H$21&lt;$J26,0,MIN($AO26,(((YEAR(Lists!H$21)-YEAR($J26))*12+MONTH(Lists!H$21)-MONTH($J26))-(EDATE($J26,((YEAR(Lists!H$21)-YEAR($J26))*12+MONTH(Lists!H$21)-MONTH($J26)))&gt;Lists!H$21)+1)))-IF(Lists!H$22&lt;$J26,0,MIN($AO26,(((YEAR(Lists!H$22)-YEAR($J26))*12+MONTH(Lists!H$22)-MONTH($J26))-(EDATE($J26,((YEAR(Lists!H$22)-YEAR($J26))*12+MONTH(Lists!H$22)-MONTH($J26)))&gt;Lists!H$22)+1)))),IF($AP26="F",IF(N($K26)&lt;=0,0,MIN(MAX(0,$H26),N($K26)*IF(Lists!H$21&lt;$J26,0,(((YEAR(Lists!H$21)-YEAR($J26))*12+MONTH(Lists!H$21)-MONTH($J26))-(EDATE($J26,((YEAR(Lists!H$21)-YEAR($J26))*12+MONTH(Lists!H$21)-MONTH($J26)))&gt;Lists!H$21)+1)))-MIN(MAX(0,$H26),N($K26)*IF(Lists!H$22&lt;$J26,0,(((YEAR(Lists!H$22)-YEAR($J26))*12+MONTH(Lists!H$22)-MONTH($J26))-(EDATE($J26,((YEAR(Lists!H$22)-YEAR($J26))*12+MONTH(Lists!H$22)-MONTH($J26)))&gt;Lists!H$22)+1)))),N($C26)*IF($AE26-$AD26&lt;1,($AD26&gt;Lists!H$22)*($AD26&lt;=Lists!H$21),MAX(0,MIN(Lists!H$21,$AE26)-MAX(Lists!H$22,$AD26))/($AE26-$AD26))+N($D26)*IF($AG26-$AF26&lt;1,($AF26&gt;Lists!H$22)*($AF26&lt;=Lists!H$21),MAX(0,MIN(Lists!H$21,$AG26)-MAX(Lists!H$22,$AF26))/($AG26-$AF26))+N($E26)*IF($AI26-$AH26&lt;1,($AH26&gt;Lists!H$22)*($AH26&lt;=Lists!H$21),MAX(0,MIN(Lists!H$21,$AI26)-MAX(Lists!H$22,$AH26))/($AI26-$AH26))+N($F26)*IF($AK26-$AJ26&lt;1,($AJ26&gt;Lists!H$22)*($AJ26&lt;=Lists!H$21),MAX(0,MIN(Lists!H$21,$AK26)-MAX(Lists!H$22,$AJ26))/($AK26-$AJ26))+N($G26)*IF($AM26-$AL26&lt;1,($AL26&gt;Lists!H$22)*($AL26&lt;=Lists!H$21),MAX(0,MIN(Lists!H$21,$AM26)-MAX(Lists!H$22,$AL26))/($AM26-$AL26))))))))</f>
        <v>0</v>
      </c>
      <c r="S26" s="53" t="n">
        <f aca="false">IF($H26=0,0,IF($AP26="X",0,IF($AP26="S",$H26/$AO26*(MIN($AO26,MAX(0,INT((Lists!I$21-N($J26))/7)+1))-MIN($AO26,MAX(0,INT((Lists!I$22-N($J26))/7)+1))),IF($AP26="D",$H26*MAX(0,MIN(Lists!I$21,N($J26)+$AO26)-MAX(Lists!I$22,N($J26)))/$AO26,IF($AP26="M",$H26/$AO26*(IF(Lists!I$21&lt;$J26,0,MIN($AO26,(((YEAR(Lists!I$21)-YEAR($J26))*12+MONTH(Lists!I$21)-MONTH($J26))-(EDATE($J26,((YEAR(Lists!I$21)-YEAR($J26))*12+MONTH(Lists!I$21)-MONTH($J26)))&gt;Lists!I$21)+1)))-IF(Lists!I$22&lt;$J26,0,MIN($AO26,(((YEAR(Lists!I$22)-YEAR($J26))*12+MONTH(Lists!I$22)-MONTH($J26))-(EDATE($J26,((YEAR(Lists!I$22)-YEAR($J26))*12+MONTH(Lists!I$22)-MONTH($J26)))&gt;Lists!I$22)+1)))),IF($AP26="F",IF(N($K26)&lt;=0,0,MIN(MAX(0,$H26),N($K26)*IF(Lists!I$21&lt;$J26,0,(((YEAR(Lists!I$21)-YEAR($J26))*12+MONTH(Lists!I$21)-MONTH($J26))-(EDATE($J26,((YEAR(Lists!I$21)-YEAR($J26))*12+MONTH(Lists!I$21)-MONTH($J26)))&gt;Lists!I$21)+1)))-MIN(MAX(0,$H26),N($K26)*IF(Lists!I$22&lt;$J26,0,(((YEAR(Lists!I$22)-YEAR($J26))*12+MONTH(Lists!I$22)-MONTH($J26))-(EDATE($J26,((YEAR(Lists!I$22)-YEAR($J26))*12+MONTH(Lists!I$22)-MONTH($J26)))&gt;Lists!I$22)+1)))),N($C26)*IF($AE26-$AD26&lt;1,($AD26&gt;Lists!I$22)*($AD26&lt;=Lists!I$21),MAX(0,MIN(Lists!I$21,$AE26)-MAX(Lists!I$22,$AD26))/($AE26-$AD26))+N($D26)*IF($AG26-$AF26&lt;1,($AF26&gt;Lists!I$22)*($AF26&lt;=Lists!I$21),MAX(0,MIN(Lists!I$21,$AG26)-MAX(Lists!I$22,$AF26))/($AG26-$AF26))+N($E26)*IF($AI26-$AH26&lt;1,($AH26&gt;Lists!I$22)*($AH26&lt;=Lists!I$21),MAX(0,MIN(Lists!I$21,$AI26)-MAX(Lists!I$22,$AH26))/($AI26-$AH26))+N($F26)*IF($AK26-$AJ26&lt;1,($AJ26&gt;Lists!I$22)*($AJ26&lt;=Lists!I$21),MAX(0,MIN(Lists!I$21,$AK26)-MAX(Lists!I$22,$AJ26))/($AK26-$AJ26))+N($G26)*IF($AM26-$AL26&lt;1,($AL26&gt;Lists!I$22)*($AL26&lt;=Lists!I$21),MAX(0,MIN(Lists!I$21,$AM26)-MAX(Lists!I$22,$AL26))/($AM26-$AL26))))))))</f>
        <v>0</v>
      </c>
      <c r="T26" s="53" t="n">
        <f aca="false">IF($H26=0,0,IF($AP26="X",0,IF($AP26="S",$H26/$AO26*(MIN($AO26,MAX(0,INT((Lists!J$21-N($J26))/7)+1))-MIN($AO26,MAX(0,INT((Lists!J$22-N($J26))/7)+1))),IF($AP26="D",$H26*MAX(0,MIN(Lists!J$21,N($J26)+$AO26)-MAX(Lists!J$22,N($J26)))/$AO26,IF($AP26="M",$H26/$AO26*(IF(Lists!J$21&lt;$J26,0,MIN($AO26,(((YEAR(Lists!J$21)-YEAR($J26))*12+MONTH(Lists!J$21)-MONTH($J26))-(EDATE($J26,((YEAR(Lists!J$21)-YEAR($J26))*12+MONTH(Lists!J$21)-MONTH($J26)))&gt;Lists!J$21)+1)))-IF(Lists!J$22&lt;$J26,0,MIN($AO26,(((YEAR(Lists!J$22)-YEAR($J26))*12+MONTH(Lists!J$22)-MONTH($J26))-(EDATE($J26,((YEAR(Lists!J$22)-YEAR($J26))*12+MONTH(Lists!J$22)-MONTH($J26)))&gt;Lists!J$22)+1)))),IF($AP26="F",IF(N($K26)&lt;=0,0,MIN(MAX(0,$H26),N($K26)*IF(Lists!J$21&lt;$J26,0,(((YEAR(Lists!J$21)-YEAR($J26))*12+MONTH(Lists!J$21)-MONTH($J26))-(EDATE($J26,((YEAR(Lists!J$21)-YEAR($J26))*12+MONTH(Lists!J$21)-MONTH($J26)))&gt;Lists!J$21)+1)))-MIN(MAX(0,$H26),N($K26)*IF(Lists!J$22&lt;$J26,0,(((YEAR(Lists!J$22)-YEAR($J26))*12+MONTH(Lists!J$22)-MONTH($J26))-(EDATE($J26,((YEAR(Lists!J$22)-YEAR($J26))*12+MONTH(Lists!J$22)-MONTH($J26)))&gt;Lists!J$22)+1)))),N($C26)*IF($AE26-$AD26&lt;1,($AD26&gt;Lists!J$22)*($AD26&lt;=Lists!J$21),MAX(0,MIN(Lists!J$21,$AE26)-MAX(Lists!J$22,$AD26))/($AE26-$AD26))+N($D26)*IF($AG26-$AF26&lt;1,($AF26&gt;Lists!J$22)*($AF26&lt;=Lists!J$21),MAX(0,MIN(Lists!J$21,$AG26)-MAX(Lists!J$22,$AF26))/($AG26-$AF26))+N($E26)*IF($AI26-$AH26&lt;1,($AH26&gt;Lists!J$22)*($AH26&lt;=Lists!J$21),MAX(0,MIN(Lists!J$21,$AI26)-MAX(Lists!J$22,$AH26))/($AI26-$AH26))+N($F26)*IF($AK26-$AJ26&lt;1,($AJ26&gt;Lists!J$22)*($AJ26&lt;=Lists!J$21),MAX(0,MIN(Lists!J$21,$AK26)-MAX(Lists!J$22,$AJ26))/($AK26-$AJ26))+N($G26)*IF($AM26-$AL26&lt;1,($AL26&gt;Lists!J$22)*($AL26&lt;=Lists!J$21),MAX(0,MIN(Lists!J$21,$AM26)-MAX(Lists!J$22,$AL26))/($AM26-$AL26))))))))</f>
        <v>0</v>
      </c>
      <c r="U26" s="53" t="n">
        <f aca="false">IF($H26=0,0,IF($AP26="X",0,IF($AP26="S",$H26/$AO26*(MIN($AO26,MAX(0,INT((Lists!K$21-N($J26))/7)+1))-MIN($AO26,MAX(0,INT((Lists!K$22-N($J26))/7)+1))),IF($AP26="D",$H26*MAX(0,MIN(Lists!K$21,N($J26)+$AO26)-MAX(Lists!K$22,N($J26)))/$AO26,IF($AP26="M",$H26/$AO26*(IF(Lists!K$21&lt;$J26,0,MIN($AO26,(((YEAR(Lists!K$21)-YEAR($J26))*12+MONTH(Lists!K$21)-MONTH($J26))-(EDATE($J26,((YEAR(Lists!K$21)-YEAR($J26))*12+MONTH(Lists!K$21)-MONTH($J26)))&gt;Lists!K$21)+1)))-IF(Lists!K$22&lt;$J26,0,MIN($AO26,(((YEAR(Lists!K$22)-YEAR($J26))*12+MONTH(Lists!K$22)-MONTH($J26))-(EDATE($J26,((YEAR(Lists!K$22)-YEAR($J26))*12+MONTH(Lists!K$22)-MONTH($J26)))&gt;Lists!K$22)+1)))),IF($AP26="F",IF(N($K26)&lt;=0,0,MIN(MAX(0,$H26),N($K26)*IF(Lists!K$21&lt;$J26,0,(((YEAR(Lists!K$21)-YEAR($J26))*12+MONTH(Lists!K$21)-MONTH($J26))-(EDATE($J26,((YEAR(Lists!K$21)-YEAR($J26))*12+MONTH(Lists!K$21)-MONTH($J26)))&gt;Lists!K$21)+1)))-MIN(MAX(0,$H26),N($K26)*IF(Lists!K$22&lt;$J26,0,(((YEAR(Lists!K$22)-YEAR($J26))*12+MONTH(Lists!K$22)-MONTH($J26))-(EDATE($J26,((YEAR(Lists!K$22)-YEAR($J26))*12+MONTH(Lists!K$22)-MONTH($J26)))&gt;Lists!K$22)+1)))),N($C26)*IF($AE26-$AD26&lt;1,($AD26&gt;Lists!K$22)*($AD26&lt;=Lists!K$21),MAX(0,MIN(Lists!K$21,$AE26)-MAX(Lists!K$22,$AD26))/($AE26-$AD26))+N($D26)*IF($AG26-$AF26&lt;1,($AF26&gt;Lists!K$22)*($AF26&lt;=Lists!K$21),MAX(0,MIN(Lists!K$21,$AG26)-MAX(Lists!K$22,$AF26))/($AG26-$AF26))+N($E26)*IF($AI26-$AH26&lt;1,($AH26&gt;Lists!K$22)*($AH26&lt;=Lists!K$21),MAX(0,MIN(Lists!K$21,$AI26)-MAX(Lists!K$22,$AH26))/($AI26-$AH26))+N($F26)*IF($AK26-$AJ26&lt;1,($AJ26&gt;Lists!K$22)*($AJ26&lt;=Lists!K$21),MAX(0,MIN(Lists!K$21,$AK26)-MAX(Lists!K$22,$AJ26))/($AK26-$AJ26))+N($G26)*IF($AM26-$AL26&lt;1,($AL26&gt;Lists!K$22)*($AL26&lt;=Lists!K$21),MAX(0,MIN(Lists!K$21,$AM26)-MAX(Lists!K$22,$AL26))/($AM26-$AL26))))))))</f>
        <v>0</v>
      </c>
      <c r="V26" s="53" t="n">
        <f aca="false">IF($H26=0,0,IF($AP26="X",0,IF($AP26="S",$H26/$AO26*(MIN($AO26,MAX(0,INT((Lists!L$21-N($J26))/7)+1))-MIN($AO26,MAX(0,INT((Lists!L$22-N($J26))/7)+1))),IF($AP26="D",$H26*MAX(0,MIN(Lists!L$21,N($J26)+$AO26)-MAX(Lists!L$22,N($J26)))/$AO26,IF($AP26="M",$H26/$AO26*(IF(Lists!L$21&lt;$J26,0,MIN($AO26,(((YEAR(Lists!L$21)-YEAR($J26))*12+MONTH(Lists!L$21)-MONTH($J26))-(EDATE($J26,((YEAR(Lists!L$21)-YEAR($J26))*12+MONTH(Lists!L$21)-MONTH($J26)))&gt;Lists!L$21)+1)))-IF(Lists!L$22&lt;$J26,0,MIN($AO26,(((YEAR(Lists!L$22)-YEAR($J26))*12+MONTH(Lists!L$22)-MONTH($J26))-(EDATE($J26,((YEAR(Lists!L$22)-YEAR($J26))*12+MONTH(Lists!L$22)-MONTH($J26)))&gt;Lists!L$22)+1)))),IF($AP26="F",IF(N($K26)&lt;=0,0,MIN(MAX(0,$H26),N($K26)*IF(Lists!L$21&lt;$J26,0,(((YEAR(Lists!L$21)-YEAR($J26))*12+MONTH(Lists!L$21)-MONTH($J26))-(EDATE($J26,((YEAR(Lists!L$21)-YEAR($J26))*12+MONTH(Lists!L$21)-MONTH($J26)))&gt;Lists!L$21)+1)))-MIN(MAX(0,$H26),N($K26)*IF(Lists!L$22&lt;$J26,0,(((YEAR(Lists!L$22)-YEAR($J26))*12+MONTH(Lists!L$22)-MONTH($J26))-(EDATE($J26,((YEAR(Lists!L$22)-YEAR($J26))*12+MONTH(Lists!L$22)-MONTH($J26)))&gt;Lists!L$22)+1)))),N($C26)*IF($AE26-$AD26&lt;1,($AD26&gt;Lists!L$22)*($AD26&lt;=Lists!L$21),MAX(0,MIN(Lists!L$21,$AE26)-MAX(Lists!L$22,$AD26))/($AE26-$AD26))+N($D26)*IF($AG26-$AF26&lt;1,($AF26&gt;Lists!L$22)*($AF26&lt;=Lists!L$21),MAX(0,MIN(Lists!L$21,$AG26)-MAX(Lists!L$22,$AF26))/($AG26-$AF26))+N($E26)*IF($AI26-$AH26&lt;1,($AH26&gt;Lists!L$22)*($AH26&lt;=Lists!L$21),MAX(0,MIN(Lists!L$21,$AI26)-MAX(Lists!L$22,$AH26))/($AI26-$AH26))+N($F26)*IF($AK26-$AJ26&lt;1,($AJ26&gt;Lists!L$22)*($AJ26&lt;=Lists!L$21),MAX(0,MIN(Lists!L$21,$AK26)-MAX(Lists!L$22,$AJ26))/($AK26-$AJ26))+N($G26)*IF($AM26-$AL26&lt;1,($AL26&gt;Lists!L$22)*($AL26&lt;=Lists!L$21),MAX(0,MIN(Lists!L$21,$AM26)-MAX(Lists!L$22,$AL26))/($AM26-$AL26))))))))</f>
        <v>0</v>
      </c>
      <c r="W26" s="53" t="n">
        <f aca="false">IF($H26=0,0,IF($AP26="X",0,IF($AP26="S",$H26/$AO26*(MIN($AO26,MAX(0,INT((Lists!M$21-N($J26))/7)+1))-MIN($AO26,MAX(0,INT((Lists!M$22-N($J26))/7)+1))),IF($AP26="D",$H26*MAX(0,MIN(Lists!M$21,N($J26)+$AO26)-MAX(Lists!M$22,N($J26)))/$AO26,IF($AP26="M",$H26/$AO26*(IF(Lists!M$21&lt;$J26,0,MIN($AO26,(((YEAR(Lists!M$21)-YEAR($J26))*12+MONTH(Lists!M$21)-MONTH($J26))-(EDATE($J26,((YEAR(Lists!M$21)-YEAR($J26))*12+MONTH(Lists!M$21)-MONTH($J26)))&gt;Lists!M$21)+1)))-IF(Lists!M$22&lt;$J26,0,MIN($AO26,(((YEAR(Lists!M$22)-YEAR($J26))*12+MONTH(Lists!M$22)-MONTH($J26))-(EDATE($J26,((YEAR(Lists!M$22)-YEAR($J26))*12+MONTH(Lists!M$22)-MONTH($J26)))&gt;Lists!M$22)+1)))),IF($AP26="F",IF(N($K26)&lt;=0,0,MIN(MAX(0,$H26),N($K26)*IF(Lists!M$21&lt;$J26,0,(((YEAR(Lists!M$21)-YEAR($J26))*12+MONTH(Lists!M$21)-MONTH($J26))-(EDATE($J26,((YEAR(Lists!M$21)-YEAR($J26))*12+MONTH(Lists!M$21)-MONTH($J26)))&gt;Lists!M$21)+1)))-MIN(MAX(0,$H26),N($K26)*IF(Lists!M$22&lt;$J26,0,(((YEAR(Lists!M$22)-YEAR($J26))*12+MONTH(Lists!M$22)-MONTH($J26))-(EDATE($J26,((YEAR(Lists!M$22)-YEAR($J26))*12+MONTH(Lists!M$22)-MONTH($J26)))&gt;Lists!M$22)+1)))),N($C26)*IF($AE26-$AD26&lt;1,($AD26&gt;Lists!M$22)*($AD26&lt;=Lists!M$21),MAX(0,MIN(Lists!M$21,$AE26)-MAX(Lists!M$22,$AD26))/($AE26-$AD26))+N($D26)*IF($AG26-$AF26&lt;1,($AF26&gt;Lists!M$22)*($AF26&lt;=Lists!M$21),MAX(0,MIN(Lists!M$21,$AG26)-MAX(Lists!M$22,$AF26))/($AG26-$AF26))+N($E26)*IF($AI26-$AH26&lt;1,($AH26&gt;Lists!M$22)*($AH26&lt;=Lists!M$21),MAX(0,MIN(Lists!M$21,$AI26)-MAX(Lists!M$22,$AH26))/($AI26-$AH26))+N($F26)*IF($AK26-$AJ26&lt;1,($AJ26&gt;Lists!M$22)*($AJ26&lt;=Lists!M$21),MAX(0,MIN(Lists!M$21,$AK26)-MAX(Lists!M$22,$AJ26))/($AK26-$AJ26))+N($G26)*IF($AM26-$AL26&lt;1,($AL26&gt;Lists!M$22)*($AL26&lt;=Lists!M$21),MAX(0,MIN(Lists!M$21,$AM26)-MAX(Lists!M$22,$AL26))/($AM26-$AL26))))))))</f>
        <v>0</v>
      </c>
      <c r="X26" s="53" t="n">
        <f aca="false">IF($H26=0,0,IF($AP26="X",0,IF($AP26="S",$H26/$AO26*(MIN($AO26,MAX(0,INT((Lists!N$21-N($J26))/7)+1))-MIN($AO26,MAX(0,INT((Lists!N$22-N($J26))/7)+1))),IF($AP26="D",$H26*MAX(0,MIN(Lists!N$21,N($J26)+$AO26)-MAX(Lists!N$22,N($J26)))/$AO26,IF($AP26="M",$H26/$AO26*(IF(Lists!N$21&lt;$J26,0,MIN($AO26,(((YEAR(Lists!N$21)-YEAR($J26))*12+MONTH(Lists!N$21)-MONTH($J26))-(EDATE($J26,((YEAR(Lists!N$21)-YEAR($J26))*12+MONTH(Lists!N$21)-MONTH($J26)))&gt;Lists!N$21)+1)))-IF(Lists!N$22&lt;$J26,0,MIN($AO26,(((YEAR(Lists!N$22)-YEAR($J26))*12+MONTH(Lists!N$22)-MONTH($J26))-(EDATE($J26,((YEAR(Lists!N$22)-YEAR($J26))*12+MONTH(Lists!N$22)-MONTH($J26)))&gt;Lists!N$22)+1)))),IF($AP26="F",IF(N($K26)&lt;=0,0,MIN(MAX(0,$H26),N($K26)*IF(Lists!N$21&lt;$J26,0,(((YEAR(Lists!N$21)-YEAR($J26))*12+MONTH(Lists!N$21)-MONTH($J26))-(EDATE($J26,((YEAR(Lists!N$21)-YEAR($J26))*12+MONTH(Lists!N$21)-MONTH($J26)))&gt;Lists!N$21)+1)))-MIN(MAX(0,$H26),N($K26)*IF(Lists!N$22&lt;$J26,0,(((YEAR(Lists!N$22)-YEAR($J26))*12+MONTH(Lists!N$22)-MONTH($J26))-(EDATE($J26,((YEAR(Lists!N$22)-YEAR($J26))*12+MONTH(Lists!N$22)-MONTH($J26)))&gt;Lists!N$22)+1)))),N($C26)*IF($AE26-$AD26&lt;1,($AD26&gt;Lists!N$22)*($AD26&lt;=Lists!N$21),MAX(0,MIN(Lists!N$21,$AE26)-MAX(Lists!N$22,$AD26))/($AE26-$AD26))+N($D26)*IF($AG26-$AF26&lt;1,($AF26&gt;Lists!N$22)*($AF26&lt;=Lists!N$21),MAX(0,MIN(Lists!N$21,$AG26)-MAX(Lists!N$22,$AF26))/($AG26-$AF26))+N($E26)*IF($AI26-$AH26&lt;1,($AH26&gt;Lists!N$22)*($AH26&lt;=Lists!N$21),MAX(0,MIN(Lists!N$21,$AI26)-MAX(Lists!N$22,$AH26))/($AI26-$AH26))+N($F26)*IF($AK26-$AJ26&lt;1,($AJ26&gt;Lists!N$22)*($AJ26&lt;=Lists!N$21),MAX(0,MIN(Lists!N$21,$AK26)-MAX(Lists!N$22,$AJ26))/($AK26-$AJ26))+N($G26)*IF($AM26-$AL26&lt;1,($AL26&gt;Lists!N$22)*($AL26&lt;=Lists!N$21),MAX(0,MIN(Lists!N$21,$AM26)-MAX(Lists!N$22,$AL26))/($AM26-$AL26))))))))</f>
        <v>0</v>
      </c>
      <c r="Y26" s="53" t="n">
        <f aca="false">IF($H26=0,0,IF($AP26="X",0,IF($AP26="S",$H26/$AO26*(MIN($AO26,MAX(0,INT((Lists!O$21-N($J26))/7)+1))-MIN($AO26,MAX(0,INT((Lists!O$22-N($J26))/7)+1))),IF($AP26="D",$H26*MAX(0,MIN(Lists!O$21,N($J26)+$AO26)-MAX(Lists!O$22,N($J26)))/$AO26,IF($AP26="M",$H26/$AO26*(IF(Lists!O$21&lt;$J26,0,MIN($AO26,(((YEAR(Lists!O$21)-YEAR($J26))*12+MONTH(Lists!O$21)-MONTH($J26))-(EDATE($J26,((YEAR(Lists!O$21)-YEAR($J26))*12+MONTH(Lists!O$21)-MONTH($J26)))&gt;Lists!O$21)+1)))-IF(Lists!O$22&lt;$J26,0,MIN($AO26,(((YEAR(Lists!O$22)-YEAR($J26))*12+MONTH(Lists!O$22)-MONTH($J26))-(EDATE($J26,((YEAR(Lists!O$22)-YEAR($J26))*12+MONTH(Lists!O$22)-MONTH($J26)))&gt;Lists!O$22)+1)))),IF($AP26="F",IF(N($K26)&lt;=0,0,MIN(MAX(0,$H26),N($K26)*IF(Lists!O$21&lt;$J26,0,(((YEAR(Lists!O$21)-YEAR($J26))*12+MONTH(Lists!O$21)-MONTH($J26))-(EDATE($J26,((YEAR(Lists!O$21)-YEAR($J26))*12+MONTH(Lists!O$21)-MONTH($J26)))&gt;Lists!O$21)+1)))-MIN(MAX(0,$H26),N($K26)*IF(Lists!O$22&lt;$J26,0,(((YEAR(Lists!O$22)-YEAR($J26))*12+MONTH(Lists!O$22)-MONTH($J26))-(EDATE($J26,((YEAR(Lists!O$22)-YEAR($J26))*12+MONTH(Lists!O$22)-MONTH($J26)))&gt;Lists!O$22)+1)))),N($C26)*IF($AE26-$AD26&lt;1,($AD26&gt;Lists!O$22)*($AD26&lt;=Lists!O$21),MAX(0,MIN(Lists!O$21,$AE26)-MAX(Lists!O$22,$AD26))/($AE26-$AD26))+N($D26)*IF($AG26-$AF26&lt;1,($AF26&gt;Lists!O$22)*($AF26&lt;=Lists!O$21),MAX(0,MIN(Lists!O$21,$AG26)-MAX(Lists!O$22,$AF26))/($AG26-$AF26))+N($E26)*IF($AI26-$AH26&lt;1,($AH26&gt;Lists!O$22)*($AH26&lt;=Lists!O$21),MAX(0,MIN(Lists!O$21,$AI26)-MAX(Lists!O$22,$AH26))/($AI26-$AH26))+N($F26)*IF($AK26-$AJ26&lt;1,($AJ26&gt;Lists!O$22)*($AJ26&lt;=Lists!O$21),MAX(0,MIN(Lists!O$21,$AK26)-MAX(Lists!O$22,$AJ26))/($AK26-$AJ26))+N($G26)*IF($AM26-$AL26&lt;1,($AL26&gt;Lists!O$22)*($AL26&lt;=Lists!O$21),MAX(0,MIN(Lists!O$21,$AM26)-MAX(Lists!O$22,$AL26))/($AM26-$AL26))))))))</f>
        <v>0</v>
      </c>
      <c r="Z26" s="46" t="n">
        <f aca="false">SUM(M26:Y26)</f>
        <v>0</v>
      </c>
      <c r="AA26" s="92" t="n">
        <f aca="false">H26-Z26</f>
        <v>0</v>
      </c>
      <c r="AB26" s="55"/>
      <c r="AC26" s="2"/>
      <c r="AD26" s="93" t="n">
        <f aca="false">Setup!$D$10+MAX(0,$AN26-30)</f>
        <v>46365</v>
      </c>
      <c r="AE26" s="93" t="n">
        <f aca="false">Setup!$D$10+IF($AN26-30&lt;0,MAX(Setup!$D$22,$AN26-0),$AN26-0)</f>
        <v>46395</v>
      </c>
      <c r="AF26" s="93" t="n">
        <f aca="false">Setup!$D$10+MAX(0,$AN26-60)</f>
        <v>46335</v>
      </c>
      <c r="AG26" s="93" t="n">
        <f aca="false">Setup!$D$10+IF($AN26-60&lt;0,MAX(Setup!$D$22,$AN26-31),$AN26-31)</f>
        <v>46364</v>
      </c>
      <c r="AH26" s="93" t="n">
        <f aca="false">Setup!$D$10+MAX(0,$AN26-90)</f>
        <v>46335</v>
      </c>
      <c r="AI26" s="93" t="n">
        <f aca="false">Setup!$D$10+IF($AN26-90&lt;0,MAX(Setup!$D$22,$AN26-61),$AN26-61)</f>
        <v>46363</v>
      </c>
      <c r="AJ26" s="93" t="n">
        <f aca="false">Setup!$D$10+MAX(0,$AN26-120)</f>
        <v>46335</v>
      </c>
      <c r="AK26" s="93" t="n">
        <f aca="false">Setup!$D$10+IF($AN26-120&lt;0,MAX(Setup!$D$22,$AN26-91),$AN26-91)</f>
        <v>46363</v>
      </c>
      <c r="AL26" s="93" t="n">
        <f aca="false">IF(Setup!$D$23="Yes",2958465,Setup!$D$10)</f>
        <v>2958465</v>
      </c>
      <c r="AM26" s="93" t="n">
        <f aca="false">IF(AL26=2958465,AL26,Setup!$D$10+Setup!$D$22)</f>
        <v>2958465</v>
      </c>
      <c r="AN26" s="94" t="n">
        <f aca="false">IF(N(L26)=0,Setup!$D$20,L26)</f>
        <v>60</v>
      </c>
      <c r="AO26" s="94" t="n">
        <f aca="false">MAX(1,ROUND(N(K26),0))</f>
        <v>1</v>
      </c>
      <c r="AP26" s="95" t="str">
        <f aca="false">IF(I26="Doubtful","X",IF(N(J26)=0,"A",IF(I26="Specific date","S",IF(I26="Spread over days","D",IF(I26="Monthly on set day","M",IF(I26="Monthly fixed amount","F","A"))))))</f>
        <v>A</v>
      </c>
    </row>
    <row r="27" customFormat="false" ht="15" hidden="false" customHeight="false" outlineLevel="0" collapsed="false">
      <c r="A27" s="87" t="n">
        <v>19</v>
      </c>
      <c r="B27" s="55"/>
      <c r="C27" s="88"/>
      <c r="D27" s="88"/>
      <c r="E27" s="88"/>
      <c r="F27" s="88"/>
      <c r="G27" s="88"/>
      <c r="H27" s="89" t="n">
        <f aca="false">SUM(C27:G27)</f>
        <v>0</v>
      </c>
      <c r="I27" s="58"/>
      <c r="J27" s="90"/>
      <c r="K27" s="91"/>
      <c r="L27" s="80"/>
      <c r="M27" s="53" t="n">
        <f aca="false">IF($H27=0,0,IF($AP27="X",0,IF($AP27="S",$H27/$AO27*(MIN($AO27,MAX(0,INT((Lists!C$21-N($J27))/7)+1))-MIN($AO27,MAX(0,INT((Lists!C$22-N($J27))/7)+1))),IF($AP27="D",$H27*MAX(0,MIN(Lists!C$21,N($J27)+$AO27)-MAX(Lists!C$22,N($J27)))/$AO27,IF($AP27="M",$H27/$AO27*(IF(Lists!C$21&lt;$J27,0,MIN($AO27,(((YEAR(Lists!C$21)-YEAR($J27))*12+MONTH(Lists!C$21)-MONTH($J27))-(EDATE($J27,((YEAR(Lists!C$21)-YEAR($J27))*12+MONTH(Lists!C$21)-MONTH($J27)))&gt;Lists!C$21)+1)))-IF(Lists!C$22&lt;$J27,0,MIN($AO27,(((YEAR(Lists!C$22)-YEAR($J27))*12+MONTH(Lists!C$22)-MONTH($J27))-(EDATE($J27,((YEAR(Lists!C$22)-YEAR($J27))*12+MONTH(Lists!C$22)-MONTH($J27)))&gt;Lists!C$22)+1)))),IF($AP27="F",IF(N($K27)&lt;=0,0,MIN(MAX(0,$H27),N($K27)*IF(Lists!C$21&lt;$J27,0,(((YEAR(Lists!C$21)-YEAR($J27))*12+MONTH(Lists!C$21)-MONTH($J27))-(EDATE($J27,((YEAR(Lists!C$21)-YEAR($J27))*12+MONTH(Lists!C$21)-MONTH($J27)))&gt;Lists!C$21)+1)))-MIN(MAX(0,$H27),N($K27)*IF(Lists!C$22&lt;$J27,0,(((YEAR(Lists!C$22)-YEAR($J27))*12+MONTH(Lists!C$22)-MONTH($J27))-(EDATE($J27,((YEAR(Lists!C$22)-YEAR($J27))*12+MONTH(Lists!C$22)-MONTH($J27)))&gt;Lists!C$22)+1)))),N($C27)*IF($AE27-$AD27&lt;1,($AD27&gt;Lists!C$22)*($AD27&lt;=Lists!C$21),MAX(0,MIN(Lists!C$21,$AE27)-MAX(Lists!C$22,$AD27))/($AE27-$AD27))+N($D27)*IF($AG27-$AF27&lt;1,($AF27&gt;Lists!C$22)*($AF27&lt;=Lists!C$21),MAX(0,MIN(Lists!C$21,$AG27)-MAX(Lists!C$22,$AF27))/($AG27-$AF27))+N($E27)*IF($AI27-$AH27&lt;1,($AH27&gt;Lists!C$22)*($AH27&lt;=Lists!C$21),MAX(0,MIN(Lists!C$21,$AI27)-MAX(Lists!C$22,$AH27))/($AI27-$AH27))+N($F27)*IF($AK27-$AJ27&lt;1,($AJ27&gt;Lists!C$22)*($AJ27&lt;=Lists!C$21),MAX(0,MIN(Lists!C$21,$AK27)-MAX(Lists!C$22,$AJ27))/($AK27-$AJ27))+N($G27)*IF($AM27-$AL27&lt;1,($AL27&gt;Lists!C$22)*($AL27&lt;=Lists!C$21),MAX(0,MIN(Lists!C$21,$AM27)-MAX(Lists!C$22,$AL27))/($AM27-$AL27))))))))</f>
        <v>0</v>
      </c>
      <c r="N27" s="53" t="n">
        <f aca="false">IF($H27=0,0,IF($AP27="X",0,IF($AP27="S",$H27/$AO27*(MIN($AO27,MAX(0,INT((Lists!D$21-N($J27))/7)+1))-MIN($AO27,MAX(0,INT((Lists!D$22-N($J27))/7)+1))),IF($AP27="D",$H27*MAX(0,MIN(Lists!D$21,N($J27)+$AO27)-MAX(Lists!D$22,N($J27)))/$AO27,IF($AP27="M",$H27/$AO27*(IF(Lists!D$21&lt;$J27,0,MIN($AO27,(((YEAR(Lists!D$21)-YEAR($J27))*12+MONTH(Lists!D$21)-MONTH($J27))-(EDATE($J27,((YEAR(Lists!D$21)-YEAR($J27))*12+MONTH(Lists!D$21)-MONTH($J27)))&gt;Lists!D$21)+1)))-IF(Lists!D$22&lt;$J27,0,MIN($AO27,(((YEAR(Lists!D$22)-YEAR($J27))*12+MONTH(Lists!D$22)-MONTH($J27))-(EDATE($J27,((YEAR(Lists!D$22)-YEAR($J27))*12+MONTH(Lists!D$22)-MONTH($J27)))&gt;Lists!D$22)+1)))),IF($AP27="F",IF(N($K27)&lt;=0,0,MIN(MAX(0,$H27),N($K27)*IF(Lists!D$21&lt;$J27,0,(((YEAR(Lists!D$21)-YEAR($J27))*12+MONTH(Lists!D$21)-MONTH($J27))-(EDATE($J27,((YEAR(Lists!D$21)-YEAR($J27))*12+MONTH(Lists!D$21)-MONTH($J27)))&gt;Lists!D$21)+1)))-MIN(MAX(0,$H27),N($K27)*IF(Lists!D$22&lt;$J27,0,(((YEAR(Lists!D$22)-YEAR($J27))*12+MONTH(Lists!D$22)-MONTH($J27))-(EDATE($J27,((YEAR(Lists!D$22)-YEAR($J27))*12+MONTH(Lists!D$22)-MONTH($J27)))&gt;Lists!D$22)+1)))),N($C27)*IF($AE27-$AD27&lt;1,($AD27&gt;Lists!D$22)*($AD27&lt;=Lists!D$21),MAX(0,MIN(Lists!D$21,$AE27)-MAX(Lists!D$22,$AD27))/($AE27-$AD27))+N($D27)*IF($AG27-$AF27&lt;1,($AF27&gt;Lists!D$22)*($AF27&lt;=Lists!D$21),MAX(0,MIN(Lists!D$21,$AG27)-MAX(Lists!D$22,$AF27))/($AG27-$AF27))+N($E27)*IF($AI27-$AH27&lt;1,($AH27&gt;Lists!D$22)*($AH27&lt;=Lists!D$21),MAX(0,MIN(Lists!D$21,$AI27)-MAX(Lists!D$22,$AH27))/($AI27-$AH27))+N($F27)*IF($AK27-$AJ27&lt;1,($AJ27&gt;Lists!D$22)*($AJ27&lt;=Lists!D$21),MAX(0,MIN(Lists!D$21,$AK27)-MAX(Lists!D$22,$AJ27))/($AK27-$AJ27))+N($G27)*IF($AM27-$AL27&lt;1,($AL27&gt;Lists!D$22)*($AL27&lt;=Lists!D$21),MAX(0,MIN(Lists!D$21,$AM27)-MAX(Lists!D$22,$AL27))/($AM27-$AL27))))))))</f>
        <v>0</v>
      </c>
      <c r="O27" s="53" t="n">
        <f aca="false">IF($H27=0,0,IF($AP27="X",0,IF($AP27="S",$H27/$AO27*(MIN($AO27,MAX(0,INT((Lists!E$21-N($J27))/7)+1))-MIN($AO27,MAX(0,INT((Lists!E$22-N($J27))/7)+1))),IF($AP27="D",$H27*MAX(0,MIN(Lists!E$21,N($J27)+$AO27)-MAX(Lists!E$22,N($J27)))/$AO27,IF($AP27="M",$H27/$AO27*(IF(Lists!E$21&lt;$J27,0,MIN($AO27,(((YEAR(Lists!E$21)-YEAR($J27))*12+MONTH(Lists!E$21)-MONTH($J27))-(EDATE($J27,((YEAR(Lists!E$21)-YEAR($J27))*12+MONTH(Lists!E$21)-MONTH($J27)))&gt;Lists!E$21)+1)))-IF(Lists!E$22&lt;$J27,0,MIN($AO27,(((YEAR(Lists!E$22)-YEAR($J27))*12+MONTH(Lists!E$22)-MONTH($J27))-(EDATE($J27,((YEAR(Lists!E$22)-YEAR($J27))*12+MONTH(Lists!E$22)-MONTH($J27)))&gt;Lists!E$22)+1)))),IF($AP27="F",IF(N($K27)&lt;=0,0,MIN(MAX(0,$H27),N($K27)*IF(Lists!E$21&lt;$J27,0,(((YEAR(Lists!E$21)-YEAR($J27))*12+MONTH(Lists!E$21)-MONTH($J27))-(EDATE($J27,((YEAR(Lists!E$21)-YEAR($J27))*12+MONTH(Lists!E$21)-MONTH($J27)))&gt;Lists!E$21)+1)))-MIN(MAX(0,$H27),N($K27)*IF(Lists!E$22&lt;$J27,0,(((YEAR(Lists!E$22)-YEAR($J27))*12+MONTH(Lists!E$22)-MONTH($J27))-(EDATE($J27,((YEAR(Lists!E$22)-YEAR($J27))*12+MONTH(Lists!E$22)-MONTH($J27)))&gt;Lists!E$22)+1)))),N($C27)*IF($AE27-$AD27&lt;1,($AD27&gt;Lists!E$22)*($AD27&lt;=Lists!E$21),MAX(0,MIN(Lists!E$21,$AE27)-MAX(Lists!E$22,$AD27))/($AE27-$AD27))+N($D27)*IF($AG27-$AF27&lt;1,($AF27&gt;Lists!E$22)*($AF27&lt;=Lists!E$21),MAX(0,MIN(Lists!E$21,$AG27)-MAX(Lists!E$22,$AF27))/($AG27-$AF27))+N($E27)*IF($AI27-$AH27&lt;1,($AH27&gt;Lists!E$22)*($AH27&lt;=Lists!E$21),MAX(0,MIN(Lists!E$21,$AI27)-MAX(Lists!E$22,$AH27))/($AI27-$AH27))+N($F27)*IF($AK27-$AJ27&lt;1,($AJ27&gt;Lists!E$22)*($AJ27&lt;=Lists!E$21),MAX(0,MIN(Lists!E$21,$AK27)-MAX(Lists!E$22,$AJ27))/($AK27-$AJ27))+N($G27)*IF($AM27-$AL27&lt;1,($AL27&gt;Lists!E$22)*($AL27&lt;=Lists!E$21),MAX(0,MIN(Lists!E$21,$AM27)-MAX(Lists!E$22,$AL27))/($AM27-$AL27))))))))</f>
        <v>0</v>
      </c>
      <c r="P27" s="53" t="n">
        <f aca="false">IF($H27=0,0,IF($AP27="X",0,IF($AP27="S",$H27/$AO27*(MIN($AO27,MAX(0,INT((Lists!F$21-N($J27))/7)+1))-MIN($AO27,MAX(0,INT((Lists!F$22-N($J27))/7)+1))),IF($AP27="D",$H27*MAX(0,MIN(Lists!F$21,N($J27)+$AO27)-MAX(Lists!F$22,N($J27)))/$AO27,IF($AP27="M",$H27/$AO27*(IF(Lists!F$21&lt;$J27,0,MIN($AO27,(((YEAR(Lists!F$21)-YEAR($J27))*12+MONTH(Lists!F$21)-MONTH($J27))-(EDATE($J27,((YEAR(Lists!F$21)-YEAR($J27))*12+MONTH(Lists!F$21)-MONTH($J27)))&gt;Lists!F$21)+1)))-IF(Lists!F$22&lt;$J27,0,MIN($AO27,(((YEAR(Lists!F$22)-YEAR($J27))*12+MONTH(Lists!F$22)-MONTH($J27))-(EDATE($J27,((YEAR(Lists!F$22)-YEAR($J27))*12+MONTH(Lists!F$22)-MONTH($J27)))&gt;Lists!F$22)+1)))),IF($AP27="F",IF(N($K27)&lt;=0,0,MIN(MAX(0,$H27),N($K27)*IF(Lists!F$21&lt;$J27,0,(((YEAR(Lists!F$21)-YEAR($J27))*12+MONTH(Lists!F$21)-MONTH($J27))-(EDATE($J27,((YEAR(Lists!F$21)-YEAR($J27))*12+MONTH(Lists!F$21)-MONTH($J27)))&gt;Lists!F$21)+1)))-MIN(MAX(0,$H27),N($K27)*IF(Lists!F$22&lt;$J27,0,(((YEAR(Lists!F$22)-YEAR($J27))*12+MONTH(Lists!F$22)-MONTH($J27))-(EDATE($J27,((YEAR(Lists!F$22)-YEAR($J27))*12+MONTH(Lists!F$22)-MONTH($J27)))&gt;Lists!F$22)+1)))),N($C27)*IF($AE27-$AD27&lt;1,($AD27&gt;Lists!F$22)*($AD27&lt;=Lists!F$21),MAX(0,MIN(Lists!F$21,$AE27)-MAX(Lists!F$22,$AD27))/($AE27-$AD27))+N($D27)*IF($AG27-$AF27&lt;1,($AF27&gt;Lists!F$22)*($AF27&lt;=Lists!F$21),MAX(0,MIN(Lists!F$21,$AG27)-MAX(Lists!F$22,$AF27))/($AG27-$AF27))+N($E27)*IF($AI27-$AH27&lt;1,($AH27&gt;Lists!F$22)*($AH27&lt;=Lists!F$21),MAX(0,MIN(Lists!F$21,$AI27)-MAX(Lists!F$22,$AH27))/($AI27-$AH27))+N($F27)*IF($AK27-$AJ27&lt;1,($AJ27&gt;Lists!F$22)*($AJ27&lt;=Lists!F$21),MAX(0,MIN(Lists!F$21,$AK27)-MAX(Lists!F$22,$AJ27))/($AK27-$AJ27))+N($G27)*IF($AM27-$AL27&lt;1,($AL27&gt;Lists!F$22)*($AL27&lt;=Lists!F$21),MAX(0,MIN(Lists!F$21,$AM27)-MAX(Lists!F$22,$AL27))/($AM27-$AL27))))))))</f>
        <v>0</v>
      </c>
      <c r="Q27" s="53" t="n">
        <f aca="false">IF($H27=0,0,IF($AP27="X",0,IF($AP27="S",$H27/$AO27*(MIN($AO27,MAX(0,INT((Lists!G$21-N($J27))/7)+1))-MIN($AO27,MAX(0,INT((Lists!G$22-N($J27))/7)+1))),IF($AP27="D",$H27*MAX(0,MIN(Lists!G$21,N($J27)+$AO27)-MAX(Lists!G$22,N($J27)))/$AO27,IF($AP27="M",$H27/$AO27*(IF(Lists!G$21&lt;$J27,0,MIN($AO27,(((YEAR(Lists!G$21)-YEAR($J27))*12+MONTH(Lists!G$21)-MONTH($J27))-(EDATE($J27,((YEAR(Lists!G$21)-YEAR($J27))*12+MONTH(Lists!G$21)-MONTH($J27)))&gt;Lists!G$21)+1)))-IF(Lists!G$22&lt;$J27,0,MIN($AO27,(((YEAR(Lists!G$22)-YEAR($J27))*12+MONTH(Lists!G$22)-MONTH($J27))-(EDATE($J27,((YEAR(Lists!G$22)-YEAR($J27))*12+MONTH(Lists!G$22)-MONTH($J27)))&gt;Lists!G$22)+1)))),IF($AP27="F",IF(N($K27)&lt;=0,0,MIN(MAX(0,$H27),N($K27)*IF(Lists!G$21&lt;$J27,0,(((YEAR(Lists!G$21)-YEAR($J27))*12+MONTH(Lists!G$21)-MONTH($J27))-(EDATE($J27,((YEAR(Lists!G$21)-YEAR($J27))*12+MONTH(Lists!G$21)-MONTH($J27)))&gt;Lists!G$21)+1)))-MIN(MAX(0,$H27),N($K27)*IF(Lists!G$22&lt;$J27,0,(((YEAR(Lists!G$22)-YEAR($J27))*12+MONTH(Lists!G$22)-MONTH($J27))-(EDATE($J27,((YEAR(Lists!G$22)-YEAR($J27))*12+MONTH(Lists!G$22)-MONTH($J27)))&gt;Lists!G$22)+1)))),N($C27)*IF($AE27-$AD27&lt;1,($AD27&gt;Lists!G$22)*($AD27&lt;=Lists!G$21),MAX(0,MIN(Lists!G$21,$AE27)-MAX(Lists!G$22,$AD27))/($AE27-$AD27))+N($D27)*IF($AG27-$AF27&lt;1,($AF27&gt;Lists!G$22)*($AF27&lt;=Lists!G$21),MAX(0,MIN(Lists!G$21,$AG27)-MAX(Lists!G$22,$AF27))/($AG27-$AF27))+N($E27)*IF($AI27-$AH27&lt;1,($AH27&gt;Lists!G$22)*($AH27&lt;=Lists!G$21),MAX(0,MIN(Lists!G$21,$AI27)-MAX(Lists!G$22,$AH27))/($AI27-$AH27))+N($F27)*IF($AK27-$AJ27&lt;1,($AJ27&gt;Lists!G$22)*($AJ27&lt;=Lists!G$21),MAX(0,MIN(Lists!G$21,$AK27)-MAX(Lists!G$22,$AJ27))/($AK27-$AJ27))+N($G27)*IF($AM27-$AL27&lt;1,($AL27&gt;Lists!G$22)*($AL27&lt;=Lists!G$21),MAX(0,MIN(Lists!G$21,$AM27)-MAX(Lists!G$22,$AL27))/($AM27-$AL27))))))))</f>
        <v>0</v>
      </c>
      <c r="R27" s="53" t="n">
        <f aca="false">IF($H27=0,0,IF($AP27="X",0,IF($AP27="S",$H27/$AO27*(MIN($AO27,MAX(0,INT((Lists!H$21-N($J27))/7)+1))-MIN($AO27,MAX(0,INT((Lists!H$22-N($J27))/7)+1))),IF($AP27="D",$H27*MAX(0,MIN(Lists!H$21,N($J27)+$AO27)-MAX(Lists!H$22,N($J27)))/$AO27,IF($AP27="M",$H27/$AO27*(IF(Lists!H$21&lt;$J27,0,MIN($AO27,(((YEAR(Lists!H$21)-YEAR($J27))*12+MONTH(Lists!H$21)-MONTH($J27))-(EDATE($J27,((YEAR(Lists!H$21)-YEAR($J27))*12+MONTH(Lists!H$21)-MONTH($J27)))&gt;Lists!H$21)+1)))-IF(Lists!H$22&lt;$J27,0,MIN($AO27,(((YEAR(Lists!H$22)-YEAR($J27))*12+MONTH(Lists!H$22)-MONTH($J27))-(EDATE($J27,((YEAR(Lists!H$22)-YEAR($J27))*12+MONTH(Lists!H$22)-MONTH($J27)))&gt;Lists!H$22)+1)))),IF($AP27="F",IF(N($K27)&lt;=0,0,MIN(MAX(0,$H27),N($K27)*IF(Lists!H$21&lt;$J27,0,(((YEAR(Lists!H$21)-YEAR($J27))*12+MONTH(Lists!H$21)-MONTH($J27))-(EDATE($J27,((YEAR(Lists!H$21)-YEAR($J27))*12+MONTH(Lists!H$21)-MONTH($J27)))&gt;Lists!H$21)+1)))-MIN(MAX(0,$H27),N($K27)*IF(Lists!H$22&lt;$J27,0,(((YEAR(Lists!H$22)-YEAR($J27))*12+MONTH(Lists!H$22)-MONTH($J27))-(EDATE($J27,((YEAR(Lists!H$22)-YEAR($J27))*12+MONTH(Lists!H$22)-MONTH($J27)))&gt;Lists!H$22)+1)))),N($C27)*IF($AE27-$AD27&lt;1,($AD27&gt;Lists!H$22)*($AD27&lt;=Lists!H$21),MAX(0,MIN(Lists!H$21,$AE27)-MAX(Lists!H$22,$AD27))/($AE27-$AD27))+N($D27)*IF($AG27-$AF27&lt;1,($AF27&gt;Lists!H$22)*($AF27&lt;=Lists!H$21),MAX(0,MIN(Lists!H$21,$AG27)-MAX(Lists!H$22,$AF27))/($AG27-$AF27))+N($E27)*IF($AI27-$AH27&lt;1,($AH27&gt;Lists!H$22)*($AH27&lt;=Lists!H$21),MAX(0,MIN(Lists!H$21,$AI27)-MAX(Lists!H$22,$AH27))/($AI27-$AH27))+N($F27)*IF($AK27-$AJ27&lt;1,($AJ27&gt;Lists!H$22)*($AJ27&lt;=Lists!H$21),MAX(0,MIN(Lists!H$21,$AK27)-MAX(Lists!H$22,$AJ27))/($AK27-$AJ27))+N($G27)*IF($AM27-$AL27&lt;1,($AL27&gt;Lists!H$22)*($AL27&lt;=Lists!H$21),MAX(0,MIN(Lists!H$21,$AM27)-MAX(Lists!H$22,$AL27))/($AM27-$AL27))))))))</f>
        <v>0</v>
      </c>
      <c r="S27" s="53" t="n">
        <f aca="false">IF($H27=0,0,IF($AP27="X",0,IF($AP27="S",$H27/$AO27*(MIN($AO27,MAX(0,INT((Lists!I$21-N($J27))/7)+1))-MIN($AO27,MAX(0,INT((Lists!I$22-N($J27))/7)+1))),IF($AP27="D",$H27*MAX(0,MIN(Lists!I$21,N($J27)+$AO27)-MAX(Lists!I$22,N($J27)))/$AO27,IF($AP27="M",$H27/$AO27*(IF(Lists!I$21&lt;$J27,0,MIN($AO27,(((YEAR(Lists!I$21)-YEAR($J27))*12+MONTH(Lists!I$21)-MONTH($J27))-(EDATE($J27,((YEAR(Lists!I$21)-YEAR($J27))*12+MONTH(Lists!I$21)-MONTH($J27)))&gt;Lists!I$21)+1)))-IF(Lists!I$22&lt;$J27,0,MIN($AO27,(((YEAR(Lists!I$22)-YEAR($J27))*12+MONTH(Lists!I$22)-MONTH($J27))-(EDATE($J27,((YEAR(Lists!I$22)-YEAR($J27))*12+MONTH(Lists!I$22)-MONTH($J27)))&gt;Lists!I$22)+1)))),IF($AP27="F",IF(N($K27)&lt;=0,0,MIN(MAX(0,$H27),N($K27)*IF(Lists!I$21&lt;$J27,0,(((YEAR(Lists!I$21)-YEAR($J27))*12+MONTH(Lists!I$21)-MONTH($J27))-(EDATE($J27,((YEAR(Lists!I$21)-YEAR($J27))*12+MONTH(Lists!I$21)-MONTH($J27)))&gt;Lists!I$21)+1)))-MIN(MAX(0,$H27),N($K27)*IF(Lists!I$22&lt;$J27,0,(((YEAR(Lists!I$22)-YEAR($J27))*12+MONTH(Lists!I$22)-MONTH($J27))-(EDATE($J27,((YEAR(Lists!I$22)-YEAR($J27))*12+MONTH(Lists!I$22)-MONTH($J27)))&gt;Lists!I$22)+1)))),N($C27)*IF($AE27-$AD27&lt;1,($AD27&gt;Lists!I$22)*($AD27&lt;=Lists!I$21),MAX(0,MIN(Lists!I$21,$AE27)-MAX(Lists!I$22,$AD27))/($AE27-$AD27))+N($D27)*IF($AG27-$AF27&lt;1,($AF27&gt;Lists!I$22)*($AF27&lt;=Lists!I$21),MAX(0,MIN(Lists!I$21,$AG27)-MAX(Lists!I$22,$AF27))/($AG27-$AF27))+N($E27)*IF($AI27-$AH27&lt;1,($AH27&gt;Lists!I$22)*($AH27&lt;=Lists!I$21),MAX(0,MIN(Lists!I$21,$AI27)-MAX(Lists!I$22,$AH27))/($AI27-$AH27))+N($F27)*IF($AK27-$AJ27&lt;1,($AJ27&gt;Lists!I$22)*($AJ27&lt;=Lists!I$21),MAX(0,MIN(Lists!I$21,$AK27)-MAX(Lists!I$22,$AJ27))/($AK27-$AJ27))+N($G27)*IF($AM27-$AL27&lt;1,($AL27&gt;Lists!I$22)*($AL27&lt;=Lists!I$21),MAX(0,MIN(Lists!I$21,$AM27)-MAX(Lists!I$22,$AL27))/($AM27-$AL27))))))))</f>
        <v>0</v>
      </c>
      <c r="T27" s="53" t="n">
        <f aca="false">IF($H27=0,0,IF($AP27="X",0,IF($AP27="S",$H27/$AO27*(MIN($AO27,MAX(0,INT((Lists!J$21-N($J27))/7)+1))-MIN($AO27,MAX(0,INT((Lists!J$22-N($J27))/7)+1))),IF($AP27="D",$H27*MAX(0,MIN(Lists!J$21,N($J27)+$AO27)-MAX(Lists!J$22,N($J27)))/$AO27,IF($AP27="M",$H27/$AO27*(IF(Lists!J$21&lt;$J27,0,MIN($AO27,(((YEAR(Lists!J$21)-YEAR($J27))*12+MONTH(Lists!J$21)-MONTH($J27))-(EDATE($J27,((YEAR(Lists!J$21)-YEAR($J27))*12+MONTH(Lists!J$21)-MONTH($J27)))&gt;Lists!J$21)+1)))-IF(Lists!J$22&lt;$J27,0,MIN($AO27,(((YEAR(Lists!J$22)-YEAR($J27))*12+MONTH(Lists!J$22)-MONTH($J27))-(EDATE($J27,((YEAR(Lists!J$22)-YEAR($J27))*12+MONTH(Lists!J$22)-MONTH($J27)))&gt;Lists!J$22)+1)))),IF($AP27="F",IF(N($K27)&lt;=0,0,MIN(MAX(0,$H27),N($K27)*IF(Lists!J$21&lt;$J27,0,(((YEAR(Lists!J$21)-YEAR($J27))*12+MONTH(Lists!J$21)-MONTH($J27))-(EDATE($J27,((YEAR(Lists!J$21)-YEAR($J27))*12+MONTH(Lists!J$21)-MONTH($J27)))&gt;Lists!J$21)+1)))-MIN(MAX(0,$H27),N($K27)*IF(Lists!J$22&lt;$J27,0,(((YEAR(Lists!J$22)-YEAR($J27))*12+MONTH(Lists!J$22)-MONTH($J27))-(EDATE($J27,((YEAR(Lists!J$22)-YEAR($J27))*12+MONTH(Lists!J$22)-MONTH($J27)))&gt;Lists!J$22)+1)))),N($C27)*IF($AE27-$AD27&lt;1,($AD27&gt;Lists!J$22)*($AD27&lt;=Lists!J$21),MAX(0,MIN(Lists!J$21,$AE27)-MAX(Lists!J$22,$AD27))/($AE27-$AD27))+N($D27)*IF($AG27-$AF27&lt;1,($AF27&gt;Lists!J$22)*($AF27&lt;=Lists!J$21),MAX(0,MIN(Lists!J$21,$AG27)-MAX(Lists!J$22,$AF27))/($AG27-$AF27))+N($E27)*IF($AI27-$AH27&lt;1,($AH27&gt;Lists!J$22)*($AH27&lt;=Lists!J$21),MAX(0,MIN(Lists!J$21,$AI27)-MAX(Lists!J$22,$AH27))/($AI27-$AH27))+N($F27)*IF($AK27-$AJ27&lt;1,($AJ27&gt;Lists!J$22)*($AJ27&lt;=Lists!J$21),MAX(0,MIN(Lists!J$21,$AK27)-MAX(Lists!J$22,$AJ27))/($AK27-$AJ27))+N($G27)*IF($AM27-$AL27&lt;1,($AL27&gt;Lists!J$22)*($AL27&lt;=Lists!J$21),MAX(0,MIN(Lists!J$21,$AM27)-MAX(Lists!J$22,$AL27))/($AM27-$AL27))))))))</f>
        <v>0</v>
      </c>
      <c r="U27" s="53" t="n">
        <f aca="false">IF($H27=0,0,IF($AP27="X",0,IF($AP27="S",$H27/$AO27*(MIN($AO27,MAX(0,INT((Lists!K$21-N($J27))/7)+1))-MIN($AO27,MAX(0,INT((Lists!K$22-N($J27))/7)+1))),IF($AP27="D",$H27*MAX(0,MIN(Lists!K$21,N($J27)+$AO27)-MAX(Lists!K$22,N($J27)))/$AO27,IF($AP27="M",$H27/$AO27*(IF(Lists!K$21&lt;$J27,0,MIN($AO27,(((YEAR(Lists!K$21)-YEAR($J27))*12+MONTH(Lists!K$21)-MONTH($J27))-(EDATE($J27,((YEAR(Lists!K$21)-YEAR($J27))*12+MONTH(Lists!K$21)-MONTH($J27)))&gt;Lists!K$21)+1)))-IF(Lists!K$22&lt;$J27,0,MIN($AO27,(((YEAR(Lists!K$22)-YEAR($J27))*12+MONTH(Lists!K$22)-MONTH($J27))-(EDATE($J27,((YEAR(Lists!K$22)-YEAR($J27))*12+MONTH(Lists!K$22)-MONTH($J27)))&gt;Lists!K$22)+1)))),IF($AP27="F",IF(N($K27)&lt;=0,0,MIN(MAX(0,$H27),N($K27)*IF(Lists!K$21&lt;$J27,0,(((YEAR(Lists!K$21)-YEAR($J27))*12+MONTH(Lists!K$21)-MONTH($J27))-(EDATE($J27,((YEAR(Lists!K$21)-YEAR($J27))*12+MONTH(Lists!K$21)-MONTH($J27)))&gt;Lists!K$21)+1)))-MIN(MAX(0,$H27),N($K27)*IF(Lists!K$22&lt;$J27,0,(((YEAR(Lists!K$22)-YEAR($J27))*12+MONTH(Lists!K$22)-MONTH($J27))-(EDATE($J27,((YEAR(Lists!K$22)-YEAR($J27))*12+MONTH(Lists!K$22)-MONTH($J27)))&gt;Lists!K$22)+1)))),N($C27)*IF($AE27-$AD27&lt;1,($AD27&gt;Lists!K$22)*($AD27&lt;=Lists!K$21),MAX(0,MIN(Lists!K$21,$AE27)-MAX(Lists!K$22,$AD27))/($AE27-$AD27))+N($D27)*IF($AG27-$AF27&lt;1,($AF27&gt;Lists!K$22)*($AF27&lt;=Lists!K$21),MAX(0,MIN(Lists!K$21,$AG27)-MAX(Lists!K$22,$AF27))/($AG27-$AF27))+N($E27)*IF($AI27-$AH27&lt;1,($AH27&gt;Lists!K$22)*($AH27&lt;=Lists!K$21),MAX(0,MIN(Lists!K$21,$AI27)-MAX(Lists!K$22,$AH27))/($AI27-$AH27))+N($F27)*IF($AK27-$AJ27&lt;1,($AJ27&gt;Lists!K$22)*($AJ27&lt;=Lists!K$21),MAX(0,MIN(Lists!K$21,$AK27)-MAX(Lists!K$22,$AJ27))/($AK27-$AJ27))+N($G27)*IF($AM27-$AL27&lt;1,($AL27&gt;Lists!K$22)*($AL27&lt;=Lists!K$21),MAX(0,MIN(Lists!K$21,$AM27)-MAX(Lists!K$22,$AL27))/($AM27-$AL27))))))))</f>
        <v>0</v>
      </c>
      <c r="V27" s="53" t="n">
        <f aca="false">IF($H27=0,0,IF($AP27="X",0,IF($AP27="S",$H27/$AO27*(MIN($AO27,MAX(0,INT((Lists!L$21-N($J27))/7)+1))-MIN($AO27,MAX(0,INT((Lists!L$22-N($J27))/7)+1))),IF($AP27="D",$H27*MAX(0,MIN(Lists!L$21,N($J27)+$AO27)-MAX(Lists!L$22,N($J27)))/$AO27,IF($AP27="M",$H27/$AO27*(IF(Lists!L$21&lt;$J27,0,MIN($AO27,(((YEAR(Lists!L$21)-YEAR($J27))*12+MONTH(Lists!L$21)-MONTH($J27))-(EDATE($J27,((YEAR(Lists!L$21)-YEAR($J27))*12+MONTH(Lists!L$21)-MONTH($J27)))&gt;Lists!L$21)+1)))-IF(Lists!L$22&lt;$J27,0,MIN($AO27,(((YEAR(Lists!L$22)-YEAR($J27))*12+MONTH(Lists!L$22)-MONTH($J27))-(EDATE($J27,((YEAR(Lists!L$22)-YEAR($J27))*12+MONTH(Lists!L$22)-MONTH($J27)))&gt;Lists!L$22)+1)))),IF($AP27="F",IF(N($K27)&lt;=0,0,MIN(MAX(0,$H27),N($K27)*IF(Lists!L$21&lt;$J27,0,(((YEAR(Lists!L$21)-YEAR($J27))*12+MONTH(Lists!L$21)-MONTH($J27))-(EDATE($J27,((YEAR(Lists!L$21)-YEAR($J27))*12+MONTH(Lists!L$21)-MONTH($J27)))&gt;Lists!L$21)+1)))-MIN(MAX(0,$H27),N($K27)*IF(Lists!L$22&lt;$J27,0,(((YEAR(Lists!L$22)-YEAR($J27))*12+MONTH(Lists!L$22)-MONTH($J27))-(EDATE($J27,((YEAR(Lists!L$22)-YEAR($J27))*12+MONTH(Lists!L$22)-MONTH($J27)))&gt;Lists!L$22)+1)))),N($C27)*IF($AE27-$AD27&lt;1,($AD27&gt;Lists!L$22)*($AD27&lt;=Lists!L$21),MAX(0,MIN(Lists!L$21,$AE27)-MAX(Lists!L$22,$AD27))/($AE27-$AD27))+N($D27)*IF($AG27-$AF27&lt;1,($AF27&gt;Lists!L$22)*($AF27&lt;=Lists!L$21),MAX(0,MIN(Lists!L$21,$AG27)-MAX(Lists!L$22,$AF27))/($AG27-$AF27))+N($E27)*IF($AI27-$AH27&lt;1,($AH27&gt;Lists!L$22)*($AH27&lt;=Lists!L$21),MAX(0,MIN(Lists!L$21,$AI27)-MAX(Lists!L$22,$AH27))/($AI27-$AH27))+N($F27)*IF($AK27-$AJ27&lt;1,($AJ27&gt;Lists!L$22)*($AJ27&lt;=Lists!L$21),MAX(0,MIN(Lists!L$21,$AK27)-MAX(Lists!L$22,$AJ27))/($AK27-$AJ27))+N($G27)*IF($AM27-$AL27&lt;1,($AL27&gt;Lists!L$22)*($AL27&lt;=Lists!L$21),MAX(0,MIN(Lists!L$21,$AM27)-MAX(Lists!L$22,$AL27))/($AM27-$AL27))))))))</f>
        <v>0</v>
      </c>
      <c r="W27" s="53" t="n">
        <f aca="false">IF($H27=0,0,IF($AP27="X",0,IF($AP27="S",$H27/$AO27*(MIN($AO27,MAX(0,INT((Lists!M$21-N($J27))/7)+1))-MIN($AO27,MAX(0,INT((Lists!M$22-N($J27))/7)+1))),IF($AP27="D",$H27*MAX(0,MIN(Lists!M$21,N($J27)+$AO27)-MAX(Lists!M$22,N($J27)))/$AO27,IF($AP27="M",$H27/$AO27*(IF(Lists!M$21&lt;$J27,0,MIN($AO27,(((YEAR(Lists!M$21)-YEAR($J27))*12+MONTH(Lists!M$21)-MONTH($J27))-(EDATE($J27,((YEAR(Lists!M$21)-YEAR($J27))*12+MONTH(Lists!M$21)-MONTH($J27)))&gt;Lists!M$21)+1)))-IF(Lists!M$22&lt;$J27,0,MIN($AO27,(((YEAR(Lists!M$22)-YEAR($J27))*12+MONTH(Lists!M$22)-MONTH($J27))-(EDATE($J27,((YEAR(Lists!M$22)-YEAR($J27))*12+MONTH(Lists!M$22)-MONTH($J27)))&gt;Lists!M$22)+1)))),IF($AP27="F",IF(N($K27)&lt;=0,0,MIN(MAX(0,$H27),N($K27)*IF(Lists!M$21&lt;$J27,0,(((YEAR(Lists!M$21)-YEAR($J27))*12+MONTH(Lists!M$21)-MONTH($J27))-(EDATE($J27,((YEAR(Lists!M$21)-YEAR($J27))*12+MONTH(Lists!M$21)-MONTH($J27)))&gt;Lists!M$21)+1)))-MIN(MAX(0,$H27),N($K27)*IF(Lists!M$22&lt;$J27,0,(((YEAR(Lists!M$22)-YEAR($J27))*12+MONTH(Lists!M$22)-MONTH($J27))-(EDATE($J27,((YEAR(Lists!M$22)-YEAR($J27))*12+MONTH(Lists!M$22)-MONTH($J27)))&gt;Lists!M$22)+1)))),N($C27)*IF($AE27-$AD27&lt;1,($AD27&gt;Lists!M$22)*($AD27&lt;=Lists!M$21),MAX(0,MIN(Lists!M$21,$AE27)-MAX(Lists!M$22,$AD27))/($AE27-$AD27))+N($D27)*IF($AG27-$AF27&lt;1,($AF27&gt;Lists!M$22)*($AF27&lt;=Lists!M$21),MAX(0,MIN(Lists!M$21,$AG27)-MAX(Lists!M$22,$AF27))/($AG27-$AF27))+N($E27)*IF($AI27-$AH27&lt;1,($AH27&gt;Lists!M$22)*($AH27&lt;=Lists!M$21),MAX(0,MIN(Lists!M$21,$AI27)-MAX(Lists!M$22,$AH27))/($AI27-$AH27))+N($F27)*IF($AK27-$AJ27&lt;1,($AJ27&gt;Lists!M$22)*($AJ27&lt;=Lists!M$21),MAX(0,MIN(Lists!M$21,$AK27)-MAX(Lists!M$22,$AJ27))/($AK27-$AJ27))+N($G27)*IF($AM27-$AL27&lt;1,($AL27&gt;Lists!M$22)*($AL27&lt;=Lists!M$21),MAX(0,MIN(Lists!M$21,$AM27)-MAX(Lists!M$22,$AL27))/($AM27-$AL27))))))))</f>
        <v>0</v>
      </c>
      <c r="X27" s="53" t="n">
        <f aca="false">IF($H27=0,0,IF($AP27="X",0,IF($AP27="S",$H27/$AO27*(MIN($AO27,MAX(0,INT((Lists!N$21-N($J27))/7)+1))-MIN($AO27,MAX(0,INT((Lists!N$22-N($J27))/7)+1))),IF($AP27="D",$H27*MAX(0,MIN(Lists!N$21,N($J27)+$AO27)-MAX(Lists!N$22,N($J27)))/$AO27,IF($AP27="M",$H27/$AO27*(IF(Lists!N$21&lt;$J27,0,MIN($AO27,(((YEAR(Lists!N$21)-YEAR($J27))*12+MONTH(Lists!N$21)-MONTH($J27))-(EDATE($J27,((YEAR(Lists!N$21)-YEAR($J27))*12+MONTH(Lists!N$21)-MONTH($J27)))&gt;Lists!N$21)+1)))-IF(Lists!N$22&lt;$J27,0,MIN($AO27,(((YEAR(Lists!N$22)-YEAR($J27))*12+MONTH(Lists!N$22)-MONTH($J27))-(EDATE($J27,((YEAR(Lists!N$22)-YEAR($J27))*12+MONTH(Lists!N$22)-MONTH($J27)))&gt;Lists!N$22)+1)))),IF($AP27="F",IF(N($K27)&lt;=0,0,MIN(MAX(0,$H27),N($K27)*IF(Lists!N$21&lt;$J27,0,(((YEAR(Lists!N$21)-YEAR($J27))*12+MONTH(Lists!N$21)-MONTH($J27))-(EDATE($J27,((YEAR(Lists!N$21)-YEAR($J27))*12+MONTH(Lists!N$21)-MONTH($J27)))&gt;Lists!N$21)+1)))-MIN(MAX(0,$H27),N($K27)*IF(Lists!N$22&lt;$J27,0,(((YEAR(Lists!N$22)-YEAR($J27))*12+MONTH(Lists!N$22)-MONTH($J27))-(EDATE($J27,((YEAR(Lists!N$22)-YEAR($J27))*12+MONTH(Lists!N$22)-MONTH($J27)))&gt;Lists!N$22)+1)))),N($C27)*IF($AE27-$AD27&lt;1,($AD27&gt;Lists!N$22)*($AD27&lt;=Lists!N$21),MAX(0,MIN(Lists!N$21,$AE27)-MAX(Lists!N$22,$AD27))/($AE27-$AD27))+N($D27)*IF($AG27-$AF27&lt;1,($AF27&gt;Lists!N$22)*($AF27&lt;=Lists!N$21),MAX(0,MIN(Lists!N$21,$AG27)-MAX(Lists!N$22,$AF27))/($AG27-$AF27))+N($E27)*IF($AI27-$AH27&lt;1,($AH27&gt;Lists!N$22)*($AH27&lt;=Lists!N$21),MAX(0,MIN(Lists!N$21,$AI27)-MAX(Lists!N$22,$AH27))/($AI27-$AH27))+N($F27)*IF($AK27-$AJ27&lt;1,($AJ27&gt;Lists!N$22)*($AJ27&lt;=Lists!N$21),MAX(0,MIN(Lists!N$21,$AK27)-MAX(Lists!N$22,$AJ27))/($AK27-$AJ27))+N($G27)*IF($AM27-$AL27&lt;1,($AL27&gt;Lists!N$22)*($AL27&lt;=Lists!N$21),MAX(0,MIN(Lists!N$21,$AM27)-MAX(Lists!N$22,$AL27))/($AM27-$AL27))))))))</f>
        <v>0</v>
      </c>
      <c r="Y27" s="53" t="n">
        <f aca="false">IF($H27=0,0,IF($AP27="X",0,IF($AP27="S",$H27/$AO27*(MIN($AO27,MAX(0,INT((Lists!O$21-N($J27))/7)+1))-MIN($AO27,MAX(0,INT((Lists!O$22-N($J27))/7)+1))),IF($AP27="D",$H27*MAX(0,MIN(Lists!O$21,N($J27)+$AO27)-MAX(Lists!O$22,N($J27)))/$AO27,IF($AP27="M",$H27/$AO27*(IF(Lists!O$21&lt;$J27,0,MIN($AO27,(((YEAR(Lists!O$21)-YEAR($J27))*12+MONTH(Lists!O$21)-MONTH($J27))-(EDATE($J27,((YEAR(Lists!O$21)-YEAR($J27))*12+MONTH(Lists!O$21)-MONTH($J27)))&gt;Lists!O$21)+1)))-IF(Lists!O$22&lt;$J27,0,MIN($AO27,(((YEAR(Lists!O$22)-YEAR($J27))*12+MONTH(Lists!O$22)-MONTH($J27))-(EDATE($J27,((YEAR(Lists!O$22)-YEAR($J27))*12+MONTH(Lists!O$22)-MONTH($J27)))&gt;Lists!O$22)+1)))),IF($AP27="F",IF(N($K27)&lt;=0,0,MIN(MAX(0,$H27),N($K27)*IF(Lists!O$21&lt;$J27,0,(((YEAR(Lists!O$21)-YEAR($J27))*12+MONTH(Lists!O$21)-MONTH($J27))-(EDATE($J27,((YEAR(Lists!O$21)-YEAR($J27))*12+MONTH(Lists!O$21)-MONTH($J27)))&gt;Lists!O$21)+1)))-MIN(MAX(0,$H27),N($K27)*IF(Lists!O$22&lt;$J27,0,(((YEAR(Lists!O$22)-YEAR($J27))*12+MONTH(Lists!O$22)-MONTH($J27))-(EDATE($J27,((YEAR(Lists!O$22)-YEAR($J27))*12+MONTH(Lists!O$22)-MONTH($J27)))&gt;Lists!O$22)+1)))),N($C27)*IF($AE27-$AD27&lt;1,($AD27&gt;Lists!O$22)*($AD27&lt;=Lists!O$21),MAX(0,MIN(Lists!O$21,$AE27)-MAX(Lists!O$22,$AD27))/($AE27-$AD27))+N($D27)*IF($AG27-$AF27&lt;1,($AF27&gt;Lists!O$22)*($AF27&lt;=Lists!O$21),MAX(0,MIN(Lists!O$21,$AG27)-MAX(Lists!O$22,$AF27))/($AG27-$AF27))+N($E27)*IF($AI27-$AH27&lt;1,($AH27&gt;Lists!O$22)*($AH27&lt;=Lists!O$21),MAX(0,MIN(Lists!O$21,$AI27)-MAX(Lists!O$22,$AH27))/($AI27-$AH27))+N($F27)*IF($AK27-$AJ27&lt;1,($AJ27&gt;Lists!O$22)*($AJ27&lt;=Lists!O$21),MAX(0,MIN(Lists!O$21,$AK27)-MAX(Lists!O$22,$AJ27))/($AK27-$AJ27))+N($G27)*IF($AM27-$AL27&lt;1,($AL27&gt;Lists!O$22)*($AL27&lt;=Lists!O$21),MAX(0,MIN(Lists!O$21,$AM27)-MAX(Lists!O$22,$AL27))/($AM27-$AL27))))))))</f>
        <v>0</v>
      </c>
      <c r="Z27" s="46" t="n">
        <f aca="false">SUM(M27:Y27)</f>
        <v>0</v>
      </c>
      <c r="AA27" s="92" t="n">
        <f aca="false">H27-Z27</f>
        <v>0</v>
      </c>
      <c r="AB27" s="55"/>
      <c r="AC27" s="2"/>
      <c r="AD27" s="93" t="n">
        <f aca="false">Setup!$D$10+MAX(0,$AN27-30)</f>
        <v>46365</v>
      </c>
      <c r="AE27" s="93" t="n">
        <f aca="false">Setup!$D$10+IF($AN27-30&lt;0,MAX(Setup!$D$22,$AN27-0),$AN27-0)</f>
        <v>46395</v>
      </c>
      <c r="AF27" s="93" t="n">
        <f aca="false">Setup!$D$10+MAX(0,$AN27-60)</f>
        <v>46335</v>
      </c>
      <c r="AG27" s="93" t="n">
        <f aca="false">Setup!$D$10+IF($AN27-60&lt;0,MAX(Setup!$D$22,$AN27-31),$AN27-31)</f>
        <v>46364</v>
      </c>
      <c r="AH27" s="93" t="n">
        <f aca="false">Setup!$D$10+MAX(0,$AN27-90)</f>
        <v>46335</v>
      </c>
      <c r="AI27" s="93" t="n">
        <f aca="false">Setup!$D$10+IF($AN27-90&lt;0,MAX(Setup!$D$22,$AN27-61),$AN27-61)</f>
        <v>46363</v>
      </c>
      <c r="AJ27" s="93" t="n">
        <f aca="false">Setup!$D$10+MAX(0,$AN27-120)</f>
        <v>46335</v>
      </c>
      <c r="AK27" s="93" t="n">
        <f aca="false">Setup!$D$10+IF($AN27-120&lt;0,MAX(Setup!$D$22,$AN27-91),$AN27-91)</f>
        <v>46363</v>
      </c>
      <c r="AL27" s="93" t="n">
        <f aca="false">IF(Setup!$D$23="Yes",2958465,Setup!$D$10)</f>
        <v>2958465</v>
      </c>
      <c r="AM27" s="93" t="n">
        <f aca="false">IF(AL27=2958465,AL27,Setup!$D$10+Setup!$D$22)</f>
        <v>2958465</v>
      </c>
      <c r="AN27" s="94" t="n">
        <f aca="false">IF(N(L27)=0,Setup!$D$20,L27)</f>
        <v>60</v>
      </c>
      <c r="AO27" s="94" t="n">
        <f aca="false">MAX(1,ROUND(N(K27),0))</f>
        <v>1</v>
      </c>
      <c r="AP27" s="95" t="str">
        <f aca="false">IF(I27="Doubtful","X",IF(N(J27)=0,"A",IF(I27="Specific date","S",IF(I27="Spread over days","D",IF(I27="Monthly on set day","M",IF(I27="Monthly fixed amount","F","A"))))))</f>
        <v>A</v>
      </c>
    </row>
    <row r="28" customFormat="false" ht="15" hidden="false" customHeight="false" outlineLevel="0" collapsed="false">
      <c r="A28" s="87" t="n">
        <v>20</v>
      </c>
      <c r="B28" s="55"/>
      <c r="C28" s="88"/>
      <c r="D28" s="88"/>
      <c r="E28" s="88"/>
      <c r="F28" s="88"/>
      <c r="G28" s="88"/>
      <c r="H28" s="89" t="n">
        <f aca="false">SUM(C28:G28)</f>
        <v>0</v>
      </c>
      <c r="I28" s="58"/>
      <c r="J28" s="90"/>
      <c r="K28" s="91"/>
      <c r="L28" s="80"/>
      <c r="M28" s="53" t="n">
        <f aca="false">IF($H28=0,0,IF($AP28="X",0,IF($AP28="S",$H28/$AO28*(MIN($AO28,MAX(0,INT((Lists!C$21-N($J28))/7)+1))-MIN($AO28,MAX(0,INT((Lists!C$22-N($J28))/7)+1))),IF($AP28="D",$H28*MAX(0,MIN(Lists!C$21,N($J28)+$AO28)-MAX(Lists!C$22,N($J28)))/$AO28,IF($AP28="M",$H28/$AO28*(IF(Lists!C$21&lt;$J28,0,MIN($AO28,(((YEAR(Lists!C$21)-YEAR($J28))*12+MONTH(Lists!C$21)-MONTH($J28))-(EDATE($J28,((YEAR(Lists!C$21)-YEAR($J28))*12+MONTH(Lists!C$21)-MONTH($J28)))&gt;Lists!C$21)+1)))-IF(Lists!C$22&lt;$J28,0,MIN($AO28,(((YEAR(Lists!C$22)-YEAR($J28))*12+MONTH(Lists!C$22)-MONTH($J28))-(EDATE($J28,((YEAR(Lists!C$22)-YEAR($J28))*12+MONTH(Lists!C$22)-MONTH($J28)))&gt;Lists!C$22)+1)))),IF($AP28="F",IF(N($K28)&lt;=0,0,MIN(MAX(0,$H28),N($K28)*IF(Lists!C$21&lt;$J28,0,(((YEAR(Lists!C$21)-YEAR($J28))*12+MONTH(Lists!C$21)-MONTH($J28))-(EDATE($J28,((YEAR(Lists!C$21)-YEAR($J28))*12+MONTH(Lists!C$21)-MONTH($J28)))&gt;Lists!C$21)+1)))-MIN(MAX(0,$H28),N($K28)*IF(Lists!C$22&lt;$J28,0,(((YEAR(Lists!C$22)-YEAR($J28))*12+MONTH(Lists!C$22)-MONTH($J28))-(EDATE($J28,((YEAR(Lists!C$22)-YEAR($J28))*12+MONTH(Lists!C$22)-MONTH($J28)))&gt;Lists!C$22)+1)))),N($C28)*IF($AE28-$AD28&lt;1,($AD28&gt;Lists!C$22)*($AD28&lt;=Lists!C$21),MAX(0,MIN(Lists!C$21,$AE28)-MAX(Lists!C$22,$AD28))/($AE28-$AD28))+N($D28)*IF($AG28-$AF28&lt;1,($AF28&gt;Lists!C$22)*($AF28&lt;=Lists!C$21),MAX(0,MIN(Lists!C$21,$AG28)-MAX(Lists!C$22,$AF28))/($AG28-$AF28))+N($E28)*IF($AI28-$AH28&lt;1,($AH28&gt;Lists!C$22)*($AH28&lt;=Lists!C$21),MAX(0,MIN(Lists!C$21,$AI28)-MAX(Lists!C$22,$AH28))/($AI28-$AH28))+N($F28)*IF($AK28-$AJ28&lt;1,($AJ28&gt;Lists!C$22)*($AJ28&lt;=Lists!C$21),MAX(0,MIN(Lists!C$21,$AK28)-MAX(Lists!C$22,$AJ28))/($AK28-$AJ28))+N($G28)*IF($AM28-$AL28&lt;1,($AL28&gt;Lists!C$22)*($AL28&lt;=Lists!C$21),MAX(0,MIN(Lists!C$21,$AM28)-MAX(Lists!C$22,$AL28))/($AM28-$AL28))))))))</f>
        <v>0</v>
      </c>
      <c r="N28" s="53" t="n">
        <f aca="false">IF($H28=0,0,IF($AP28="X",0,IF($AP28="S",$H28/$AO28*(MIN($AO28,MAX(0,INT((Lists!D$21-N($J28))/7)+1))-MIN($AO28,MAX(0,INT((Lists!D$22-N($J28))/7)+1))),IF($AP28="D",$H28*MAX(0,MIN(Lists!D$21,N($J28)+$AO28)-MAX(Lists!D$22,N($J28)))/$AO28,IF($AP28="M",$H28/$AO28*(IF(Lists!D$21&lt;$J28,0,MIN($AO28,(((YEAR(Lists!D$21)-YEAR($J28))*12+MONTH(Lists!D$21)-MONTH($J28))-(EDATE($J28,((YEAR(Lists!D$21)-YEAR($J28))*12+MONTH(Lists!D$21)-MONTH($J28)))&gt;Lists!D$21)+1)))-IF(Lists!D$22&lt;$J28,0,MIN($AO28,(((YEAR(Lists!D$22)-YEAR($J28))*12+MONTH(Lists!D$22)-MONTH($J28))-(EDATE($J28,((YEAR(Lists!D$22)-YEAR($J28))*12+MONTH(Lists!D$22)-MONTH($J28)))&gt;Lists!D$22)+1)))),IF($AP28="F",IF(N($K28)&lt;=0,0,MIN(MAX(0,$H28),N($K28)*IF(Lists!D$21&lt;$J28,0,(((YEAR(Lists!D$21)-YEAR($J28))*12+MONTH(Lists!D$21)-MONTH($J28))-(EDATE($J28,((YEAR(Lists!D$21)-YEAR($J28))*12+MONTH(Lists!D$21)-MONTH($J28)))&gt;Lists!D$21)+1)))-MIN(MAX(0,$H28),N($K28)*IF(Lists!D$22&lt;$J28,0,(((YEAR(Lists!D$22)-YEAR($J28))*12+MONTH(Lists!D$22)-MONTH($J28))-(EDATE($J28,((YEAR(Lists!D$22)-YEAR($J28))*12+MONTH(Lists!D$22)-MONTH($J28)))&gt;Lists!D$22)+1)))),N($C28)*IF($AE28-$AD28&lt;1,($AD28&gt;Lists!D$22)*($AD28&lt;=Lists!D$21),MAX(0,MIN(Lists!D$21,$AE28)-MAX(Lists!D$22,$AD28))/($AE28-$AD28))+N($D28)*IF($AG28-$AF28&lt;1,($AF28&gt;Lists!D$22)*($AF28&lt;=Lists!D$21),MAX(0,MIN(Lists!D$21,$AG28)-MAX(Lists!D$22,$AF28))/($AG28-$AF28))+N($E28)*IF($AI28-$AH28&lt;1,($AH28&gt;Lists!D$22)*($AH28&lt;=Lists!D$21),MAX(0,MIN(Lists!D$21,$AI28)-MAX(Lists!D$22,$AH28))/($AI28-$AH28))+N($F28)*IF($AK28-$AJ28&lt;1,($AJ28&gt;Lists!D$22)*($AJ28&lt;=Lists!D$21),MAX(0,MIN(Lists!D$21,$AK28)-MAX(Lists!D$22,$AJ28))/($AK28-$AJ28))+N($G28)*IF($AM28-$AL28&lt;1,($AL28&gt;Lists!D$22)*($AL28&lt;=Lists!D$21),MAX(0,MIN(Lists!D$21,$AM28)-MAX(Lists!D$22,$AL28))/($AM28-$AL28))))))))</f>
        <v>0</v>
      </c>
      <c r="O28" s="53" t="n">
        <f aca="false">IF($H28=0,0,IF($AP28="X",0,IF($AP28="S",$H28/$AO28*(MIN($AO28,MAX(0,INT((Lists!E$21-N($J28))/7)+1))-MIN($AO28,MAX(0,INT((Lists!E$22-N($J28))/7)+1))),IF($AP28="D",$H28*MAX(0,MIN(Lists!E$21,N($J28)+$AO28)-MAX(Lists!E$22,N($J28)))/$AO28,IF($AP28="M",$H28/$AO28*(IF(Lists!E$21&lt;$J28,0,MIN($AO28,(((YEAR(Lists!E$21)-YEAR($J28))*12+MONTH(Lists!E$21)-MONTH($J28))-(EDATE($J28,((YEAR(Lists!E$21)-YEAR($J28))*12+MONTH(Lists!E$21)-MONTH($J28)))&gt;Lists!E$21)+1)))-IF(Lists!E$22&lt;$J28,0,MIN($AO28,(((YEAR(Lists!E$22)-YEAR($J28))*12+MONTH(Lists!E$22)-MONTH($J28))-(EDATE($J28,((YEAR(Lists!E$22)-YEAR($J28))*12+MONTH(Lists!E$22)-MONTH($J28)))&gt;Lists!E$22)+1)))),IF($AP28="F",IF(N($K28)&lt;=0,0,MIN(MAX(0,$H28),N($K28)*IF(Lists!E$21&lt;$J28,0,(((YEAR(Lists!E$21)-YEAR($J28))*12+MONTH(Lists!E$21)-MONTH($J28))-(EDATE($J28,((YEAR(Lists!E$21)-YEAR($J28))*12+MONTH(Lists!E$21)-MONTH($J28)))&gt;Lists!E$21)+1)))-MIN(MAX(0,$H28),N($K28)*IF(Lists!E$22&lt;$J28,0,(((YEAR(Lists!E$22)-YEAR($J28))*12+MONTH(Lists!E$22)-MONTH($J28))-(EDATE($J28,((YEAR(Lists!E$22)-YEAR($J28))*12+MONTH(Lists!E$22)-MONTH($J28)))&gt;Lists!E$22)+1)))),N($C28)*IF($AE28-$AD28&lt;1,($AD28&gt;Lists!E$22)*($AD28&lt;=Lists!E$21),MAX(0,MIN(Lists!E$21,$AE28)-MAX(Lists!E$22,$AD28))/($AE28-$AD28))+N($D28)*IF($AG28-$AF28&lt;1,($AF28&gt;Lists!E$22)*($AF28&lt;=Lists!E$21),MAX(0,MIN(Lists!E$21,$AG28)-MAX(Lists!E$22,$AF28))/($AG28-$AF28))+N($E28)*IF($AI28-$AH28&lt;1,($AH28&gt;Lists!E$22)*($AH28&lt;=Lists!E$21),MAX(0,MIN(Lists!E$21,$AI28)-MAX(Lists!E$22,$AH28))/($AI28-$AH28))+N($F28)*IF($AK28-$AJ28&lt;1,($AJ28&gt;Lists!E$22)*($AJ28&lt;=Lists!E$21),MAX(0,MIN(Lists!E$21,$AK28)-MAX(Lists!E$22,$AJ28))/($AK28-$AJ28))+N($G28)*IF($AM28-$AL28&lt;1,($AL28&gt;Lists!E$22)*($AL28&lt;=Lists!E$21),MAX(0,MIN(Lists!E$21,$AM28)-MAX(Lists!E$22,$AL28))/($AM28-$AL28))))))))</f>
        <v>0</v>
      </c>
      <c r="P28" s="53" t="n">
        <f aca="false">IF($H28=0,0,IF($AP28="X",0,IF($AP28="S",$H28/$AO28*(MIN($AO28,MAX(0,INT((Lists!F$21-N($J28))/7)+1))-MIN($AO28,MAX(0,INT((Lists!F$22-N($J28))/7)+1))),IF($AP28="D",$H28*MAX(0,MIN(Lists!F$21,N($J28)+$AO28)-MAX(Lists!F$22,N($J28)))/$AO28,IF($AP28="M",$H28/$AO28*(IF(Lists!F$21&lt;$J28,0,MIN($AO28,(((YEAR(Lists!F$21)-YEAR($J28))*12+MONTH(Lists!F$21)-MONTH($J28))-(EDATE($J28,((YEAR(Lists!F$21)-YEAR($J28))*12+MONTH(Lists!F$21)-MONTH($J28)))&gt;Lists!F$21)+1)))-IF(Lists!F$22&lt;$J28,0,MIN($AO28,(((YEAR(Lists!F$22)-YEAR($J28))*12+MONTH(Lists!F$22)-MONTH($J28))-(EDATE($J28,((YEAR(Lists!F$22)-YEAR($J28))*12+MONTH(Lists!F$22)-MONTH($J28)))&gt;Lists!F$22)+1)))),IF($AP28="F",IF(N($K28)&lt;=0,0,MIN(MAX(0,$H28),N($K28)*IF(Lists!F$21&lt;$J28,0,(((YEAR(Lists!F$21)-YEAR($J28))*12+MONTH(Lists!F$21)-MONTH($J28))-(EDATE($J28,((YEAR(Lists!F$21)-YEAR($J28))*12+MONTH(Lists!F$21)-MONTH($J28)))&gt;Lists!F$21)+1)))-MIN(MAX(0,$H28),N($K28)*IF(Lists!F$22&lt;$J28,0,(((YEAR(Lists!F$22)-YEAR($J28))*12+MONTH(Lists!F$22)-MONTH($J28))-(EDATE($J28,((YEAR(Lists!F$22)-YEAR($J28))*12+MONTH(Lists!F$22)-MONTH($J28)))&gt;Lists!F$22)+1)))),N($C28)*IF($AE28-$AD28&lt;1,($AD28&gt;Lists!F$22)*($AD28&lt;=Lists!F$21),MAX(0,MIN(Lists!F$21,$AE28)-MAX(Lists!F$22,$AD28))/($AE28-$AD28))+N($D28)*IF($AG28-$AF28&lt;1,($AF28&gt;Lists!F$22)*($AF28&lt;=Lists!F$21),MAX(0,MIN(Lists!F$21,$AG28)-MAX(Lists!F$22,$AF28))/($AG28-$AF28))+N($E28)*IF($AI28-$AH28&lt;1,($AH28&gt;Lists!F$22)*($AH28&lt;=Lists!F$21),MAX(0,MIN(Lists!F$21,$AI28)-MAX(Lists!F$22,$AH28))/($AI28-$AH28))+N($F28)*IF($AK28-$AJ28&lt;1,($AJ28&gt;Lists!F$22)*($AJ28&lt;=Lists!F$21),MAX(0,MIN(Lists!F$21,$AK28)-MAX(Lists!F$22,$AJ28))/($AK28-$AJ28))+N($G28)*IF($AM28-$AL28&lt;1,($AL28&gt;Lists!F$22)*($AL28&lt;=Lists!F$21),MAX(0,MIN(Lists!F$21,$AM28)-MAX(Lists!F$22,$AL28))/($AM28-$AL28))))))))</f>
        <v>0</v>
      </c>
      <c r="Q28" s="53" t="n">
        <f aca="false">IF($H28=0,0,IF($AP28="X",0,IF($AP28="S",$H28/$AO28*(MIN($AO28,MAX(0,INT((Lists!G$21-N($J28))/7)+1))-MIN($AO28,MAX(0,INT((Lists!G$22-N($J28))/7)+1))),IF($AP28="D",$H28*MAX(0,MIN(Lists!G$21,N($J28)+$AO28)-MAX(Lists!G$22,N($J28)))/$AO28,IF($AP28="M",$H28/$AO28*(IF(Lists!G$21&lt;$J28,0,MIN($AO28,(((YEAR(Lists!G$21)-YEAR($J28))*12+MONTH(Lists!G$21)-MONTH($J28))-(EDATE($J28,((YEAR(Lists!G$21)-YEAR($J28))*12+MONTH(Lists!G$21)-MONTH($J28)))&gt;Lists!G$21)+1)))-IF(Lists!G$22&lt;$J28,0,MIN($AO28,(((YEAR(Lists!G$22)-YEAR($J28))*12+MONTH(Lists!G$22)-MONTH($J28))-(EDATE($J28,((YEAR(Lists!G$22)-YEAR($J28))*12+MONTH(Lists!G$22)-MONTH($J28)))&gt;Lists!G$22)+1)))),IF($AP28="F",IF(N($K28)&lt;=0,0,MIN(MAX(0,$H28),N($K28)*IF(Lists!G$21&lt;$J28,0,(((YEAR(Lists!G$21)-YEAR($J28))*12+MONTH(Lists!G$21)-MONTH($J28))-(EDATE($J28,((YEAR(Lists!G$21)-YEAR($J28))*12+MONTH(Lists!G$21)-MONTH($J28)))&gt;Lists!G$21)+1)))-MIN(MAX(0,$H28),N($K28)*IF(Lists!G$22&lt;$J28,0,(((YEAR(Lists!G$22)-YEAR($J28))*12+MONTH(Lists!G$22)-MONTH($J28))-(EDATE($J28,((YEAR(Lists!G$22)-YEAR($J28))*12+MONTH(Lists!G$22)-MONTH($J28)))&gt;Lists!G$22)+1)))),N($C28)*IF($AE28-$AD28&lt;1,($AD28&gt;Lists!G$22)*($AD28&lt;=Lists!G$21),MAX(0,MIN(Lists!G$21,$AE28)-MAX(Lists!G$22,$AD28))/($AE28-$AD28))+N($D28)*IF($AG28-$AF28&lt;1,($AF28&gt;Lists!G$22)*($AF28&lt;=Lists!G$21),MAX(0,MIN(Lists!G$21,$AG28)-MAX(Lists!G$22,$AF28))/($AG28-$AF28))+N($E28)*IF($AI28-$AH28&lt;1,($AH28&gt;Lists!G$22)*($AH28&lt;=Lists!G$21),MAX(0,MIN(Lists!G$21,$AI28)-MAX(Lists!G$22,$AH28))/($AI28-$AH28))+N($F28)*IF($AK28-$AJ28&lt;1,($AJ28&gt;Lists!G$22)*($AJ28&lt;=Lists!G$21),MAX(0,MIN(Lists!G$21,$AK28)-MAX(Lists!G$22,$AJ28))/($AK28-$AJ28))+N($G28)*IF($AM28-$AL28&lt;1,($AL28&gt;Lists!G$22)*($AL28&lt;=Lists!G$21),MAX(0,MIN(Lists!G$21,$AM28)-MAX(Lists!G$22,$AL28))/($AM28-$AL28))))))))</f>
        <v>0</v>
      </c>
      <c r="R28" s="53" t="n">
        <f aca="false">IF($H28=0,0,IF($AP28="X",0,IF($AP28="S",$H28/$AO28*(MIN($AO28,MAX(0,INT((Lists!H$21-N($J28))/7)+1))-MIN($AO28,MAX(0,INT((Lists!H$22-N($J28))/7)+1))),IF($AP28="D",$H28*MAX(0,MIN(Lists!H$21,N($J28)+$AO28)-MAX(Lists!H$22,N($J28)))/$AO28,IF($AP28="M",$H28/$AO28*(IF(Lists!H$21&lt;$J28,0,MIN($AO28,(((YEAR(Lists!H$21)-YEAR($J28))*12+MONTH(Lists!H$21)-MONTH($J28))-(EDATE($J28,((YEAR(Lists!H$21)-YEAR($J28))*12+MONTH(Lists!H$21)-MONTH($J28)))&gt;Lists!H$21)+1)))-IF(Lists!H$22&lt;$J28,0,MIN($AO28,(((YEAR(Lists!H$22)-YEAR($J28))*12+MONTH(Lists!H$22)-MONTH($J28))-(EDATE($J28,((YEAR(Lists!H$22)-YEAR($J28))*12+MONTH(Lists!H$22)-MONTH($J28)))&gt;Lists!H$22)+1)))),IF($AP28="F",IF(N($K28)&lt;=0,0,MIN(MAX(0,$H28),N($K28)*IF(Lists!H$21&lt;$J28,0,(((YEAR(Lists!H$21)-YEAR($J28))*12+MONTH(Lists!H$21)-MONTH($J28))-(EDATE($J28,((YEAR(Lists!H$21)-YEAR($J28))*12+MONTH(Lists!H$21)-MONTH($J28)))&gt;Lists!H$21)+1)))-MIN(MAX(0,$H28),N($K28)*IF(Lists!H$22&lt;$J28,0,(((YEAR(Lists!H$22)-YEAR($J28))*12+MONTH(Lists!H$22)-MONTH($J28))-(EDATE($J28,((YEAR(Lists!H$22)-YEAR($J28))*12+MONTH(Lists!H$22)-MONTH($J28)))&gt;Lists!H$22)+1)))),N($C28)*IF($AE28-$AD28&lt;1,($AD28&gt;Lists!H$22)*($AD28&lt;=Lists!H$21),MAX(0,MIN(Lists!H$21,$AE28)-MAX(Lists!H$22,$AD28))/($AE28-$AD28))+N($D28)*IF($AG28-$AF28&lt;1,($AF28&gt;Lists!H$22)*($AF28&lt;=Lists!H$21),MAX(0,MIN(Lists!H$21,$AG28)-MAX(Lists!H$22,$AF28))/($AG28-$AF28))+N($E28)*IF($AI28-$AH28&lt;1,($AH28&gt;Lists!H$22)*($AH28&lt;=Lists!H$21),MAX(0,MIN(Lists!H$21,$AI28)-MAX(Lists!H$22,$AH28))/($AI28-$AH28))+N($F28)*IF($AK28-$AJ28&lt;1,($AJ28&gt;Lists!H$22)*($AJ28&lt;=Lists!H$21),MAX(0,MIN(Lists!H$21,$AK28)-MAX(Lists!H$22,$AJ28))/($AK28-$AJ28))+N($G28)*IF($AM28-$AL28&lt;1,($AL28&gt;Lists!H$22)*($AL28&lt;=Lists!H$21),MAX(0,MIN(Lists!H$21,$AM28)-MAX(Lists!H$22,$AL28))/($AM28-$AL28))))))))</f>
        <v>0</v>
      </c>
      <c r="S28" s="53" t="n">
        <f aca="false">IF($H28=0,0,IF($AP28="X",0,IF($AP28="S",$H28/$AO28*(MIN($AO28,MAX(0,INT((Lists!I$21-N($J28))/7)+1))-MIN($AO28,MAX(0,INT((Lists!I$22-N($J28))/7)+1))),IF($AP28="D",$H28*MAX(0,MIN(Lists!I$21,N($J28)+$AO28)-MAX(Lists!I$22,N($J28)))/$AO28,IF($AP28="M",$H28/$AO28*(IF(Lists!I$21&lt;$J28,0,MIN($AO28,(((YEAR(Lists!I$21)-YEAR($J28))*12+MONTH(Lists!I$21)-MONTH($J28))-(EDATE($J28,((YEAR(Lists!I$21)-YEAR($J28))*12+MONTH(Lists!I$21)-MONTH($J28)))&gt;Lists!I$21)+1)))-IF(Lists!I$22&lt;$J28,0,MIN($AO28,(((YEAR(Lists!I$22)-YEAR($J28))*12+MONTH(Lists!I$22)-MONTH($J28))-(EDATE($J28,((YEAR(Lists!I$22)-YEAR($J28))*12+MONTH(Lists!I$22)-MONTH($J28)))&gt;Lists!I$22)+1)))),IF($AP28="F",IF(N($K28)&lt;=0,0,MIN(MAX(0,$H28),N($K28)*IF(Lists!I$21&lt;$J28,0,(((YEAR(Lists!I$21)-YEAR($J28))*12+MONTH(Lists!I$21)-MONTH($J28))-(EDATE($J28,((YEAR(Lists!I$21)-YEAR($J28))*12+MONTH(Lists!I$21)-MONTH($J28)))&gt;Lists!I$21)+1)))-MIN(MAX(0,$H28),N($K28)*IF(Lists!I$22&lt;$J28,0,(((YEAR(Lists!I$22)-YEAR($J28))*12+MONTH(Lists!I$22)-MONTH($J28))-(EDATE($J28,((YEAR(Lists!I$22)-YEAR($J28))*12+MONTH(Lists!I$22)-MONTH($J28)))&gt;Lists!I$22)+1)))),N($C28)*IF($AE28-$AD28&lt;1,($AD28&gt;Lists!I$22)*($AD28&lt;=Lists!I$21),MAX(0,MIN(Lists!I$21,$AE28)-MAX(Lists!I$22,$AD28))/($AE28-$AD28))+N($D28)*IF($AG28-$AF28&lt;1,($AF28&gt;Lists!I$22)*($AF28&lt;=Lists!I$21),MAX(0,MIN(Lists!I$21,$AG28)-MAX(Lists!I$22,$AF28))/($AG28-$AF28))+N($E28)*IF($AI28-$AH28&lt;1,($AH28&gt;Lists!I$22)*($AH28&lt;=Lists!I$21),MAX(0,MIN(Lists!I$21,$AI28)-MAX(Lists!I$22,$AH28))/($AI28-$AH28))+N($F28)*IF($AK28-$AJ28&lt;1,($AJ28&gt;Lists!I$22)*($AJ28&lt;=Lists!I$21),MAX(0,MIN(Lists!I$21,$AK28)-MAX(Lists!I$22,$AJ28))/($AK28-$AJ28))+N($G28)*IF($AM28-$AL28&lt;1,($AL28&gt;Lists!I$22)*($AL28&lt;=Lists!I$21),MAX(0,MIN(Lists!I$21,$AM28)-MAX(Lists!I$22,$AL28))/($AM28-$AL28))))))))</f>
        <v>0</v>
      </c>
      <c r="T28" s="53" t="n">
        <f aca="false">IF($H28=0,0,IF($AP28="X",0,IF($AP28="S",$H28/$AO28*(MIN($AO28,MAX(0,INT((Lists!J$21-N($J28))/7)+1))-MIN($AO28,MAX(0,INT((Lists!J$22-N($J28))/7)+1))),IF($AP28="D",$H28*MAX(0,MIN(Lists!J$21,N($J28)+$AO28)-MAX(Lists!J$22,N($J28)))/$AO28,IF($AP28="M",$H28/$AO28*(IF(Lists!J$21&lt;$J28,0,MIN($AO28,(((YEAR(Lists!J$21)-YEAR($J28))*12+MONTH(Lists!J$21)-MONTH($J28))-(EDATE($J28,((YEAR(Lists!J$21)-YEAR($J28))*12+MONTH(Lists!J$21)-MONTH($J28)))&gt;Lists!J$21)+1)))-IF(Lists!J$22&lt;$J28,0,MIN($AO28,(((YEAR(Lists!J$22)-YEAR($J28))*12+MONTH(Lists!J$22)-MONTH($J28))-(EDATE($J28,((YEAR(Lists!J$22)-YEAR($J28))*12+MONTH(Lists!J$22)-MONTH($J28)))&gt;Lists!J$22)+1)))),IF($AP28="F",IF(N($K28)&lt;=0,0,MIN(MAX(0,$H28),N($K28)*IF(Lists!J$21&lt;$J28,0,(((YEAR(Lists!J$21)-YEAR($J28))*12+MONTH(Lists!J$21)-MONTH($J28))-(EDATE($J28,((YEAR(Lists!J$21)-YEAR($J28))*12+MONTH(Lists!J$21)-MONTH($J28)))&gt;Lists!J$21)+1)))-MIN(MAX(0,$H28),N($K28)*IF(Lists!J$22&lt;$J28,0,(((YEAR(Lists!J$22)-YEAR($J28))*12+MONTH(Lists!J$22)-MONTH($J28))-(EDATE($J28,((YEAR(Lists!J$22)-YEAR($J28))*12+MONTH(Lists!J$22)-MONTH($J28)))&gt;Lists!J$22)+1)))),N($C28)*IF($AE28-$AD28&lt;1,($AD28&gt;Lists!J$22)*($AD28&lt;=Lists!J$21),MAX(0,MIN(Lists!J$21,$AE28)-MAX(Lists!J$22,$AD28))/($AE28-$AD28))+N($D28)*IF($AG28-$AF28&lt;1,($AF28&gt;Lists!J$22)*($AF28&lt;=Lists!J$21),MAX(0,MIN(Lists!J$21,$AG28)-MAX(Lists!J$22,$AF28))/($AG28-$AF28))+N($E28)*IF($AI28-$AH28&lt;1,($AH28&gt;Lists!J$22)*($AH28&lt;=Lists!J$21),MAX(0,MIN(Lists!J$21,$AI28)-MAX(Lists!J$22,$AH28))/($AI28-$AH28))+N($F28)*IF($AK28-$AJ28&lt;1,($AJ28&gt;Lists!J$22)*($AJ28&lt;=Lists!J$21),MAX(0,MIN(Lists!J$21,$AK28)-MAX(Lists!J$22,$AJ28))/($AK28-$AJ28))+N($G28)*IF($AM28-$AL28&lt;1,($AL28&gt;Lists!J$22)*($AL28&lt;=Lists!J$21),MAX(0,MIN(Lists!J$21,$AM28)-MAX(Lists!J$22,$AL28))/($AM28-$AL28))))))))</f>
        <v>0</v>
      </c>
      <c r="U28" s="53" t="n">
        <f aca="false">IF($H28=0,0,IF($AP28="X",0,IF($AP28="S",$H28/$AO28*(MIN($AO28,MAX(0,INT((Lists!K$21-N($J28))/7)+1))-MIN($AO28,MAX(0,INT((Lists!K$22-N($J28))/7)+1))),IF($AP28="D",$H28*MAX(0,MIN(Lists!K$21,N($J28)+$AO28)-MAX(Lists!K$22,N($J28)))/$AO28,IF($AP28="M",$H28/$AO28*(IF(Lists!K$21&lt;$J28,0,MIN($AO28,(((YEAR(Lists!K$21)-YEAR($J28))*12+MONTH(Lists!K$21)-MONTH($J28))-(EDATE($J28,((YEAR(Lists!K$21)-YEAR($J28))*12+MONTH(Lists!K$21)-MONTH($J28)))&gt;Lists!K$21)+1)))-IF(Lists!K$22&lt;$J28,0,MIN($AO28,(((YEAR(Lists!K$22)-YEAR($J28))*12+MONTH(Lists!K$22)-MONTH($J28))-(EDATE($J28,((YEAR(Lists!K$22)-YEAR($J28))*12+MONTH(Lists!K$22)-MONTH($J28)))&gt;Lists!K$22)+1)))),IF($AP28="F",IF(N($K28)&lt;=0,0,MIN(MAX(0,$H28),N($K28)*IF(Lists!K$21&lt;$J28,0,(((YEAR(Lists!K$21)-YEAR($J28))*12+MONTH(Lists!K$21)-MONTH($J28))-(EDATE($J28,((YEAR(Lists!K$21)-YEAR($J28))*12+MONTH(Lists!K$21)-MONTH($J28)))&gt;Lists!K$21)+1)))-MIN(MAX(0,$H28),N($K28)*IF(Lists!K$22&lt;$J28,0,(((YEAR(Lists!K$22)-YEAR($J28))*12+MONTH(Lists!K$22)-MONTH($J28))-(EDATE($J28,((YEAR(Lists!K$22)-YEAR($J28))*12+MONTH(Lists!K$22)-MONTH($J28)))&gt;Lists!K$22)+1)))),N($C28)*IF($AE28-$AD28&lt;1,($AD28&gt;Lists!K$22)*($AD28&lt;=Lists!K$21),MAX(0,MIN(Lists!K$21,$AE28)-MAX(Lists!K$22,$AD28))/($AE28-$AD28))+N($D28)*IF($AG28-$AF28&lt;1,($AF28&gt;Lists!K$22)*($AF28&lt;=Lists!K$21),MAX(0,MIN(Lists!K$21,$AG28)-MAX(Lists!K$22,$AF28))/($AG28-$AF28))+N($E28)*IF($AI28-$AH28&lt;1,($AH28&gt;Lists!K$22)*($AH28&lt;=Lists!K$21),MAX(0,MIN(Lists!K$21,$AI28)-MAX(Lists!K$22,$AH28))/($AI28-$AH28))+N($F28)*IF($AK28-$AJ28&lt;1,($AJ28&gt;Lists!K$22)*($AJ28&lt;=Lists!K$21),MAX(0,MIN(Lists!K$21,$AK28)-MAX(Lists!K$22,$AJ28))/($AK28-$AJ28))+N($G28)*IF($AM28-$AL28&lt;1,($AL28&gt;Lists!K$22)*($AL28&lt;=Lists!K$21),MAX(0,MIN(Lists!K$21,$AM28)-MAX(Lists!K$22,$AL28))/($AM28-$AL28))))))))</f>
        <v>0</v>
      </c>
      <c r="V28" s="53" t="n">
        <f aca="false">IF($H28=0,0,IF($AP28="X",0,IF($AP28="S",$H28/$AO28*(MIN($AO28,MAX(0,INT((Lists!L$21-N($J28))/7)+1))-MIN($AO28,MAX(0,INT((Lists!L$22-N($J28))/7)+1))),IF($AP28="D",$H28*MAX(0,MIN(Lists!L$21,N($J28)+$AO28)-MAX(Lists!L$22,N($J28)))/$AO28,IF($AP28="M",$H28/$AO28*(IF(Lists!L$21&lt;$J28,0,MIN($AO28,(((YEAR(Lists!L$21)-YEAR($J28))*12+MONTH(Lists!L$21)-MONTH($J28))-(EDATE($J28,((YEAR(Lists!L$21)-YEAR($J28))*12+MONTH(Lists!L$21)-MONTH($J28)))&gt;Lists!L$21)+1)))-IF(Lists!L$22&lt;$J28,0,MIN($AO28,(((YEAR(Lists!L$22)-YEAR($J28))*12+MONTH(Lists!L$22)-MONTH($J28))-(EDATE($J28,((YEAR(Lists!L$22)-YEAR($J28))*12+MONTH(Lists!L$22)-MONTH($J28)))&gt;Lists!L$22)+1)))),IF($AP28="F",IF(N($K28)&lt;=0,0,MIN(MAX(0,$H28),N($K28)*IF(Lists!L$21&lt;$J28,0,(((YEAR(Lists!L$21)-YEAR($J28))*12+MONTH(Lists!L$21)-MONTH($J28))-(EDATE($J28,((YEAR(Lists!L$21)-YEAR($J28))*12+MONTH(Lists!L$21)-MONTH($J28)))&gt;Lists!L$21)+1)))-MIN(MAX(0,$H28),N($K28)*IF(Lists!L$22&lt;$J28,0,(((YEAR(Lists!L$22)-YEAR($J28))*12+MONTH(Lists!L$22)-MONTH($J28))-(EDATE($J28,((YEAR(Lists!L$22)-YEAR($J28))*12+MONTH(Lists!L$22)-MONTH($J28)))&gt;Lists!L$22)+1)))),N($C28)*IF($AE28-$AD28&lt;1,($AD28&gt;Lists!L$22)*($AD28&lt;=Lists!L$21),MAX(0,MIN(Lists!L$21,$AE28)-MAX(Lists!L$22,$AD28))/($AE28-$AD28))+N($D28)*IF($AG28-$AF28&lt;1,($AF28&gt;Lists!L$22)*($AF28&lt;=Lists!L$21),MAX(0,MIN(Lists!L$21,$AG28)-MAX(Lists!L$22,$AF28))/($AG28-$AF28))+N($E28)*IF($AI28-$AH28&lt;1,($AH28&gt;Lists!L$22)*($AH28&lt;=Lists!L$21),MAX(0,MIN(Lists!L$21,$AI28)-MAX(Lists!L$22,$AH28))/($AI28-$AH28))+N($F28)*IF($AK28-$AJ28&lt;1,($AJ28&gt;Lists!L$22)*($AJ28&lt;=Lists!L$21),MAX(0,MIN(Lists!L$21,$AK28)-MAX(Lists!L$22,$AJ28))/($AK28-$AJ28))+N($G28)*IF($AM28-$AL28&lt;1,($AL28&gt;Lists!L$22)*($AL28&lt;=Lists!L$21),MAX(0,MIN(Lists!L$21,$AM28)-MAX(Lists!L$22,$AL28))/($AM28-$AL28))))))))</f>
        <v>0</v>
      </c>
      <c r="W28" s="53" t="n">
        <f aca="false">IF($H28=0,0,IF($AP28="X",0,IF($AP28="S",$H28/$AO28*(MIN($AO28,MAX(0,INT((Lists!M$21-N($J28))/7)+1))-MIN($AO28,MAX(0,INT((Lists!M$22-N($J28))/7)+1))),IF($AP28="D",$H28*MAX(0,MIN(Lists!M$21,N($J28)+$AO28)-MAX(Lists!M$22,N($J28)))/$AO28,IF($AP28="M",$H28/$AO28*(IF(Lists!M$21&lt;$J28,0,MIN($AO28,(((YEAR(Lists!M$21)-YEAR($J28))*12+MONTH(Lists!M$21)-MONTH($J28))-(EDATE($J28,((YEAR(Lists!M$21)-YEAR($J28))*12+MONTH(Lists!M$21)-MONTH($J28)))&gt;Lists!M$21)+1)))-IF(Lists!M$22&lt;$J28,0,MIN($AO28,(((YEAR(Lists!M$22)-YEAR($J28))*12+MONTH(Lists!M$22)-MONTH($J28))-(EDATE($J28,((YEAR(Lists!M$22)-YEAR($J28))*12+MONTH(Lists!M$22)-MONTH($J28)))&gt;Lists!M$22)+1)))),IF($AP28="F",IF(N($K28)&lt;=0,0,MIN(MAX(0,$H28),N($K28)*IF(Lists!M$21&lt;$J28,0,(((YEAR(Lists!M$21)-YEAR($J28))*12+MONTH(Lists!M$21)-MONTH($J28))-(EDATE($J28,((YEAR(Lists!M$21)-YEAR($J28))*12+MONTH(Lists!M$21)-MONTH($J28)))&gt;Lists!M$21)+1)))-MIN(MAX(0,$H28),N($K28)*IF(Lists!M$22&lt;$J28,0,(((YEAR(Lists!M$22)-YEAR($J28))*12+MONTH(Lists!M$22)-MONTH($J28))-(EDATE($J28,((YEAR(Lists!M$22)-YEAR($J28))*12+MONTH(Lists!M$22)-MONTH($J28)))&gt;Lists!M$22)+1)))),N($C28)*IF($AE28-$AD28&lt;1,($AD28&gt;Lists!M$22)*($AD28&lt;=Lists!M$21),MAX(0,MIN(Lists!M$21,$AE28)-MAX(Lists!M$22,$AD28))/($AE28-$AD28))+N($D28)*IF($AG28-$AF28&lt;1,($AF28&gt;Lists!M$22)*($AF28&lt;=Lists!M$21),MAX(0,MIN(Lists!M$21,$AG28)-MAX(Lists!M$22,$AF28))/($AG28-$AF28))+N($E28)*IF($AI28-$AH28&lt;1,($AH28&gt;Lists!M$22)*($AH28&lt;=Lists!M$21),MAX(0,MIN(Lists!M$21,$AI28)-MAX(Lists!M$22,$AH28))/($AI28-$AH28))+N($F28)*IF($AK28-$AJ28&lt;1,($AJ28&gt;Lists!M$22)*($AJ28&lt;=Lists!M$21),MAX(0,MIN(Lists!M$21,$AK28)-MAX(Lists!M$22,$AJ28))/($AK28-$AJ28))+N($G28)*IF($AM28-$AL28&lt;1,($AL28&gt;Lists!M$22)*($AL28&lt;=Lists!M$21),MAX(0,MIN(Lists!M$21,$AM28)-MAX(Lists!M$22,$AL28))/($AM28-$AL28))))))))</f>
        <v>0</v>
      </c>
      <c r="X28" s="53" t="n">
        <f aca="false">IF($H28=0,0,IF($AP28="X",0,IF($AP28="S",$H28/$AO28*(MIN($AO28,MAX(0,INT((Lists!N$21-N($J28))/7)+1))-MIN($AO28,MAX(0,INT((Lists!N$22-N($J28))/7)+1))),IF($AP28="D",$H28*MAX(0,MIN(Lists!N$21,N($J28)+$AO28)-MAX(Lists!N$22,N($J28)))/$AO28,IF($AP28="M",$H28/$AO28*(IF(Lists!N$21&lt;$J28,0,MIN($AO28,(((YEAR(Lists!N$21)-YEAR($J28))*12+MONTH(Lists!N$21)-MONTH($J28))-(EDATE($J28,((YEAR(Lists!N$21)-YEAR($J28))*12+MONTH(Lists!N$21)-MONTH($J28)))&gt;Lists!N$21)+1)))-IF(Lists!N$22&lt;$J28,0,MIN($AO28,(((YEAR(Lists!N$22)-YEAR($J28))*12+MONTH(Lists!N$22)-MONTH($J28))-(EDATE($J28,((YEAR(Lists!N$22)-YEAR($J28))*12+MONTH(Lists!N$22)-MONTH($J28)))&gt;Lists!N$22)+1)))),IF($AP28="F",IF(N($K28)&lt;=0,0,MIN(MAX(0,$H28),N($K28)*IF(Lists!N$21&lt;$J28,0,(((YEAR(Lists!N$21)-YEAR($J28))*12+MONTH(Lists!N$21)-MONTH($J28))-(EDATE($J28,((YEAR(Lists!N$21)-YEAR($J28))*12+MONTH(Lists!N$21)-MONTH($J28)))&gt;Lists!N$21)+1)))-MIN(MAX(0,$H28),N($K28)*IF(Lists!N$22&lt;$J28,0,(((YEAR(Lists!N$22)-YEAR($J28))*12+MONTH(Lists!N$22)-MONTH($J28))-(EDATE($J28,((YEAR(Lists!N$22)-YEAR($J28))*12+MONTH(Lists!N$22)-MONTH($J28)))&gt;Lists!N$22)+1)))),N($C28)*IF($AE28-$AD28&lt;1,($AD28&gt;Lists!N$22)*($AD28&lt;=Lists!N$21),MAX(0,MIN(Lists!N$21,$AE28)-MAX(Lists!N$22,$AD28))/($AE28-$AD28))+N($D28)*IF($AG28-$AF28&lt;1,($AF28&gt;Lists!N$22)*($AF28&lt;=Lists!N$21),MAX(0,MIN(Lists!N$21,$AG28)-MAX(Lists!N$22,$AF28))/($AG28-$AF28))+N($E28)*IF($AI28-$AH28&lt;1,($AH28&gt;Lists!N$22)*($AH28&lt;=Lists!N$21),MAX(0,MIN(Lists!N$21,$AI28)-MAX(Lists!N$22,$AH28))/($AI28-$AH28))+N($F28)*IF($AK28-$AJ28&lt;1,($AJ28&gt;Lists!N$22)*($AJ28&lt;=Lists!N$21),MAX(0,MIN(Lists!N$21,$AK28)-MAX(Lists!N$22,$AJ28))/($AK28-$AJ28))+N($G28)*IF($AM28-$AL28&lt;1,($AL28&gt;Lists!N$22)*($AL28&lt;=Lists!N$21),MAX(0,MIN(Lists!N$21,$AM28)-MAX(Lists!N$22,$AL28))/($AM28-$AL28))))))))</f>
        <v>0</v>
      </c>
      <c r="Y28" s="53" t="n">
        <f aca="false">IF($H28=0,0,IF($AP28="X",0,IF($AP28="S",$H28/$AO28*(MIN($AO28,MAX(0,INT((Lists!O$21-N($J28))/7)+1))-MIN($AO28,MAX(0,INT((Lists!O$22-N($J28))/7)+1))),IF($AP28="D",$H28*MAX(0,MIN(Lists!O$21,N($J28)+$AO28)-MAX(Lists!O$22,N($J28)))/$AO28,IF($AP28="M",$H28/$AO28*(IF(Lists!O$21&lt;$J28,0,MIN($AO28,(((YEAR(Lists!O$21)-YEAR($J28))*12+MONTH(Lists!O$21)-MONTH($J28))-(EDATE($J28,((YEAR(Lists!O$21)-YEAR($J28))*12+MONTH(Lists!O$21)-MONTH($J28)))&gt;Lists!O$21)+1)))-IF(Lists!O$22&lt;$J28,0,MIN($AO28,(((YEAR(Lists!O$22)-YEAR($J28))*12+MONTH(Lists!O$22)-MONTH($J28))-(EDATE($J28,((YEAR(Lists!O$22)-YEAR($J28))*12+MONTH(Lists!O$22)-MONTH($J28)))&gt;Lists!O$22)+1)))),IF($AP28="F",IF(N($K28)&lt;=0,0,MIN(MAX(0,$H28),N($K28)*IF(Lists!O$21&lt;$J28,0,(((YEAR(Lists!O$21)-YEAR($J28))*12+MONTH(Lists!O$21)-MONTH($J28))-(EDATE($J28,((YEAR(Lists!O$21)-YEAR($J28))*12+MONTH(Lists!O$21)-MONTH($J28)))&gt;Lists!O$21)+1)))-MIN(MAX(0,$H28),N($K28)*IF(Lists!O$22&lt;$J28,0,(((YEAR(Lists!O$22)-YEAR($J28))*12+MONTH(Lists!O$22)-MONTH($J28))-(EDATE($J28,((YEAR(Lists!O$22)-YEAR($J28))*12+MONTH(Lists!O$22)-MONTH($J28)))&gt;Lists!O$22)+1)))),N($C28)*IF($AE28-$AD28&lt;1,($AD28&gt;Lists!O$22)*($AD28&lt;=Lists!O$21),MAX(0,MIN(Lists!O$21,$AE28)-MAX(Lists!O$22,$AD28))/($AE28-$AD28))+N($D28)*IF($AG28-$AF28&lt;1,($AF28&gt;Lists!O$22)*($AF28&lt;=Lists!O$21),MAX(0,MIN(Lists!O$21,$AG28)-MAX(Lists!O$22,$AF28))/($AG28-$AF28))+N($E28)*IF($AI28-$AH28&lt;1,($AH28&gt;Lists!O$22)*($AH28&lt;=Lists!O$21),MAX(0,MIN(Lists!O$21,$AI28)-MAX(Lists!O$22,$AH28))/($AI28-$AH28))+N($F28)*IF($AK28-$AJ28&lt;1,($AJ28&gt;Lists!O$22)*($AJ28&lt;=Lists!O$21),MAX(0,MIN(Lists!O$21,$AK28)-MAX(Lists!O$22,$AJ28))/($AK28-$AJ28))+N($G28)*IF($AM28-$AL28&lt;1,($AL28&gt;Lists!O$22)*($AL28&lt;=Lists!O$21),MAX(0,MIN(Lists!O$21,$AM28)-MAX(Lists!O$22,$AL28))/($AM28-$AL28))))))))</f>
        <v>0</v>
      </c>
      <c r="Z28" s="46" t="n">
        <f aca="false">SUM(M28:Y28)</f>
        <v>0</v>
      </c>
      <c r="AA28" s="92" t="n">
        <f aca="false">H28-Z28</f>
        <v>0</v>
      </c>
      <c r="AB28" s="55"/>
      <c r="AC28" s="2"/>
      <c r="AD28" s="93" t="n">
        <f aca="false">Setup!$D$10+MAX(0,$AN28-30)</f>
        <v>46365</v>
      </c>
      <c r="AE28" s="93" t="n">
        <f aca="false">Setup!$D$10+IF($AN28-30&lt;0,MAX(Setup!$D$22,$AN28-0),$AN28-0)</f>
        <v>46395</v>
      </c>
      <c r="AF28" s="93" t="n">
        <f aca="false">Setup!$D$10+MAX(0,$AN28-60)</f>
        <v>46335</v>
      </c>
      <c r="AG28" s="93" t="n">
        <f aca="false">Setup!$D$10+IF($AN28-60&lt;0,MAX(Setup!$D$22,$AN28-31),$AN28-31)</f>
        <v>46364</v>
      </c>
      <c r="AH28" s="93" t="n">
        <f aca="false">Setup!$D$10+MAX(0,$AN28-90)</f>
        <v>46335</v>
      </c>
      <c r="AI28" s="93" t="n">
        <f aca="false">Setup!$D$10+IF($AN28-90&lt;0,MAX(Setup!$D$22,$AN28-61),$AN28-61)</f>
        <v>46363</v>
      </c>
      <c r="AJ28" s="93" t="n">
        <f aca="false">Setup!$D$10+MAX(0,$AN28-120)</f>
        <v>46335</v>
      </c>
      <c r="AK28" s="93" t="n">
        <f aca="false">Setup!$D$10+IF($AN28-120&lt;0,MAX(Setup!$D$22,$AN28-91),$AN28-91)</f>
        <v>46363</v>
      </c>
      <c r="AL28" s="93" t="n">
        <f aca="false">IF(Setup!$D$23="Yes",2958465,Setup!$D$10)</f>
        <v>2958465</v>
      </c>
      <c r="AM28" s="93" t="n">
        <f aca="false">IF(AL28=2958465,AL28,Setup!$D$10+Setup!$D$22)</f>
        <v>2958465</v>
      </c>
      <c r="AN28" s="94" t="n">
        <f aca="false">IF(N(L28)=0,Setup!$D$20,L28)</f>
        <v>60</v>
      </c>
      <c r="AO28" s="94" t="n">
        <f aca="false">MAX(1,ROUND(N(K28),0))</f>
        <v>1</v>
      </c>
      <c r="AP28" s="95" t="str">
        <f aca="false">IF(I28="Doubtful","X",IF(N(J28)=0,"A",IF(I28="Specific date","S",IF(I28="Spread over days","D",IF(I28="Monthly on set day","M",IF(I28="Monthly fixed amount","F","A"))))))</f>
        <v>A</v>
      </c>
    </row>
    <row r="29" customFormat="false" ht="15" hidden="false" customHeight="false" outlineLevel="0" collapsed="false">
      <c r="A29" s="87" t="n">
        <v>21</v>
      </c>
      <c r="B29" s="55"/>
      <c r="C29" s="88"/>
      <c r="D29" s="88"/>
      <c r="E29" s="88"/>
      <c r="F29" s="88"/>
      <c r="G29" s="88"/>
      <c r="H29" s="89" t="n">
        <f aca="false">SUM(C29:G29)</f>
        <v>0</v>
      </c>
      <c r="I29" s="58"/>
      <c r="J29" s="90"/>
      <c r="K29" s="91"/>
      <c r="L29" s="80"/>
      <c r="M29" s="53" t="n">
        <f aca="false">IF($H29=0,0,IF($AP29="X",0,IF($AP29="S",$H29/$AO29*(MIN($AO29,MAX(0,INT((Lists!C$21-N($J29))/7)+1))-MIN($AO29,MAX(0,INT((Lists!C$22-N($J29))/7)+1))),IF($AP29="D",$H29*MAX(0,MIN(Lists!C$21,N($J29)+$AO29)-MAX(Lists!C$22,N($J29)))/$AO29,IF($AP29="M",$H29/$AO29*(IF(Lists!C$21&lt;$J29,0,MIN($AO29,(((YEAR(Lists!C$21)-YEAR($J29))*12+MONTH(Lists!C$21)-MONTH($J29))-(EDATE($J29,((YEAR(Lists!C$21)-YEAR($J29))*12+MONTH(Lists!C$21)-MONTH($J29)))&gt;Lists!C$21)+1)))-IF(Lists!C$22&lt;$J29,0,MIN($AO29,(((YEAR(Lists!C$22)-YEAR($J29))*12+MONTH(Lists!C$22)-MONTH($J29))-(EDATE($J29,((YEAR(Lists!C$22)-YEAR($J29))*12+MONTH(Lists!C$22)-MONTH($J29)))&gt;Lists!C$22)+1)))),IF($AP29="F",IF(N($K29)&lt;=0,0,MIN(MAX(0,$H29),N($K29)*IF(Lists!C$21&lt;$J29,0,(((YEAR(Lists!C$21)-YEAR($J29))*12+MONTH(Lists!C$21)-MONTH($J29))-(EDATE($J29,((YEAR(Lists!C$21)-YEAR($J29))*12+MONTH(Lists!C$21)-MONTH($J29)))&gt;Lists!C$21)+1)))-MIN(MAX(0,$H29),N($K29)*IF(Lists!C$22&lt;$J29,0,(((YEAR(Lists!C$22)-YEAR($J29))*12+MONTH(Lists!C$22)-MONTH($J29))-(EDATE($J29,((YEAR(Lists!C$22)-YEAR($J29))*12+MONTH(Lists!C$22)-MONTH($J29)))&gt;Lists!C$22)+1)))),N($C29)*IF($AE29-$AD29&lt;1,($AD29&gt;Lists!C$22)*($AD29&lt;=Lists!C$21),MAX(0,MIN(Lists!C$21,$AE29)-MAX(Lists!C$22,$AD29))/($AE29-$AD29))+N($D29)*IF($AG29-$AF29&lt;1,($AF29&gt;Lists!C$22)*($AF29&lt;=Lists!C$21),MAX(0,MIN(Lists!C$21,$AG29)-MAX(Lists!C$22,$AF29))/($AG29-$AF29))+N($E29)*IF($AI29-$AH29&lt;1,($AH29&gt;Lists!C$22)*($AH29&lt;=Lists!C$21),MAX(0,MIN(Lists!C$21,$AI29)-MAX(Lists!C$22,$AH29))/($AI29-$AH29))+N($F29)*IF($AK29-$AJ29&lt;1,($AJ29&gt;Lists!C$22)*($AJ29&lt;=Lists!C$21),MAX(0,MIN(Lists!C$21,$AK29)-MAX(Lists!C$22,$AJ29))/($AK29-$AJ29))+N($G29)*IF($AM29-$AL29&lt;1,($AL29&gt;Lists!C$22)*($AL29&lt;=Lists!C$21),MAX(0,MIN(Lists!C$21,$AM29)-MAX(Lists!C$22,$AL29))/($AM29-$AL29))))))))</f>
        <v>0</v>
      </c>
      <c r="N29" s="53" t="n">
        <f aca="false">IF($H29=0,0,IF($AP29="X",0,IF($AP29="S",$H29/$AO29*(MIN($AO29,MAX(0,INT((Lists!D$21-N($J29))/7)+1))-MIN($AO29,MAX(0,INT((Lists!D$22-N($J29))/7)+1))),IF($AP29="D",$H29*MAX(0,MIN(Lists!D$21,N($J29)+$AO29)-MAX(Lists!D$22,N($J29)))/$AO29,IF($AP29="M",$H29/$AO29*(IF(Lists!D$21&lt;$J29,0,MIN($AO29,(((YEAR(Lists!D$21)-YEAR($J29))*12+MONTH(Lists!D$21)-MONTH($J29))-(EDATE($J29,((YEAR(Lists!D$21)-YEAR($J29))*12+MONTH(Lists!D$21)-MONTH($J29)))&gt;Lists!D$21)+1)))-IF(Lists!D$22&lt;$J29,0,MIN($AO29,(((YEAR(Lists!D$22)-YEAR($J29))*12+MONTH(Lists!D$22)-MONTH($J29))-(EDATE($J29,((YEAR(Lists!D$22)-YEAR($J29))*12+MONTH(Lists!D$22)-MONTH($J29)))&gt;Lists!D$22)+1)))),IF($AP29="F",IF(N($K29)&lt;=0,0,MIN(MAX(0,$H29),N($K29)*IF(Lists!D$21&lt;$J29,0,(((YEAR(Lists!D$21)-YEAR($J29))*12+MONTH(Lists!D$21)-MONTH($J29))-(EDATE($J29,((YEAR(Lists!D$21)-YEAR($J29))*12+MONTH(Lists!D$21)-MONTH($J29)))&gt;Lists!D$21)+1)))-MIN(MAX(0,$H29),N($K29)*IF(Lists!D$22&lt;$J29,0,(((YEAR(Lists!D$22)-YEAR($J29))*12+MONTH(Lists!D$22)-MONTH($J29))-(EDATE($J29,((YEAR(Lists!D$22)-YEAR($J29))*12+MONTH(Lists!D$22)-MONTH($J29)))&gt;Lists!D$22)+1)))),N($C29)*IF($AE29-$AD29&lt;1,($AD29&gt;Lists!D$22)*($AD29&lt;=Lists!D$21),MAX(0,MIN(Lists!D$21,$AE29)-MAX(Lists!D$22,$AD29))/($AE29-$AD29))+N($D29)*IF($AG29-$AF29&lt;1,($AF29&gt;Lists!D$22)*($AF29&lt;=Lists!D$21),MAX(0,MIN(Lists!D$21,$AG29)-MAX(Lists!D$22,$AF29))/($AG29-$AF29))+N($E29)*IF($AI29-$AH29&lt;1,($AH29&gt;Lists!D$22)*($AH29&lt;=Lists!D$21),MAX(0,MIN(Lists!D$21,$AI29)-MAX(Lists!D$22,$AH29))/($AI29-$AH29))+N($F29)*IF($AK29-$AJ29&lt;1,($AJ29&gt;Lists!D$22)*($AJ29&lt;=Lists!D$21),MAX(0,MIN(Lists!D$21,$AK29)-MAX(Lists!D$22,$AJ29))/($AK29-$AJ29))+N($G29)*IF($AM29-$AL29&lt;1,($AL29&gt;Lists!D$22)*($AL29&lt;=Lists!D$21),MAX(0,MIN(Lists!D$21,$AM29)-MAX(Lists!D$22,$AL29))/($AM29-$AL29))))))))</f>
        <v>0</v>
      </c>
      <c r="O29" s="53" t="n">
        <f aca="false">IF($H29=0,0,IF($AP29="X",0,IF($AP29="S",$H29/$AO29*(MIN($AO29,MAX(0,INT((Lists!E$21-N($J29))/7)+1))-MIN($AO29,MAX(0,INT((Lists!E$22-N($J29))/7)+1))),IF($AP29="D",$H29*MAX(0,MIN(Lists!E$21,N($J29)+$AO29)-MAX(Lists!E$22,N($J29)))/$AO29,IF($AP29="M",$H29/$AO29*(IF(Lists!E$21&lt;$J29,0,MIN($AO29,(((YEAR(Lists!E$21)-YEAR($J29))*12+MONTH(Lists!E$21)-MONTH($J29))-(EDATE($J29,((YEAR(Lists!E$21)-YEAR($J29))*12+MONTH(Lists!E$21)-MONTH($J29)))&gt;Lists!E$21)+1)))-IF(Lists!E$22&lt;$J29,0,MIN($AO29,(((YEAR(Lists!E$22)-YEAR($J29))*12+MONTH(Lists!E$22)-MONTH($J29))-(EDATE($J29,((YEAR(Lists!E$22)-YEAR($J29))*12+MONTH(Lists!E$22)-MONTH($J29)))&gt;Lists!E$22)+1)))),IF($AP29="F",IF(N($K29)&lt;=0,0,MIN(MAX(0,$H29),N($K29)*IF(Lists!E$21&lt;$J29,0,(((YEAR(Lists!E$21)-YEAR($J29))*12+MONTH(Lists!E$21)-MONTH($J29))-(EDATE($J29,((YEAR(Lists!E$21)-YEAR($J29))*12+MONTH(Lists!E$21)-MONTH($J29)))&gt;Lists!E$21)+1)))-MIN(MAX(0,$H29),N($K29)*IF(Lists!E$22&lt;$J29,0,(((YEAR(Lists!E$22)-YEAR($J29))*12+MONTH(Lists!E$22)-MONTH($J29))-(EDATE($J29,((YEAR(Lists!E$22)-YEAR($J29))*12+MONTH(Lists!E$22)-MONTH($J29)))&gt;Lists!E$22)+1)))),N($C29)*IF($AE29-$AD29&lt;1,($AD29&gt;Lists!E$22)*($AD29&lt;=Lists!E$21),MAX(0,MIN(Lists!E$21,$AE29)-MAX(Lists!E$22,$AD29))/($AE29-$AD29))+N($D29)*IF($AG29-$AF29&lt;1,($AF29&gt;Lists!E$22)*($AF29&lt;=Lists!E$21),MAX(0,MIN(Lists!E$21,$AG29)-MAX(Lists!E$22,$AF29))/($AG29-$AF29))+N($E29)*IF($AI29-$AH29&lt;1,($AH29&gt;Lists!E$22)*($AH29&lt;=Lists!E$21),MAX(0,MIN(Lists!E$21,$AI29)-MAX(Lists!E$22,$AH29))/($AI29-$AH29))+N($F29)*IF($AK29-$AJ29&lt;1,($AJ29&gt;Lists!E$22)*($AJ29&lt;=Lists!E$21),MAX(0,MIN(Lists!E$21,$AK29)-MAX(Lists!E$22,$AJ29))/($AK29-$AJ29))+N($G29)*IF($AM29-$AL29&lt;1,($AL29&gt;Lists!E$22)*($AL29&lt;=Lists!E$21),MAX(0,MIN(Lists!E$21,$AM29)-MAX(Lists!E$22,$AL29))/($AM29-$AL29))))))))</f>
        <v>0</v>
      </c>
      <c r="P29" s="53" t="n">
        <f aca="false">IF($H29=0,0,IF($AP29="X",0,IF($AP29="S",$H29/$AO29*(MIN($AO29,MAX(0,INT((Lists!F$21-N($J29))/7)+1))-MIN($AO29,MAX(0,INT((Lists!F$22-N($J29))/7)+1))),IF($AP29="D",$H29*MAX(0,MIN(Lists!F$21,N($J29)+$AO29)-MAX(Lists!F$22,N($J29)))/$AO29,IF($AP29="M",$H29/$AO29*(IF(Lists!F$21&lt;$J29,0,MIN($AO29,(((YEAR(Lists!F$21)-YEAR($J29))*12+MONTH(Lists!F$21)-MONTH($J29))-(EDATE($J29,((YEAR(Lists!F$21)-YEAR($J29))*12+MONTH(Lists!F$21)-MONTH($J29)))&gt;Lists!F$21)+1)))-IF(Lists!F$22&lt;$J29,0,MIN($AO29,(((YEAR(Lists!F$22)-YEAR($J29))*12+MONTH(Lists!F$22)-MONTH($J29))-(EDATE($J29,((YEAR(Lists!F$22)-YEAR($J29))*12+MONTH(Lists!F$22)-MONTH($J29)))&gt;Lists!F$22)+1)))),IF($AP29="F",IF(N($K29)&lt;=0,0,MIN(MAX(0,$H29),N($K29)*IF(Lists!F$21&lt;$J29,0,(((YEAR(Lists!F$21)-YEAR($J29))*12+MONTH(Lists!F$21)-MONTH($J29))-(EDATE($J29,((YEAR(Lists!F$21)-YEAR($J29))*12+MONTH(Lists!F$21)-MONTH($J29)))&gt;Lists!F$21)+1)))-MIN(MAX(0,$H29),N($K29)*IF(Lists!F$22&lt;$J29,0,(((YEAR(Lists!F$22)-YEAR($J29))*12+MONTH(Lists!F$22)-MONTH($J29))-(EDATE($J29,((YEAR(Lists!F$22)-YEAR($J29))*12+MONTH(Lists!F$22)-MONTH($J29)))&gt;Lists!F$22)+1)))),N($C29)*IF($AE29-$AD29&lt;1,($AD29&gt;Lists!F$22)*($AD29&lt;=Lists!F$21),MAX(0,MIN(Lists!F$21,$AE29)-MAX(Lists!F$22,$AD29))/($AE29-$AD29))+N($D29)*IF($AG29-$AF29&lt;1,($AF29&gt;Lists!F$22)*($AF29&lt;=Lists!F$21),MAX(0,MIN(Lists!F$21,$AG29)-MAX(Lists!F$22,$AF29))/($AG29-$AF29))+N($E29)*IF($AI29-$AH29&lt;1,($AH29&gt;Lists!F$22)*($AH29&lt;=Lists!F$21),MAX(0,MIN(Lists!F$21,$AI29)-MAX(Lists!F$22,$AH29))/($AI29-$AH29))+N($F29)*IF($AK29-$AJ29&lt;1,($AJ29&gt;Lists!F$22)*($AJ29&lt;=Lists!F$21),MAX(0,MIN(Lists!F$21,$AK29)-MAX(Lists!F$22,$AJ29))/($AK29-$AJ29))+N($G29)*IF($AM29-$AL29&lt;1,($AL29&gt;Lists!F$22)*($AL29&lt;=Lists!F$21),MAX(0,MIN(Lists!F$21,$AM29)-MAX(Lists!F$22,$AL29))/($AM29-$AL29))))))))</f>
        <v>0</v>
      </c>
      <c r="Q29" s="53" t="n">
        <f aca="false">IF($H29=0,0,IF($AP29="X",0,IF($AP29="S",$H29/$AO29*(MIN($AO29,MAX(0,INT((Lists!G$21-N($J29))/7)+1))-MIN($AO29,MAX(0,INT((Lists!G$22-N($J29))/7)+1))),IF($AP29="D",$H29*MAX(0,MIN(Lists!G$21,N($J29)+$AO29)-MAX(Lists!G$22,N($J29)))/$AO29,IF($AP29="M",$H29/$AO29*(IF(Lists!G$21&lt;$J29,0,MIN($AO29,(((YEAR(Lists!G$21)-YEAR($J29))*12+MONTH(Lists!G$21)-MONTH($J29))-(EDATE($J29,((YEAR(Lists!G$21)-YEAR($J29))*12+MONTH(Lists!G$21)-MONTH($J29)))&gt;Lists!G$21)+1)))-IF(Lists!G$22&lt;$J29,0,MIN($AO29,(((YEAR(Lists!G$22)-YEAR($J29))*12+MONTH(Lists!G$22)-MONTH($J29))-(EDATE($J29,((YEAR(Lists!G$22)-YEAR($J29))*12+MONTH(Lists!G$22)-MONTH($J29)))&gt;Lists!G$22)+1)))),IF($AP29="F",IF(N($K29)&lt;=0,0,MIN(MAX(0,$H29),N($K29)*IF(Lists!G$21&lt;$J29,0,(((YEAR(Lists!G$21)-YEAR($J29))*12+MONTH(Lists!G$21)-MONTH($J29))-(EDATE($J29,((YEAR(Lists!G$21)-YEAR($J29))*12+MONTH(Lists!G$21)-MONTH($J29)))&gt;Lists!G$21)+1)))-MIN(MAX(0,$H29),N($K29)*IF(Lists!G$22&lt;$J29,0,(((YEAR(Lists!G$22)-YEAR($J29))*12+MONTH(Lists!G$22)-MONTH($J29))-(EDATE($J29,((YEAR(Lists!G$22)-YEAR($J29))*12+MONTH(Lists!G$22)-MONTH($J29)))&gt;Lists!G$22)+1)))),N($C29)*IF($AE29-$AD29&lt;1,($AD29&gt;Lists!G$22)*($AD29&lt;=Lists!G$21),MAX(0,MIN(Lists!G$21,$AE29)-MAX(Lists!G$22,$AD29))/($AE29-$AD29))+N($D29)*IF($AG29-$AF29&lt;1,($AF29&gt;Lists!G$22)*($AF29&lt;=Lists!G$21),MAX(0,MIN(Lists!G$21,$AG29)-MAX(Lists!G$22,$AF29))/($AG29-$AF29))+N($E29)*IF($AI29-$AH29&lt;1,($AH29&gt;Lists!G$22)*($AH29&lt;=Lists!G$21),MAX(0,MIN(Lists!G$21,$AI29)-MAX(Lists!G$22,$AH29))/($AI29-$AH29))+N($F29)*IF($AK29-$AJ29&lt;1,($AJ29&gt;Lists!G$22)*($AJ29&lt;=Lists!G$21),MAX(0,MIN(Lists!G$21,$AK29)-MAX(Lists!G$22,$AJ29))/($AK29-$AJ29))+N($G29)*IF($AM29-$AL29&lt;1,($AL29&gt;Lists!G$22)*($AL29&lt;=Lists!G$21),MAX(0,MIN(Lists!G$21,$AM29)-MAX(Lists!G$22,$AL29))/($AM29-$AL29))))))))</f>
        <v>0</v>
      </c>
      <c r="R29" s="53" t="n">
        <f aca="false">IF($H29=0,0,IF($AP29="X",0,IF($AP29="S",$H29/$AO29*(MIN($AO29,MAX(0,INT((Lists!H$21-N($J29))/7)+1))-MIN($AO29,MAX(0,INT((Lists!H$22-N($J29))/7)+1))),IF($AP29="D",$H29*MAX(0,MIN(Lists!H$21,N($J29)+$AO29)-MAX(Lists!H$22,N($J29)))/$AO29,IF($AP29="M",$H29/$AO29*(IF(Lists!H$21&lt;$J29,0,MIN($AO29,(((YEAR(Lists!H$21)-YEAR($J29))*12+MONTH(Lists!H$21)-MONTH($J29))-(EDATE($J29,((YEAR(Lists!H$21)-YEAR($J29))*12+MONTH(Lists!H$21)-MONTH($J29)))&gt;Lists!H$21)+1)))-IF(Lists!H$22&lt;$J29,0,MIN($AO29,(((YEAR(Lists!H$22)-YEAR($J29))*12+MONTH(Lists!H$22)-MONTH($J29))-(EDATE($J29,((YEAR(Lists!H$22)-YEAR($J29))*12+MONTH(Lists!H$22)-MONTH($J29)))&gt;Lists!H$22)+1)))),IF($AP29="F",IF(N($K29)&lt;=0,0,MIN(MAX(0,$H29),N($K29)*IF(Lists!H$21&lt;$J29,0,(((YEAR(Lists!H$21)-YEAR($J29))*12+MONTH(Lists!H$21)-MONTH($J29))-(EDATE($J29,((YEAR(Lists!H$21)-YEAR($J29))*12+MONTH(Lists!H$21)-MONTH($J29)))&gt;Lists!H$21)+1)))-MIN(MAX(0,$H29),N($K29)*IF(Lists!H$22&lt;$J29,0,(((YEAR(Lists!H$22)-YEAR($J29))*12+MONTH(Lists!H$22)-MONTH($J29))-(EDATE($J29,((YEAR(Lists!H$22)-YEAR($J29))*12+MONTH(Lists!H$22)-MONTH($J29)))&gt;Lists!H$22)+1)))),N($C29)*IF($AE29-$AD29&lt;1,($AD29&gt;Lists!H$22)*($AD29&lt;=Lists!H$21),MAX(0,MIN(Lists!H$21,$AE29)-MAX(Lists!H$22,$AD29))/($AE29-$AD29))+N($D29)*IF($AG29-$AF29&lt;1,($AF29&gt;Lists!H$22)*($AF29&lt;=Lists!H$21),MAX(0,MIN(Lists!H$21,$AG29)-MAX(Lists!H$22,$AF29))/($AG29-$AF29))+N($E29)*IF($AI29-$AH29&lt;1,($AH29&gt;Lists!H$22)*($AH29&lt;=Lists!H$21),MAX(0,MIN(Lists!H$21,$AI29)-MAX(Lists!H$22,$AH29))/($AI29-$AH29))+N($F29)*IF($AK29-$AJ29&lt;1,($AJ29&gt;Lists!H$22)*($AJ29&lt;=Lists!H$21),MAX(0,MIN(Lists!H$21,$AK29)-MAX(Lists!H$22,$AJ29))/($AK29-$AJ29))+N($G29)*IF($AM29-$AL29&lt;1,($AL29&gt;Lists!H$22)*($AL29&lt;=Lists!H$21),MAX(0,MIN(Lists!H$21,$AM29)-MAX(Lists!H$22,$AL29))/($AM29-$AL29))))))))</f>
        <v>0</v>
      </c>
      <c r="S29" s="53" t="n">
        <f aca="false">IF($H29=0,0,IF($AP29="X",0,IF($AP29="S",$H29/$AO29*(MIN($AO29,MAX(0,INT((Lists!I$21-N($J29))/7)+1))-MIN($AO29,MAX(0,INT((Lists!I$22-N($J29))/7)+1))),IF($AP29="D",$H29*MAX(0,MIN(Lists!I$21,N($J29)+$AO29)-MAX(Lists!I$22,N($J29)))/$AO29,IF($AP29="M",$H29/$AO29*(IF(Lists!I$21&lt;$J29,0,MIN($AO29,(((YEAR(Lists!I$21)-YEAR($J29))*12+MONTH(Lists!I$21)-MONTH($J29))-(EDATE($J29,((YEAR(Lists!I$21)-YEAR($J29))*12+MONTH(Lists!I$21)-MONTH($J29)))&gt;Lists!I$21)+1)))-IF(Lists!I$22&lt;$J29,0,MIN($AO29,(((YEAR(Lists!I$22)-YEAR($J29))*12+MONTH(Lists!I$22)-MONTH($J29))-(EDATE($J29,((YEAR(Lists!I$22)-YEAR($J29))*12+MONTH(Lists!I$22)-MONTH($J29)))&gt;Lists!I$22)+1)))),IF($AP29="F",IF(N($K29)&lt;=0,0,MIN(MAX(0,$H29),N($K29)*IF(Lists!I$21&lt;$J29,0,(((YEAR(Lists!I$21)-YEAR($J29))*12+MONTH(Lists!I$21)-MONTH($J29))-(EDATE($J29,((YEAR(Lists!I$21)-YEAR($J29))*12+MONTH(Lists!I$21)-MONTH($J29)))&gt;Lists!I$21)+1)))-MIN(MAX(0,$H29),N($K29)*IF(Lists!I$22&lt;$J29,0,(((YEAR(Lists!I$22)-YEAR($J29))*12+MONTH(Lists!I$22)-MONTH($J29))-(EDATE($J29,((YEAR(Lists!I$22)-YEAR($J29))*12+MONTH(Lists!I$22)-MONTH($J29)))&gt;Lists!I$22)+1)))),N($C29)*IF($AE29-$AD29&lt;1,($AD29&gt;Lists!I$22)*($AD29&lt;=Lists!I$21),MAX(0,MIN(Lists!I$21,$AE29)-MAX(Lists!I$22,$AD29))/($AE29-$AD29))+N($D29)*IF($AG29-$AF29&lt;1,($AF29&gt;Lists!I$22)*($AF29&lt;=Lists!I$21),MAX(0,MIN(Lists!I$21,$AG29)-MAX(Lists!I$22,$AF29))/($AG29-$AF29))+N($E29)*IF($AI29-$AH29&lt;1,($AH29&gt;Lists!I$22)*($AH29&lt;=Lists!I$21),MAX(0,MIN(Lists!I$21,$AI29)-MAX(Lists!I$22,$AH29))/($AI29-$AH29))+N($F29)*IF($AK29-$AJ29&lt;1,($AJ29&gt;Lists!I$22)*($AJ29&lt;=Lists!I$21),MAX(0,MIN(Lists!I$21,$AK29)-MAX(Lists!I$22,$AJ29))/($AK29-$AJ29))+N($G29)*IF($AM29-$AL29&lt;1,($AL29&gt;Lists!I$22)*($AL29&lt;=Lists!I$21),MAX(0,MIN(Lists!I$21,$AM29)-MAX(Lists!I$22,$AL29))/($AM29-$AL29))))))))</f>
        <v>0</v>
      </c>
      <c r="T29" s="53" t="n">
        <f aca="false">IF($H29=0,0,IF($AP29="X",0,IF($AP29="S",$H29/$AO29*(MIN($AO29,MAX(0,INT((Lists!J$21-N($J29))/7)+1))-MIN($AO29,MAX(0,INT((Lists!J$22-N($J29))/7)+1))),IF($AP29="D",$H29*MAX(0,MIN(Lists!J$21,N($J29)+$AO29)-MAX(Lists!J$22,N($J29)))/$AO29,IF($AP29="M",$H29/$AO29*(IF(Lists!J$21&lt;$J29,0,MIN($AO29,(((YEAR(Lists!J$21)-YEAR($J29))*12+MONTH(Lists!J$21)-MONTH($J29))-(EDATE($J29,((YEAR(Lists!J$21)-YEAR($J29))*12+MONTH(Lists!J$21)-MONTH($J29)))&gt;Lists!J$21)+1)))-IF(Lists!J$22&lt;$J29,0,MIN($AO29,(((YEAR(Lists!J$22)-YEAR($J29))*12+MONTH(Lists!J$22)-MONTH($J29))-(EDATE($J29,((YEAR(Lists!J$22)-YEAR($J29))*12+MONTH(Lists!J$22)-MONTH($J29)))&gt;Lists!J$22)+1)))),IF($AP29="F",IF(N($K29)&lt;=0,0,MIN(MAX(0,$H29),N($K29)*IF(Lists!J$21&lt;$J29,0,(((YEAR(Lists!J$21)-YEAR($J29))*12+MONTH(Lists!J$21)-MONTH($J29))-(EDATE($J29,((YEAR(Lists!J$21)-YEAR($J29))*12+MONTH(Lists!J$21)-MONTH($J29)))&gt;Lists!J$21)+1)))-MIN(MAX(0,$H29),N($K29)*IF(Lists!J$22&lt;$J29,0,(((YEAR(Lists!J$22)-YEAR($J29))*12+MONTH(Lists!J$22)-MONTH($J29))-(EDATE($J29,((YEAR(Lists!J$22)-YEAR($J29))*12+MONTH(Lists!J$22)-MONTH($J29)))&gt;Lists!J$22)+1)))),N($C29)*IF($AE29-$AD29&lt;1,($AD29&gt;Lists!J$22)*($AD29&lt;=Lists!J$21),MAX(0,MIN(Lists!J$21,$AE29)-MAX(Lists!J$22,$AD29))/($AE29-$AD29))+N($D29)*IF($AG29-$AF29&lt;1,($AF29&gt;Lists!J$22)*($AF29&lt;=Lists!J$21),MAX(0,MIN(Lists!J$21,$AG29)-MAX(Lists!J$22,$AF29))/($AG29-$AF29))+N($E29)*IF($AI29-$AH29&lt;1,($AH29&gt;Lists!J$22)*($AH29&lt;=Lists!J$21),MAX(0,MIN(Lists!J$21,$AI29)-MAX(Lists!J$22,$AH29))/($AI29-$AH29))+N($F29)*IF($AK29-$AJ29&lt;1,($AJ29&gt;Lists!J$22)*($AJ29&lt;=Lists!J$21),MAX(0,MIN(Lists!J$21,$AK29)-MAX(Lists!J$22,$AJ29))/($AK29-$AJ29))+N($G29)*IF($AM29-$AL29&lt;1,($AL29&gt;Lists!J$22)*($AL29&lt;=Lists!J$21),MAX(0,MIN(Lists!J$21,$AM29)-MAX(Lists!J$22,$AL29))/($AM29-$AL29))))))))</f>
        <v>0</v>
      </c>
      <c r="U29" s="53" t="n">
        <f aca="false">IF($H29=0,0,IF($AP29="X",0,IF($AP29="S",$H29/$AO29*(MIN($AO29,MAX(0,INT((Lists!K$21-N($J29))/7)+1))-MIN($AO29,MAX(0,INT((Lists!K$22-N($J29))/7)+1))),IF($AP29="D",$H29*MAX(0,MIN(Lists!K$21,N($J29)+$AO29)-MAX(Lists!K$22,N($J29)))/$AO29,IF($AP29="M",$H29/$AO29*(IF(Lists!K$21&lt;$J29,0,MIN($AO29,(((YEAR(Lists!K$21)-YEAR($J29))*12+MONTH(Lists!K$21)-MONTH($J29))-(EDATE($J29,((YEAR(Lists!K$21)-YEAR($J29))*12+MONTH(Lists!K$21)-MONTH($J29)))&gt;Lists!K$21)+1)))-IF(Lists!K$22&lt;$J29,0,MIN($AO29,(((YEAR(Lists!K$22)-YEAR($J29))*12+MONTH(Lists!K$22)-MONTH($J29))-(EDATE($J29,((YEAR(Lists!K$22)-YEAR($J29))*12+MONTH(Lists!K$22)-MONTH($J29)))&gt;Lists!K$22)+1)))),IF($AP29="F",IF(N($K29)&lt;=0,0,MIN(MAX(0,$H29),N($K29)*IF(Lists!K$21&lt;$J29,0,(((YEAR(Lists!K$21)-YEAR($J29))*12+MONTH(Lists!K$21)-MONTH($J29))-(EDATE($J29,((YEAR(Lists!K$21)-YEAR($J29))*12+MONTH(Lists!K$21)-MONTH($J29)))&gt;Lists!K$21)+1)))-MIN(MAX(0,$H29),N($K29)*IF(Lists!K$22&lt;$J29,0,(((YEAR(Lists!K$22)-YEAR($J29))*12+MONTH(Lists!K$22)-MONTH($J29))-(EDATE($J29,((YEAR(Lists!K$22)-YEAR($J29))*12+MONTH(Lists!K$22)-MONTH($J29)))&gt;Lists!K$22)+1)))),N($C29)*IF($AE29-$AD29&lt;1,($AD29&gt;Lists!K$22)*($AD29&lt;=Lists!K$21),MAX(0,MIN(Lists!K$21,$AE29)-MAX(Lists!K$22,$AD29))/($AE29-$AD29))+N($D29)*IF($AG29-$AF29&lt;1,($AF29&gt;Lists!K$22)*($AF29&lt;=Lists!K$21),MAX(0,MIN(Lists!K$21,$AG29)-MAX(Lists!K$22,$AF29))/($AG29-$AF29))+N($E29)*IF($AI29-$AH29&lt;1,($AH29&gt;Lists!K$22)*($AH29&lt;=Lists!K$21),MAX(0,MIN(Lists!K$21,$AI29)-MAX(Lists!K$22,$AH29))/($AI29-$AH29))+N($F29)*IF($AK29-$AJ29&lt;1,($AJ29&gt;Lists!K$22)*($AJ29&lt;=Lists!K$21),MAX(0,MIN(Lists!K$21,$AK29)-MAX(Lists!K$22,$AJ29))/($AK29-$AJ29))+N($G29)*IF($AM29-$AL29&lt;1,($AL29&gt;Lists!K$22)*($AL29&lt;=Lists!K$21),MAX(0,MIN(Lists!K$21,$AM29)-MAX(Lists!K$22,$AL29))/($AM29-$AL29))))))))</f>
        <v>0</v>
      </c>
      <c r="V29" s="53" t="n">
        <f aca="false">IF($H29=0,0,IF($AP29="X",0,IF($AP29="S",$H29/$AO29*(MIN($AO29,MAX(0,INT((Lists!L$21-N($J29))/7)+1))-MIN($AO29,MAX(0,INT((Lists!L$22-N($J29))/7)+1))),IF($AP29="D",$H29*MAX(0,MIN(Lists!L$21,N($J29)+$AO29)-MAX(Lists!L$22,N($J29)))/$AO29,IF($AP29="M",$H29/$AO29*(IF(Lists!L$21&lt;$J29,0,MIN($AO29,(((YEAR(Lists!L$21)-YEAR($J29))*12+MONTH(Lists!L$21)-MONTH($J29))-(EDATE($J29,((YEAR(Lists!L$21)-YEAR($J29))*12+MONTH(Lists!L$21)-MONTH($J29)))&gt;Lists!L$21)+1)))-IF(Lists!L$22&lt;$J29,0,MIN($AO29,(((YEAR(Lists!L$22)-YEAR($J29))*12+MONTH(Lists!L$22)-MONTH($J29))-(EDATE($J29,((YEAR(Lists!L$22)-YEAR($J29))*12+MONTH(Lists!L$22)-MONTH($J29)))&gt;Lists!L$22)+1)))),IF($AP29="F",IF(N($K29)&lt;=0,0,MIN(MAX(0,$H29),N($K29)*IF(Lists!L$21&lt;$J29,0,(((YEAR(Lists!L$21)-YEAR($J29))*12+MONTH(Lists!L$21)-MONTH($J29))-(EDATE($J29,((YEAR(Lists!L$21)-YEAR($J29))*12+MONTH(Lists!L$21)-MONTH($J29)))&gt;Lists!L$21)+1)))-MIN(MAX(0,$H29),N($K29)*IF(Lists!L$22&lt;$J29,0,(((YEAR(Lists!L$22)-YEAR($J29))*12+MONTH(Lists!L$22)-MONTH($J29))-(EDATE($J29,((YEAR(Lists!L$22)-YEAR($J29))*12+MONTH(Lists!L$22)-MONTH($J29)))&gt;Lists!L$22)+1)))),N($C29)*IF($AE29-$AD29&lt;1,($AD29&gt;Lists!L$22)*($AD29&lt;=Lists!L$21),MAX(0,MIN(Lists!L$21,$AE29)-MAX(Lists!L$22,$AD29))/($AE29-$AD29))+N($D29)*IF($AG29-$AF29&lt;1,($AF29&gt;Lists!L$22)*($AF29&lt;=Lists!L$21),MAX(0,MIN(Lists!L$21,$AG29)-MAX(Lists!L$22,$AF29))/($AG29-$AF29))+N($E29)*IF($AI29-$AH29&lt;1,($AH29&gt;Lists!L$22)*($AH29&lt;=Lists!L$21),MAX(0,MIN(Lists!L$21,$AI29)-MAX(Lists!L$22,$AH29))/($AI29-$AH29))+N($F29)*IF($AK29-$AJ29&lt;1,($AJ29&gt;Lists!L$22)*($AJ29&lt;=Lists!L$21),MAX(0,MIN(Lists!L$21,$AK29)-MAX(Lists!L$22,$AJ29))/($AK29-$AJ29))+N($G29)*IF($AM29-$AL29&lt;1,($AL29&gt;Lists!L$22)*($AL29&lt;=Lists!L$21),MAX(0,MIN(Lists!L$21,$AM29)-MAX(Lists!L$22,$AL29))/($AM29-$AL29))))))))</f>
        <v>0</v>
      </c>
      <c r="W29" s="53" t="n">
        <f aca="false">IF($H29=0,0,IF($AP29="X",0,IF($AP29="S",$H29/$AO29*(MIN($AO29,MAX(0,INT((Lists!M$21-N($J29))/7)+1))-MIN($AO29,MAX(0,INT((Lists!M$22-N($J29))/7)+1))),IF($AP29="D",$H29*MAX(0,MIN(Lists!M$21,N($J29)+$AO29)-MAX(Lists!M$22,N($J29)))/$AO29,IF($AP29="M",$H29/$AO29*(IF(Lists!M$21&lt;$J29,0,MIN($AO29,(((YEAR(Lists!M$21)-YEAR($J29))*12+MONTH(Lists!M$21)-MONTH($J29))-(EDATE($J29,((YEAR(Lists!M$21)-YEAR($J29))*12+MONTH(Lists!M$21)-MONTH($J29)))&gt;Lists!M$21)+1)))-IF(Lists!M$22&lt;$J29,0,MIN($AO29,(((YEAR(Lists!M$22)-YEAR($J29))*12+MONTH(Lists!M$22)-MONTH($J29))-(EDATE($J29,((YEAR(Lists!M$22)-YEAR($J29))*12+MONTH(Lists!M$22)-MONTH($J29)))&gt;Lists!M$22)+1)))),IF($AP29="F",IF(N($K29)&lt;=0,0,MIN(MAX(0,$H29),N($K29)*IF(Lists!M$21&lt;$J29,0,(((YEAR(Lists!M$21)-YEAR($J29))*12+MONTH(Lists!M$21)-MONTH($J29))-(EDATE($J29,((YEAR(Lists!M$21)-YEAR($J29))*12+MONTH(Lists!M$21)-MONTH($J29)))&gt;Lists!M$21)+1)))-MIN(MAX(0,$H29),N($K29)*IF(Lists!M$22&lt;$J29,0,(((YEAR(Lists!M$22)-YEAR($J29))*12+MONTH(Lists!M$22)-MONTH($J29))-(EDATE($J29,((YEAR(Lists!M$22)-YEAR($J29))*12+MONTH(Lists!M$22)-MONTH($J29)))&gt;Lists!M$22)+1)))),N($C29)*IF($AE29-$AD29&lt;1,($AD29&gt;Lists!M$22)*($AD29&lt;=Lists!M$21),MAX(0,MIN(Lists!M$21,$AE29)-MAX(Lists!M$22,$AD29))/($AE29-$AD29))+N($D29)*IF($AG29-$AF29&lt;1,($AF29&gt;Lists!M$22)*($AF29&lt;=Lists!M$21),MAX(0,MIN(Lists!M$21,$AG29)-MAX(Lists!M$22,$AF29))/($AG29-$AF29))+N($E29)*IF($AI29-$AH29&lt;1,($AH29&gt;Lists!M$22)*($AH29&lt;=Lists!M$21),MAX(0,MIN(Lists!M$21,$AI29)-MAX(Lists!M$22,$AH29))/($AI29-$AH29))+N($F29)*IF($AK29-$AJ29&lt;1,($AJ29&gt;Lists!M$22)*($AJ29&lt;=Lists!M$21),MAX(0,MIN(Lists!M$21,$AK29)-MAX(Lists!M$22,$AJ29))/($AK29-$AJ29))+N($G29)*IF($AM29-$AL29&lt;1,($AL29&gt;Lists!M$22)*($AL29&lt;=Lists!M$21),MAX(0,MIN(Lists!M$21,$AM29)-MAX(Lists!M$22,$AL29))/($AM29-$AL29))))))))</f>
        <v>0</v>
      </c>
      <c r="X29" s="53" t="n">
        <f aca="false">IF($H29=0,0,IF($AP29="X",0,IF($AP29="S",$H29/$AO29*(MIN($AO29,MAX(0,INT((Lists!N$21-N($J29))/7)+1))-MIN($AO29,MAX(0,INT((Lists!N$22-N($J29))/7)+1))),IF($AP29="D",$H29*MAX(0,MIN(Lists!N$21,N($J29)+$AO29)-MAX(Lists!N$22,N($J29)))/$AO29,IF($AP29="M",$H29/$AO29*(IF(Lists!N$21&lt;$J29,0,MIN($AO29,(((YEAR(Lists!N$21)-YEAR($J29))*12+MONTH(Lists!N$21)-MONTH($J29))-(EDATE($J29,((YEAR(Lists!N$21)-YEAR($J29))*12+MONTH(Lists!N$21)-MONTH($J29)))&gt;Lists!N$21)+1)))-IF(Lists!N$22&lt;$J29,0,MIN($AO29,(((YEAR(Lists!N$22)-YEAR($J29))*12+MONTH(Lists!N$22)-MONTH($J29))-(EDATE($J29,((YEAR(Lists!N$22)-YEAR($J29))*12+MONTH(Lists!N$22)-MONTH($J29)))&gt;Lists!N$22)+1)))),IF($AP29="F",IF(N($K29)&lt;=0,0,MIN(MAX(0,$H29),N($K29)*IF(Lists!N$21&lt;$J29,0,(((YEAR(Lists!N$21)-YEAR($J29))*12+MONTH(Lists!N$21)-MONTH($J29))-(EDATE($J29,((YEAR(Lists!N$21)-YEAR($J29))*12+MONTH(Lists!N$21)-MONTH($J29)))&gt;Lists!N$21)+1)))-MIN(MAX(0,$H29),N($K29)*IF(Lists!N$22&lt;$J29,0,(((YEAR(Lists!N$22)-YEAR($J29))*12+MONTH(Lists!N$22)-MONTH($J29))-(EDATE($J29,((YEAR(Lists!N$22)-YEAR($J29))*12+MONTH(Lists!N$22)-MONTH($J29)))&gt;Lists!N$22)+1)))),N($C29)*IF($AE29-$AD29&lt;1,($AD29&gt;Lists!N$22)*($AD29&lt;=Lists!N$21),MAX(0,MIN(Lists!N$21,$AE29)-MAX(Lists!N$22,$AD29))/($AE29-$AD29))+N($D29)*IF($AG29-$AF29&lt;1,($AF29&gt;Lists!N$22)*($AF29&lt;=Lists!N$21),MAX(0,MIN(Lists!N$21,$AG29)-MAX(Lists!N$22,$AF29))/($AG29-$AF29))+N($E29)*IF($AI29-$AH29&lt;1,($AH29&gt;Lists!N$22)*($AH29&lt;=Lists!N$21),MAX(0,MIN(Lists!N$21,$AI29)-MAX(Lists!N$22,$AH29))/($AI29-$AH29))+N($F29)*IF($AK29-$AJ29&lt;1,($AJ29&gt;Lists!N$22)*($AJ29&lt;=Lists!N$21),MAX(0,MIN(Lists!N$21,$AK29)-MAX(Lists!N$22,$AJ29))/($AK29-$AJ29))+N($G29)*IF($AM29-$AL29&lt;1,($AL29&gt;Lists!N$22)*($AL29&lt;=Lists!N$21),MAX(0,MIN(Lists!N$21,$AM29)-MAX(Lists!N$22,$AL29))/($AM29-$AL29))))))))</f>
        <v>0</v>
      </c>
      <c r="Y29" s="53" t="n">
        <f aca="false">IF($H29=0,0,IF($AP29="X",0,IF($AP29="S",$H29/$AO29*(MIN($AO29,MAX(0,INT((Lists!O$21-N($J29))/7)+1))-MIN($AO29,MAX(0,INT((Lists!O$22-N($J29))/7)+1))),IF($AP29="D",$H29*MAX(0,MIN(Lists!O$21,N($J29)+$AO29)-MAX(Lists!O$22,N($J29)))/$AO29,IF($AP29="M",$H29/$AO29*(IF(Lists!O$21&lt;$J29,0,MIN($AO29,(((YEAR(Lists!O$21)-YEAR($J29))*12+MONTH(Lists!O$21)-MONTH($J29))-(EDATE($J29,((YEAR(Lists!O$21)-YEAR($J29))*12+MONTH(Lists!O$21)-MONTH($J29)))&gt;Lists!O$21)+1)))-IF(Lists!O$22&lt;$J29,0,MIN($AO29,(((YEAR(Lists!O$22)-YEAR($J29))*12+MONTH(Lists!O$22)-MONTH($J29))-(EDATE($J29,((YEAR(Lists!O$22)-YEAR($J29))*12+MONTH(Lists!O$22)-MONTH($J29)))&gt;Lists!O$22)+1)))),IF($AP29="F",IF(N($K29)&lt;=0,0,MIN(MAX(0,$H29),N($K29)*IF(Lists!O$21&lt;$J29,0,(((YEAR(Lists!O$21)-YEAR($J29))*12+MONTH(Lists!O$21)-MONTH($J29))-(EDATE($J29,((YEAR(Lists!O$21)-YEAR($J29))*12+MONTH(Lists!O$21)-MONTH($J29)))&gt;Lists!O$21)+1)))-MIN(MAX(0,$H29),N($K29)*IF(Lists!O$22&lt;$J29,0,(((YEAR(Lists!O$22)-YEAR($J29))*12+MONTH(Lists!O$22)-MONTH($J29))-(EDATE($J29,((YEAR(Lists!O$22)-YEAR($J29))*12+MONTH(Lists!O$22)-MONTH($J29)))&gt;Lists!O$22)+1)))),N($C29)*IF($AE29-$AD29&lt;1,($AD29&gt;Lists!O$22)*($AD29&lt;=Lists!O$21),MAX(0,MIN(Lists!O$21,$AE29)-MAX(Lists!O$22,$AD29))/($AE29-$AD29))+N($D29)*IF($AG29-$AF29&lt;1,($AF29&gt;Lists!O$22)*($AF29&lt;=Lists!O$21),MAX(0,MIN(Lists!O$21,$AG29)-MAX(Lists!O$22,$AF29))/($AG29-$AF29))+N($E29)*IF($AI29-$AH29&lt;1,($AH29&gt;Lists!O$22)*($AH29&lt;=Lists!O$21),MAX(0,MIN(Lists!O$21,$AI29)-MAX(Lists!O$22,$AH29))/($AI29-$AH29))+N($F29)*IF($AK29-$AJ29&lt;1,($AJ29&gt;Lists!O$22)*($AJ29&lt;=Lists!O$21),MAX(0,MIN(Lists!O$21,$AK29)-MAX(Lists!O$22,$AJ29))/($AK29-$AJ29))+N($G29)*IF($AM29-$AL29&lt;1,($AL29&gt;Lists!O$22)*($AL29&lt;=Lists!O$21),MAX(0,MIN(Lists!O$21,$AM29)-MAX(Lists!O$22,$AL29))/($AM29-$AL29))))))))</f>
        <v>0</v>
      </c>
      <c r="Z29" s="46" t="n">
        <f aca="false">SUM(M29:Y29)</f>
        <v>0</v>
      </c>
      <c r="AA29" s="92" t="n">
        <f aca="false">H29-Z29</f>
        <v>0</v>
      </c>
      <c r="AB29" s="55"/>
      <c r="AC29" s="2"/>
      <c r="AD29" s="93" t="n">
        <f aca="false">Setup!$D$10+MAX(0,$AN29-30)</f>
        <v>46365</v>
      </c>
      <c r="AE29" s="93" t="n">
        <f aca="false">Setup!$D$10+IF($AN29-30&lt;0,MAX(Setup!$D$22,$AN29-0),$AN29-0)</f>
        <v>46395</v>
      </c>
      <c r="AF29" s="93" t="n">
        <f aca="false">Setup!$D$10+MAX(0,$AN29-60)</f>
        <v>46335</v>
      </c>
      <c r="AG29" s="93" t="n">
        <f aca="false">Setup!$D$10+IF($AN29-60&lt;0,MAX(Setup!$D$22,$AN29-31),$AN29-31)</f>
        <v>46364</v>
      </c>
      <c r="AH29" s="93" t="n">
        <f aca="false">Setup!$D$10+MAX(0,$AN29-90)</f>
        <v>46335</v>
      </c>
      <c r="AI29" s="93" t="n">
        <f aca="false">Setup!$D$10+IF($AN29-90&lt;0,MAX(Setup!$D$22,$AN29-61),$AN29-61)</f>
        <v>46363</v>
      </c>
      <c r="AJ29" s="93" t="n">
        <f aca="false">Setup!$D$10+MAX(0,$AN29-120)</f>
        <v>46335</v>
      </c>
      <c r="AK29" s="93" t="n">
        <f aca="false">Setup!$D$10+IF($AN29-120&lt;0,MAX(Setup!$D$22,$AN29-91),$AN29-91)</f>
        <v>46363</v>
      </c>
      <c r="AL29" s="93" t="n">
        <f aca="false">IF(Setup!$D$23="Yes",2958465,Setup!$D$10)</f>
        <v>2958465</v>
      </c>
      <c r="AM29" s="93" t="n">
        <f aca="false">IF(AL29=2958465,AL29,Setup!$D$10+Setup!$D$22)</f>
        <v>2958465</v>
      </c>
      <c r="AN29" s="94" t="n">
        <f aca="false">IF(N(L29)=0,Setup!$D$20,L29)</f>
        <v>60</v>
      </c>
      <c r="AO29" s="94" t="n">
        <f aca="false">MAX(1,ROUND(N(K29),0))</f>
        <v>1</v>
      </c>
      <c r="AP29" s="95" t="str">
        <f aca="false">IF(I29="Doubtful","X",IF(N(J29)=0,"A",IF(I29="Specific date","S",IF(I29="Spread over days","D",IF(I29="Monthly on set day","M",IF(I29="Monthly fixed amount","F","A"))))))</f>
        <v>A</v>
      </c>
    </row>
    <row r="30" customFormat="false" ht="15" hidden="false" customHeight="false" outlineLevel="0" collapsed="false">
      <c r="A30" s="87" t="n">
        <v>22</v>
      </c>
      <c r="B30" s="55"/>
      <c r="C30" s="88"/>
      <c r="D30" s="88"/>
      <c r="E30" s="88"/>
      <c r="F30" s="88"/>
      <c r="G30" s="88"/>
      <c r="H30" s="89" t="n">
        <f aca="false">SUM(C30:G30)</f>
        <v>0</v>
      </c>
      <c r="I30" s="58"/>
      <c r="J30" s="90"/>
      <c r="K30" s="91"/>
      <c r="L30" s="80"/>
      <c r="M30" s="53" t="n">
        <f aca="false">IF($H30=0,0,IF($AP30="X",0,IF($AP30="S",$H30/$AO30*(MIN($AO30,MAX(0,INT((Lists!C$21-N($J30))/7)+1))-MIN($AO30,MAX(0,INT((Lists!C$22-N($J30))/7)+1))),IF($AP30="D",$H30*MAX(0,MIN(Lists!C$21,N($J30)+$AO30)-MAX(Lists!C$22,N($J30)))/$AO30,IF($AP30="M",$H30/$AO30*(IF(Lists!C$21&lt;$J30,0,MIN($AO30,(((YEAR(Lists!C$21)-YEAR($J30))*12+MONTH(Lists!C$21)-MONTH($J30))-(EDATE($J30,((YEAR(Lists!C$21)-YEAR($J30))*12+MONTH(Lists!C$21)-MONTH($J30)))&gt;Lists!C$21)+1)))-IF(Lists!C$22&lt;$J30,0,MIN($AO30,(((YEAR(Lists!C$22)-YEAR($J30))*12+MONTH(Lists!C$22)-MONTH($J30))-(EDATE($J30,((YEAR(Lists!C$22)-YEAR($J30))*12+MONTH(Lists!C$22)-MONTH($J30)))&gt;Lists!C$22)+1)))),IF($AP30="F",IF(N($K30)&lt;=0,0,MIN(MAX(0,$H30),N($K30)*IF(Lists!C$21&lt;$J30,0,(((YEAR(Lists!C$21)-YEAR($J30))*12+MONTH(Lists!C$21)-MONTH($J30))-(EDATE($J30,((YEAR(Lists!C$21)-YEAR($J30))*12+MONTH(Lists!C$21)-MONTH($J30)))&gt;Lists!C$21)+1)))-MIN(MAX(0,$H30),N($K30)*IF(Lists!C$22&lt;$J30,0,(((YEAR(Lists!C$22)-YEAR($J30))*12+MONTH(Lists!C$22)-MONTH($J30))-(EDATE($J30,((YEAR(Lists!C$22)-YEAR($J30))*12+MONTH(Lists!C$22)-MONTH($J30)))&gt;Lists!C$22)+1)))),N($C30)*IF($AE30-$AD30&lt;1,($AD30&gt;Lists!C$22)*($AD30&lt;=Lists!C$21),MAX(0,MIN(Lists!C$21,$AE30)-MAX(Lists!C$22,$AD30))/($AE30-$AD30))+N($D30)*IF($AG30-$AF30&lt;1,($AF30&gt;Lists!C$22)*($AF30&lt;=Lists!C$21),MAX(0,MIN(Lists!C$21,$AG30)-MAX(Lists!C$22,$AF30))/($AG30-$AF30))+N($E30)*IF($AI30-$AH30&lt;1,($AH30&gt;Lists!C$22)*($AH30&lt;=Lists!C$21),MAX(0,MIN(Lists!C$21,$AI30)-MAX(Lists!C$22,$AH30))/($AI30-$AH30))+N($F30)*IF($AK30-$AJ30&lt;1,($AJ30&gt;Lists!C$22)*($AJ30&lt;=Lists!C$21),MAX(0,MIN(Lists!C$21,$AK30)-MAX(Lists!C$22,$AJ30))/($AK30-$AJ30))+N($G30)*IF($AM30-$AL30&lt;1,($AL30&gt;Lists!C$22)*($AL30&lt;=Lists!C$21),MAX(0,MIN(Lists!C$21,$AM30)-MAX(Lists!C$22,$AL30))/($AM30-$AL30))))))))</f>
        <v>0</v>
      </c>
      <c r="N30" s="53" t="n">
        <f aca="false">IF($H30=0,0,IF($AP30="X",0,IF($AP30="S",$H30/$AO30*(MIN($AO30,MAX(0,INT((Lists!D$21-N($J30))/7)+1))-MIN($AO30,MAX(0,INT((Lists!D$22-N($J30))/7)+1))),IF($AP30="D",$H30*MAX(0,MIN(Lists!D$21,N($J30)+$AO30)-MAX(Lists!D$22,N($J30)))/$AO30,IF($AP30="M",$H30/$AO30*(IF(Lists!D$21&lt;$J30,0,MIN($AO30,(((YEAR(Lists!D$21)-YEAR($J30))*12+MONTH(Lists!D$21)-MONTH($J30))-(EDATE($J30,((YEAR(Lists!D$21)-YEAR($J30))*12+MONTH(Lists!D$21)-MONTH($J30)))&gt;Lists!D$21)+1)))-IF(Lists!D$22&lt;$J30,0,MIN($AO30,(((YEAR(Lists!D$22)-YEAR($J30))*12+MONTH(Lists!D$22)-MONTH($J30))-(EDATE($J30,((YEAR(Lists!D$22)-YEAR($J30))*12+MONTH(Lists!D$22)-MONTH($J30)))&gt;Lists!D$22)+1)))),IF($AP30="F",IF(N($K30)&lt;=0,0,MIN(MAX(0,$H30),N($K30)*IF(Lists!D$21&lt;$J30,0,(((YEAR(Lists!D$21)-YEAR($J30))*12+MONTH(Lists!D$21)-MONTH($J30))-(EDATE($J30,((YEAR(Lists!D$21)-YEAR($J30))*12+MONTH(Lists!D$21)-MONTH($J30)))&gt;Lists!D$21)+1)))-MIN(MAX(0,$H30),N($K30)*IF(Lists!D$22&lt;$J30,0,(((YEAR(Lists!D$22)-YEAR($J30))*12+MONTH(Lists!D$22)-MONTH($J30))-(EDATE($J30,((YEAR(Lists!D$22)-YEAR($J30))*12+MONTH(Lists!D$22)-MONTH($J30)))&gt;Lists!D$22)+1)))),N($C30)*IF($AE30-$AD30&lt;1,($AD30&gt;Lists!D$22)*($AD30&lt;=Lists!D$21),MAX(0,MIN(Lists!D$21,$AE30)-MAX(Lists!D$22,$AD30))/($AE30-$AD30))+N($D30)*IF($AG30-$AF30&lt;1,($AF30&gt;Lists!D$22)*($AF30&lt;=Lists!D$21),MAX(0,MIN(Lists!D$21,$AG30)-MAX(Lists!D$22,$AF30))/($AG30-$AF30))+N($E30)*IF($AI30-$AH30&lt;1,($AH30&gt;Lists!D$22)*($AH30&lt;=Lists!D$21),MAX(0,MIN(Lists!D$21,$AI30)-MAX(Lists!D$22,$AH30))/($AI30-$AH30))+N($F30)*IF($AK30-$AJ30&lt;1,($AJ30&gt;Lists!D$22)*($AJ30&lt;=Lists!D$21),MAX(0,MIN(Lists!D$21,$AK30)-MAX(Lists!D$22,$AJ30))/($AK30-$AJ30))+N($G30)*IF($AM30-$AL30&lt;1,($AL30&gt;Lists!D$22)*($AL30&lt;=Lists!D$21),MAX(0,MIN(Lists!D$21,$AM30)-MAX(Lists!D$22,$AL30))/($AM30-$AL30))))))))</f>
        <v>0</v>
      </c>
      <c r="O30" s="53" t="n">
        <f aca="false">IF($H30=0,0,IF($AP30="X",0,IF($AP30="S",$H30/$AO30*(MIN($AO30,MAX(0,INT((Lists!E$21-N($J30))/7)+1))-MIN($AO30,MAX(0,INT((Lists!E$22-N($J30))/7)+1))),IF($AP30="D",$H30*MAX(0,MIN(Lists!E$21,N($J30)+$AO30)-MAX(Lists!E$22,N($J30)))/$AO30,IF($AP30="M",$H30/$AO30*(IF(Lists!E$21&lt;$J30,0,MIN($AO30,(((YEAR(Lists!E$21)-YEAR($J30))*12+MONTH(Lists!E$21)-MONTH($J30))-(EDATE($J30,((YEAR(Lists!E$21)-YEAR($J30))*12+MONTH(Lists!E$21)-MONTH($J30)))&gt;Lists!E$21)+1)))-IF(Lists!E$22&lt;$J30,0,MIN($AO30,(((YEAR(Lists!E$22)-YEAR($J30))*12+MONTH(Lists!E$22)-MONTH($J30))-(EDATE($J30,((YEAR(Lists!E$22)-YEAR($J30))*12+MONTH(Lists!E$22)-MONTH($J30)))&gt;Lists!E$22)+1)))),IF($AP30="F",IF(N($K30)&lt;=0,0,MIN(MAX(0,$H30),N($K30)*IF(Lists!E$21&lt;$J30,0,(((YEAR(Lists!E$21)-YEAR($J30))*12+MONTH(Lists!E$21)-MONTH($J30))-(EDATE($J30,((YEAR(Lists!E$21)-YEAR($J30))*12+MONTH(Lists!E$21)-MONTH($J30)))&gt;Lists!E$21)+1)))-MIN(MAX(0,$H30),N($K30)*IF(Lists!E$22&lt;$J30,0,(((YEAR(Lists!E$22)-YEAR($J30))*12+MONTH(Lists!E$22)-MONTH($J30))-(EDATE($J30,((YEAR(Lists!E$22)-YEAR($J30))*12+MONTH(Lists!E$22)-MONTH($J30)))&gt;Lists!E$22)+1)))),N($C30)*IF($AE30-$AD30&lt;1,($AD30&gt;Lists!E$22)*($AD30&lt;=Lists!E$21),MAX(0,MIN(Lists!E$21,$AE30)-MAX(Lists!E$22,$AD30))/($AE30-$AD30))+N($D30)*IF($AG30-$AF30&lt;1,($AF30&gt;Lists!E$22)*($AF30&lt;=Lists!E$21),MAX(0,MIN(Lists!E$21,$AG30)-MAX(Lists!E$22,$AF30))/($AG30-$AF30))+N($E30)*IF($AI30-$AH30&lt;1,($AH30&gt;Lists!E$22)*($AH30&lt;=Lists!E$21),MAX(0,MIN(Lists!E$21,$AI30)-MAX(Lists!E$22,$AH30))/($AI30-$AH30))+N($F30)*IF($AK30-$AJ30&lt;1,($AJ30&gt;Lists!E$22)*($AJ30&lt;=Lists!E$21),MAX(0,MIN(Lists!E$21,$AK30)-MAX(Lists!E$22,$AJ30))/($AK30-$AJ30))+N($G30)*IF($AM30-$AL30&lt;1,($AL30&gt;Lists!E$22)*($AL30&lt;=Lists!E$21),MAX(0,MIN(Lists!E$21,$AM30)-MAX(Lists!E$22,$AL30))/($AM30-$AL30))))))))</f>
        <v>0</v>
      </c>
      <c r="P30" s="53" t="n">
        <f aca="false">IF($H30=0,0,IF($AP30="X",0,IF($AP30="S",$H30/$AO30*(MIN($AO30,MAX(0,INT((Lists!F$21-N($J30))/7)+1))-MIN($AO30,MAX(0,INT((Lists!F$22-N($J30))/7)+1))),IF($AP30="D",$H30*MAX(0,MIN(Lists!F$21,N($J30)+$AO30)-MAX(Lists!F$22,N($J30)))/$AO30,IF($AP30="M",$H30/$AO30*(IF(Lists!F$21&lt;$J30,0,MIN($AO30,(((YEAR(Lists!F$21)-YEAR($J30))*12+MONTH(Lists!F$21)-MONTH($J30))-(EDATE($J30,((YEAR(Lists!F$21)-YEAR($J30))*12+MONTH(Lists!F$21)-MONTH($J30)))&gt;Lists!F$21)+1)))-IF(Lists!F$22&lt;$J30,0,MIN($AO30,(((YEAR(Lists!F$22)-YEAR($J30))*12+MONTH(Lists!F$22)-MONTH($J30))-(EDATE($J30,((YEAR(Lists!F$22)-YEAR($J30))*12+MONTH(Lists!F$22)-MONTH($J30)))&gt;Lists!F$22)+1)))),IF($AP30="F",IF(N($K30)&lt;=0,0,MIN(MAX(0,$H30),N($K30)*IF(Lists!F$21&lt;$J30,0,(((YEAR(Lists!F$21)-YEAR($J30))*12+MONTH(Lists!F$21)-MONTH($J30))-(EDATE($J30,((YEAR(Lists!F$21)-YEAR($J30))*12+MONTH(Lists!F$21)-MONTH($J30)))&gt;Lists!F$21)+1)))-MIN(MAX(0,$H30),N($K30)*IF(Lists!F$22&lt;$J30,0,(((YEAR(Lists!F$22)-YEAR($J30))*12+MONTH(Lists!F$22)-MONTH($J30))-(EDATE($J30,((YEAR(Lists!F$22)-YEAR($J30))*12+MONTH(Lists!F$22)-MONTH($J30)))&gt;Lists!F$22)+1)))),N($C30)*IF($AE30-$AD30&lt;1,($AD30&gt;Lists!F$22)*($AD30&lt;=Lists!F$21),MAX(0,MIN(Lists!F$21,$AE30)-MAX(Lists!F$22,$AD30))/($AE30-$AD30))+N($D30)*IF($AG30-$AF30&lt;1,($AF30&gt;Lists!F$22)*($AF30&lt;=Lists!F$21),MAX(0,MIN(Lists!F$21,$AG30)-MAX(Lists!F$22,$AF30))/($AG30-$AF30))+N($E30)*IF($AI30-$AH30&lt;1,($AH30&gt;Lists!F$22)*($AH30&lt;=Lists!F$21),MAX(0,MIN(Lists!F$21,$AI30)-MAX(Lists!F$22,$AH30))/($AI30-$AH30))+N($F30)*IF($AK30-$AJ30&lt;1,($AJ30&gt;Lists!F$22)*($AJ30&lt;=Lists!F$21),MAX(0,MIN(Lists!F$21,$AK30)-MAX(Lists!F$22,$AJ30))/($AK30-$AJ30))+N($G30)*IF($AM30-$AL30&lt;1,($AL30&gt;Lists!F$22)*($AL30&lt;=Lists!F$21),MAX(0,MIN(Lists!F$21,$AM30)-MAX(Lists!F$22,$AL30))/($AM30-$AL30))))))))</f>
        <v>0</v>
      </c>
      <c r="Q30" s="53" t="n">
        <f aca="false">IF($H30=0,0,IF($AP30="X",0,IF($AP30="S",$H30/$AO30*(MIN($AO30,MAX(0,INT((Lists!G$21-N($J30))/7)+1))-MIN($AO30,MAX(0,INT((Lists!G$22-N($J30))/7)+1))),IF($AP30="D",$H30*MAX(0,MIN(Lists!G$21,N($J30)+$AO30)-MAX(Lists!G$22,N($J30)))/$AO30,IF($AP30="M",$H30/$AO30*(IF(Lists!G$21&lt;$J30,0,MIN($AO30,(((YEAR(Lists!G$21)-YEAR($J30))*12+MONTH(Lists!G$21)-MONTH($J30))-(EDATE($J30,((YEAR(Lists!G$21)-YEAR($J30))*12+MONTH(Lists!G$21)-MONTH($J30)))&gt;Lists!G$21)+1)))-IF(Lists!G$22&lt;$J30,0,MIN($AO30,(((YEAR(Lists!G$22)-YEAR($J30))*12+MONTH(Lists!G$22)-MONTH($J30))-(EDATE($J30,((YEAR(Lists!G$22)-YEAR($J30))*12+MONTH(Lists!G$22)-MONTH($J30)))&gt;Lists!G$22)+1)))),IF($AP30="F",IF(N($K30)&lt;=0,0,MIN(MAX(0,$H30),N($K30)*IF(Lists!G$21&lt;$J30,0,(((YEAR(Lists!G$21)-YEAR($J30))*12+MONTH(Lists!G$21)-MONTH($J30))-(EDATE($J30,((YEAR(Lists!G$21)-YEAR($J30))*12+MONTH(Lists!G$21)-MONTH($J30)))&gt;Lists!G$21)+1)))-MIN(MAX(0,$H30),N($K30)*IF(Lists!G$22&lt;$J30,0,(((YEAR(Lists!G$22)-YEAR($J30))*12+MONTH(Lists!G$22)-MONTH($J30))-(EDATE($J30,((YEAR(Lists!G$22)-YEAR($J30))*12+MONTH(Lists!G$22)-MONTH($J30)))&gt;Lists!G$22)+1)))),N($C30)*IF($AE30-$AD30&lt;1,($AD30&gt;Lists!G$22)*($AD30&lt;=Lists!G$21),MAX(0,MIN(Lists!G$21,$AE30)-MAX(Lists!G$22,$AD30))/($AE30-$AD30))+N($D30)*IF($AG30-$AF30&lt;1,($AF30&gt;Lists!G$22)*($AF30&lt;=Lists!G$21),MAX(0,MIN(Lists!G$21,$AG30)-MAX(Lists!G$22,$AF30))/($AG30-$AF30))+N($E30)*IF($AI30-$AH30&lt;1,($AH30&gt;Lists!G$22)*($AH30&lt;=Lists!G$21),MAX(0,MIN(Lists!G$21,$AI30)-MAX(Lists!G$22,$AH30))/($AI30-$AH30))+N($F30)*IF($AK30-$AJ30&lt;1,($AJ30&gt;Lists!G$22)*($AJ30&lt;=Lists!G$21),MAX(0,MIN(Lists!G$21,$AK30)-MAX(Lists!G$22,$AJ30))/($AK30-$AJ30))+N($G30)*IF($AM30-$AL30&lt;1,($AL30&gt;Lists!G$22)*($AL30&lt;=Lists!G$21),MAX(0,MIN(Lists!G$21,$AM30)-MAX(Lists!G$22,$AL30))/($AM30-$AL30))))))))</f>
        <v>0</v>
      </c>
      <c r="R30" s="53" t="n">
        <f aca="false">IF($H30=0,0,IF($AP30="X",0,IF($AP30="S",$H30/$AO30*(MIN($AO30,MAX(0,INT((Lists!H$21-N($J30))/7)+1))-MIN($AO30,MAX(0,INT((Lists!H$22-N($J30))/7)+1))),IF($AP30="D",$H30*MAX(0,MIN(Lists!H$21,N($J30)+$AO30)-MAX(Lists!H$22,N($J30)))/$AO30,IF($AP30="M",$H30/$AO30*(IF(Lists!H$21&lt;$J30,0,MIN($AO30,(((YEAR(Lists!H$21)-YEAR($J30))*12+MONTH(Lists!H$21)-MONTH($J30))-(EDATE($J30,((YEAR(Lists!H$21)-YEAR($J30))*12+MONTH(Lists!H$21)-MONTH($J30)))&gt;Lists!H$21)+1)))-IF(Lists!H$22&lt;$J30,0,MIN($AO30,(((YEAR(Lists!H$22)-YEAR($J30))*12+MONTH(Lists!H$22)-MONTH($J30))-(EDATE($J30,((YEAR(Lists!H$22)-YEAR($J30))*12+MONTH(Lists!H$22)-MONTH($J30)))&gt;Lists!H$22)+1)))),IF($AP30="F",IF(N($K30)&lt;=0,0,MIN(MAX(0,$H30),N($K30)*IF(Lists!H$21&lt;$J30,0,(((YEAR(Lists!H$21)-YEAR($J30))*12+MONTH(Lists!H$21)-MONTH($J30))-(EDATE($J30,((YEAR(Lists!H$21)-YEAR($J30))*12+MONTH(Lists!H$21)-MONTH($J30)))&gt;Lists!H$21)+1)))-MIN(MAX(0,$H30),N($K30)*IF(Lists!H$22&lt;$J30,0,(((YEAR(Lists!H$22)-YEAR($J30))*12+MONTH(Lists!H$22)-MONTH($J30))-(EDATE($J30,((YEAR(Lists!H$22)-YEAR($J30))*12+MONTH(Lists!H$22)-MONTH($J30)))&gt;Lists!H$22)+1)))),N($C30)*IF($AE30-$AD30&lt;1,($AD30&gt;Lists!H$22)*($AD30&lt;=Lists!H$21),MAX(0,MIN(Lists!H$21,$AE30)-MAX(Lists!H$22,$AD30))/($AE30-$AD30))+N($D30)*IF($AG30-$AF30&lt;1,($AF30&gt;Lists!H$22)*($AF30&lt;=Lists!H$21),MAX(0,MIN(Lists!H$21,$AG30)-MAX(Lists!H$22,$AF30))/($AG30-$AF30))+N($E30)*IF($AI30-$AH30&lt;1,($AH30&gt;Lists!H$22)*($AH30&lt;=Lists!H$21),MAX(0,MIN(Lists!H$21,$AI30)-MAX(Lists!H$22,$AH30))/($AI30-$AH30))+N($F30)*IF($AK30-$AJ30&lt;1,($AJ30&gt;Lists!H$22)*($AJ30&lt;=Lists!H$21),MAX(0,MIN(Lists!H$21,$AK30)-MAX(Lists!H$22,$AJ30))/($AK30-$AJ30))+N($G30)*IF($AM30-$AL30&lt;1,($AL30&gt;Lists!H$22)*($AL30&lt;=Lists!H$21),MAX(0,MIN(Lists!H$21,$AM30)-MAX(Lists!H$22,$AL30))/($AM30-$AL30))))))))</f>
        <v>0</v>
      </c>
      <c r="S30" s="53" t="n">
        <f aca="false">IF($H30=0,0,IF($AP30="X",0,IF($AP30="S",$H30/$AO30*(MIN($AO30,MAX(0,INT((Lists!I$21-N($J30))/7)+1))-MIN($AO30,MAX(0,INT((Lists!I$22-N($J30))/7)+1))),IF($AP30="D",$H30*MAX(0,MIN(Lists!I$21,N($J30)+$AO30)-MAX(Lists!I$22,N($J30)))/$AO30,IF($AP30="M",$H30/$AO30*(IF(Lists!I$21&lt;$J30,0,MIN($AO30,(((YEAR(Lists!I$21)-YEAR($J30))*12+MONTH(Lists!I$21)-MONTH($J30))-(EDATE($J30,((YEAR(Lists!I$21)-YEAR($J30))*12+MONTH(Lists!I$21)-MONTH($J30)))&gt;Lists!I$21)+1)))-IF(Lists!I$22&lt;$J30,0,MIN($AO30,(((YEAR(Lists!I$22)-YEAR($J30))*12+MONTH(Lists!I$22)-MONTH($J30))-(EDATE($J30,((YEAR(Lists!I$22)-YEAR($J30))*12+MONTH(Lists!I$22)-MONTH($J30)))&gt;Lists!I$22)+1)))),IF($AP30="F",IF(N($K30)&lt;=0,0,MIN(MAX(0,$H30),N($K30)*IF(Lists!I$21&lt;$J30,0,(((YEAR(Lists!I$21)-YEAR($J30))*12+MONTH(Lists!I$21)-MONTH($J30))-(EDATE($J30,((YEAR(Lists!I$21)-YEAR($J30))*12+MONTH(Lists!I$21)-MONTH($J30)))&gt;Lists!I$21)+1)))-MIN(MAX(0,$H30),N($K30)*IF(Lists!I$22&lt;$J30,0,(((YEAR(Lists!I$22)-YEAR($J30))*12+MONTH(Lists!I$22)-MONTH($J30))-(EDATE($J30,((YEAR(Lists!I$22)-YEAR($J30))*12+MONTH(Lists!I$22)-MONTH($J30)))&gt;Lists!I$22)+1)))),N($C30)*IF($AE30-$AD30&lt;1,($AD30&gt;Lists!I$22)*($AD30&lt;=Lists!I$21),MAX(0,MIN(Lists!I$21,$AE30)-MAX(Lists!I$22,$AD30))/($AE30-$AD30))+N($D30)*IF($AG30-$AF30&lt;1,($AF30&gt;Lists!I$22)*($AF30&lt;=Lists!I$21),MAX(0,MIN(Lists!I$21,$AG30)-MAX(Lists!I$22,$AF30))/($AG30-$AF30))+N($E30)*IF($AI30-$AH30&lt;1,($AH30&gt;Lists!I$22)*($AH30&lt;=Lists!I$21),MAX(0,MIN(Lists!I$21,$AI30)-MAX(Lists!I$22,$AH30))/($AI30-$AH30))+N($F30)*IF($AK30-$AJ30&lt;1,($AJ30&gt;Lists!I$22)*($AJ30&lt;=Lists!I$21),MAX(0,MIN(Lists!I$21,$AK30)-MAX(Lists!I$22,$AJ30))/($AK30-$AJ30))+N($G30)*IF($AM30-$AL30&lt;1,($AL30&gt;Lists!I$22)*($AL30&lt;=Lists!I$21),MAX(0,MIN(Lists!I$21,$AM30)-MAX(Lists!I$22,$AL30))/($AM30-$AL30))))))))</f>
        <v>0</v>
      </c>
      <c r="T30" s="53" t="n">
        <f aca="false">IF($H30=0,0,IF($AP30="X",0,IF($AP30="S",$H30/$AO30*(MIN($AO30,MAX(0,INT((Lists!J$21-N($J30))/7)+1))-MIN($AO30,MAX(0,INT((Lists!J$22-N($J30))/7)+1))),IF($AP30="D",$H30*MAX(0,MIN(Lists!J$21,N($J30)+$AO30)-MAX(Lists!J$22,N($J30)))/$AO30,IF($AP30="M",$H30/$AO30*(IF(Lists!J$21&lt;$J30,0,MIN($AO30,(((YEAR(Lists!J$21)-YEAR($J30))*12+MONTH(Lists!J$21)-MONTH($J30))-(EDATE($J30,((YEAR(Lists!J$21)-YEAR($J30))*12+MONTH(Lists!J$21)-MONTH($J30)))&gt;Lists!J$21)+1)))-IF(Lists!J$22&lt;$J30,0,MIN($AO30,(((YEAR(Lists!J$22)-YEAR($J30))*12+MONTH(Lists!J$22)-MONTH($J30))-(EDATE($J30,((YEAR(Lists!J$22)-YEAR($J30))*12+MONTH(Lists!J$22)-MONTH($J30)))&gt;Lists!J$22)+1)))),IF($AP30="F",IF(N($K30)&lt;=0,0,MIN(MAX(0,$H30),N($K30)*IF(Lists!J$21&lt;$J30,0,(((YEAR(Lists!J$21)-YEAR($J30))*12+MONTH(Lists!J$21)-MONTH($J30))-(EDATE($J30,((YEAR(Lists!J$21)-YEAR($J30))*12+MONTH(Lists!J$21)-MONTH($J30)))&gt;Lists!J$21)+1)))-MIN(MAX(0,$H30),N($K30)*IF(Lists!J$22&lt;$J30,0,(((YEAR(Lists!J$22)-YEAR($J30))*12+MONTH(Lists!J$22)-MONTH($J30))-(EDATE($J30,((YEAR(Lists!J$22)-YEAR($J30))*12+MONTH(Lists!J$22)-MONTH($J30)))&gt;Lists!J$22)+1)))),N($C30)*IF($AE30-$AD30&lt;1,($AD30&gt;Lists!J$22)*($AD30&lt;=Lists!J$21),MAX(0,MIN(Lists!J$21,$AE30)-MAX(Lists!J$22,$AD30))/($AE30-$AD30))+N($D30)*IF($AG30-$AF30&lt;1,($AF30&gt;Lists!J$22)*($AF30&lt;=Lists!J$21),MAX(0,MIN(Lists!J$21,$AG30)-MAX(Lists!J$22,$AF30))/($AG30-$AF30))+N($E30)*IF($AI30-$AH30&lt;1,($AH30&gt;Lists!J$22)*($AH30&lt;=Lists!J$21),MAX(0,MIN(Lists!J$21,$AI30)-MAX(Lists!J$22,$AH30))/($AI30-$AH30))+N($F30)*IF($AK30-$AJ30&lt;1,($AJ30&gt;Lists!J$22)*($AJ30&lt;=Lists!J$21),MAX(0,MIN(Lists!J$21,$AK30)-MAX(Lists!J$22,$AJ30))/($AK30-$AJ30))+N($G30)*IF($AM30-$AL30&lt;1,($AL30&gt;Lists!J$22)*($AL30&lt;=Lists!J$21),MAX(0,MIN(Lists!J$21,$AM30)-MAX(Lists!J$22,$AL30))/($AM30-$AL30))))))))</f>
        <v>0</v>
      </c>
      <c r="U30" s="53" t="n">
        <f aca="false">IF($H30=0,0,IF($AP30="X",0,IF($AP30="S",$H30/$AO30*(MIN($AO30,MAX(0,INT((Lists!K$21-N($J30))/7)+1))-MIN($AO30,MAX(0,INT((Lists!K$22-N($J30))/7)+1))),IF($AP30="D",$H30*MAX(0,MIN(Lists!K$21,N($J30)+$AO30)-MAX(Lists!K$22,N($J30)))/$AO30,IF($AP30="M",$H30/$AO30*(IF(Lists!K$21&lt;$J30,0,MIN($AO30,(((YEAR(Lists!K$21)-YEAR($J30))*12+MONTH(Lists!K$21)-MONTH($J30))-(EDATE($J30,((YEAR(Lists!K$21)-YEAR($J30))*12+MONTH(Lists!K$21)-MONTH($J30)))&gt;Lists!K$21)+1)))-IF(Lists!K$22&lt;$J30,0,MIN($AO30,(((YEAR(Lists!K$22)-YEAR($J30))*12+MONTH(Lists!K$22)-MONTH($J30))-(EDATE($J30,((YEAR(Lists!K$22)-YEAR($J30))*12+MONTH(Lists!K$22)-MONTH($J30)))&gt;Lists!K$22)+1)))),IF($AP30="F",IF(N($K30)&lt;=0,0,MIN(MAX(0,$H30),N($K30)*IF(Lists!K$21&lt;$J30,0,(((YEAR(Lists!K$21)-YEAR($J30))*12+MONTH(Lists!K$21)-MONTH($J30))-(EDATE($J30,((YEAR(Lists!K$21)-YEAR($J30))*12+MONTH(Lists!K$21)-MONTH($J30)))&gt;Lists!K$21)+1)))-MIN(MAX(0,$H30),N($K30)*IF(Lists!K$22&lt;$J30,0,(((YEAR(Lists!K$22)-YEAR($J30))*12+MONTH(Lists!K$22)-MONTH($J30))-(EDATE($J30,((YEAR(Lists!K$22)-YEAR($J30))*12+MONTH(Lists!K$22)-MONTH($J30)))&gt;Lists!K$22)+1)))),N($C30)*IF($AE30-$AD30&lt;1,($AD30&gt;Lists!K$22)*($AD30&lt;=Lists!K$21),MAX(0,MIN(Lists!K$21,$AE30)-MAX(Lists!K$22,$AD30))/($AE30-$AD30))+N($D30)*IF($AG30-$AF30&lt;1,($AF30&gt;Lists!K$22)*($AF30&lt;=Lists!K$21),MAX(0,MIN(Lists!K$21,$AG30)-MAX(Lists!K$22,$AF30))/($AG30-$AF30))+N($E30)*IF($AI30-$AH30&lt;1,($AH30&gt;Lists!K$22)*($AH30&lt;=Lists!K$21),MAX(0,MIN(Lists!K$21,$AI30)-MAX(Lists!K$22,$AH30))/($AI30-$AH30))+N($F30)*IF($AK30-$AJ30&lt;1,($AJ30&gt;Lists!K$22)*($AJ30&lt;=Lists!K$21),MAX(0,MIN(Lists!K$21,$AK30)-MAX(Lists!K$22,$AJ30))/($AK30-$AJ30))+N($G30)*IF($AM30-$AL30&lt;1,($AL30&gt;Lists!K$22)*($AL30&lt;=Lists!K$21),MAX(0,MIN(Lists!K$21,$AM30)-MAX(Lists!K$22,$AL30))/($AM30-$AL30))))))))</f>
        <v>0</v>
      </c>
      <c r="V30" s="53" t="n">
        <f aca="false">IF($H30=0,0,IF($AP30="X",0,IF($AP30="S",$H30/$AO30*(MIN($AO30,MAX(0,INT((Lists!L$21-N($J30))/7)+1))-MIN($AO30,MAX(0,INT((Lists!L$22-N($J30))/7)+1))),IF($AP30="D",$H30*MAX(0,MIN(Lists!L$21,N($J30)+$AO30)-MAX(Lists!L$22,N($J30)))/$AO30,IF($AP30="M",$H30/$AO30*(IF(Lists!L$21&lt;$J30,0,MIN($AO30,(((YEAR(Lists!L$21)-YEAR($J30))*12+MONTH(Lists!L$21)-MONTH($J30))-(EDATE($J30,((YEAR(Lists!L$21)-YEAR($J30))*12+MONTH(Lists!L$21)-MONTH($J30)))&gt;Lists!L$21)+1)))-IF(Lists!L$22&lt;$J30,0,MIN($AO30,(((YEAR(Lists!L$22)-YEAR($J30))*12+MONTH(Lists!L$22)-MONTH($J30))-(EDATE($J30,((YEAR(Lists!L$22)-YEAR($J30))*12+MONTH(Lists!L$22)-MONTH($J30)))&gt;Lists!L$22)+1)))),IF($AP30="F",IF(N($K30)&lt;=0,0,MIN(MAX(0,$H30),N($K30)*IF(Lists!L$21&lt;$J30,0,(((YEAR(Lists!L$21)-YEAR($J30))*12+MONTH(Lists!L$21)-MONTH($J30))-(EDATE($J30,((YEAR(Lists!L$21)-YEAR($J30))*12+MONTH(Lists!L$21)-MONTH($J30)))&gt;Lists!L$21)+1)))-MIN(MAX(0,$H30),N($K30)*IF(Lists!L$22&lt;$J30,0,(((YEAR(Lists!L$22)-YEAR($J30))*12+MONTH(Lists!L$22)-MONTH($J30))-(EDATE($J30,((YEAR(Lists!L$22)-YEAR($J30))*12+MONTH(Lists!L$22)-MONTH($J30)))&gt;Lists!L$22)+1)))),N($C30)*IF($AE30-$AD30&lt;1,($AD30&gt;Lists!L$22)*($AD30&lt;=Lists!L$21),MAX(0,MIN(Lists!L$21,$AE30)-MAX(Lists!L$22,$AD30))/($AE30-$AD30))+N($D30)*IF($AG30-$AF30&lt;1,($AF30&gt;Lists!L$22)*($AF30&lt;=Lists!L$21),MAX(0,MIN(Lists!L$21,$AG30)-MAX(Lists!L$22,$AF30))/($AG30-$AF30))+N($E30)*IF($AI30-$AH30&lt;1,($AH30&gt;Lists!L$22)*($AH30&lt;=Lists!L$21),MAX(0,MIN(Lists!L$21,$AI30)-MAX(Lists!L$22,$AH30))/($AI30-$AH30))+N($F30)*IF($AK30-$AJ30&lt;1,($AJ30&gt;Lists!L$22)*($AJ30&lt;=Lists!L$21),MAX(0,MIN(Lists!L$21,$AK30)-MAX(Lists!L$22,$AJ30))/($AK30-$AJ30))+N($G30)*IF($AM30-$AL30&lt;1,($AL30&gt;Lists!L$22)*($AL30&lt;=Lists!L$21),MAX(0,MIN(Lists!L$21,$AM30)-MAX(Lists!L$22,$AL30))/($AM30-$AL30))))))))</f>
        <v>0</v>
      </c>
      <c r="W30" s="53" t="n">
        <f aca="false">IF($H30=0,0,IF($AP30="X",0,IF($AP30="S",$H30/$AO30*(MIN($AO30,MAX(0,INT((Lists!M$21-N($J30))/7)+1))-MIN($AO30,MAX(0,INT((Lists!M$22-N($J30))/7)+1))),IF($AP30="D",$H30*MAX(0,MIN(Lists!M$21,N($J30)+$AO30)-MAX(Lists!M$22,N($J30)))/$AO30,IF($AP30="M",$H30/$AO30*(IF(Lists!M$21&lt;$J30,0,MIN($AO30,(((YEAR(Lists!M$21)-YEAR($J30))*12+MONTH(Lists!M$21)-MONTH($J30))-(EDATE($J30,((YEAR(Lists!M$21)-YEAR($J30))*12+MONTH(Lists!M$21)-MONTH($J30)))&gt;Lists!M$21)+1)))-IF(Lists!M$22&lt;$J30,0,MIN($AO30,(((YEAR(Lists!M$22)-YEAR($J30))*12+MONTH(Lists!M$22)-MONTH($J30))-(EDATE($J30,((YEAR(Lists!M$22)-YEAR($J30))*12+MONTH(Lists!M$22)-MONTH($J30)))&gt;Lists!M$22)+1)))),IF($AP30="F",IF(N($K30)&lt;=0,0,MIN(MAX(0,$H30),N($K30)*IF(Lists!M$21&lt;$J30,0,(((YEAR(Lists!M$21)-YEAR($J30))*12+MONTH(Lists!M$21)-MONTH($J30))-(EDATE($J30,((YEAR(Lists!M$21)-YEAR($J30))*12+MONTH(Lists!M$21)-MONTH($J30)))&gt;Lists!M$21)+1)))-MIN(MAX(0,$H30),N($K30)*IF(Lists!M$22&lt;$J30,0,(((YEAR(Lists!M$22)-YEAR($J30))*12+MONTH(Lists!M$22)-MONTH($J30))-(EDATE($J30,((YEAR(Lists!M$22)-YEAR($J30))*12+MONTH(Lists!M$22)-MONTH($J30)))&gt;Lists!M$22)+1)))),N($C30)*IF($AE30-$AD30&lt;1,($AD30&gt;Lists!M$22)*($AD30&lt;=Lists!M$21),MAX(0,MIN(Lists!M$21,$AE30)-MAX(Lists!M$22,$AD30))/($AE30-$AD30))+N($D30)*IF($AG30-$AF30&lt;1,($AF30&gt;Lists!M$22)*($AF30&lt;=Lists!M$21),MAX(0,MIN(Lists!M$21,$AG30)-MAX(Lists!M$22,$AF30))/($AG30-$AF30))+N($E30)*IF($AI30-$AH30&lt;1,($AH30&gt;Lists!M$22)*($AH30&lt;=Lists!M$21),MAX(0,MIN(Lists!M$21,$AI30)-MAX(Lists!M$22,$AH30))/($AI30-$AH30))+N($F30)*IF($AK30-$AJ30&lt;1,($AJ30&gt;Lists!M$22)*($AJ30&lt;=Lists!M$21),MAX(0,MIN(Lists!M$21,$AK30)-MAX(Lists!M$22,$AJ30))/($AK30-$AJ30))+N($G30)*IF($AM30-$AL30&lt;1,($AL30&gt;Lists!M$22)*($AL30&lt;=Lists!M$21),MAX(0,MIN(Lists!M$21,$AM30)-MAX(Lists!M$22,$AL30))/($AM30-$AL30))))))))</f>
        <v>0</v>
      </c>
      <c r="X30" s="53" t="n">
        <f aca="false">IF($H30=0,0,IF($AP30="X",0,IF($AP30="S",$H30/$AO30*(MIN($AO30,MAX(0,INT((Lists!N$21-N($J30))/7)+1))-MIN($AO30,MAX(0,INT((Lists!N$22-N($J30))/7)+1))),IF($AP30="D",$H30*MAX(0,MIN(Lists!N$21,N($J30)+$AO30)-MAX(Lists!N$22,N($J30)))/$AO30,IF($AP30="M",$H30/$AO30*(IF(Lists!N$21&lt;$J30,0,MIN($AO30,(((YEAR(Lists!N$21)-YEAR($J30))*12+MONTH(Lists!N$21)-MONTH($J30))-(EDATE($J30,((YEAR(Lists!N$21)-YEAR($J30))*12+MONTH(Lists!N$21)-MONTH($J30)))&gt;Lists!N$21)+1)))-IF(Lists!N$22&lt;$J30,0,MIN($AO30,(((YEAR(Lists!N$22)-YEAR($J30))*12+MONTH(Lists!N$22)-MONTH($J30))-(EDATE($J30,((YEAR(Lists!N$22)-YEAR($J30))*12+MONTH(Lists!N$22)-MONTH($J30)))&gt;Lists!N$22)+1)))),IF($AP30="F",IF(N($K30)&lt;=0,0,MIN(MAX(0,$H30),N($K30)*IF(Lists!N$21&lt;$J30,0,(((YEAR(Lists!N$21)-YEAR($J30))*12+MONTH(Lists!N$21)-MONTH($J30))-(EDATE($J30,((YEAR(Lists!N$21)-YEAR($J30))*12+MONTH(Lists!N$21)-MONTH($J30)))&gt;Lists!N$21)+1)))-MIN(MAX(0,$H30),N($K30)*IF(Lists!N$22&lt;$J30,0,(((YEAR(Lists!N$22)-YEAR($J30))*12+MONTH(Lists!N$22)-MONTH($J30))-(EDATE($J30,((YEAR(Lists!N$22)-YEAR($J30))*12+MONTH(Lists!N$22)-MONTH($J30)))&gt;Lists!N$22)+1)))),N($C30)*IF($AE30-$AD30&lt;1,($AD30&gt;Lists!N$22)*($AD30&lt;=Lists!N$21),MAX(0,MIN(Lists!N$21,$AE30)-MAX(Lists!N$22,$AD30))/($AE30-$AD30))+N($D30)*IF($AG30-$AF30&lt;1,($AF30&gt;Lists!N$22)*($AF30&lt;=Lists!N$21),MAX(0,MIN(Lists!N$21,$AG30)-MAX(Lists!N$22,$AF30))/($AG30-$AF30))+N($E30)*IF($AI30-$AH30&lt;1,($AH30&gt;Lists!N$22)*($AH30&lt;=Lists!N$21),MAX(0,MIN(Lists!N$21,$AI30)-MAX(Lists!N$22,$AH30))/($AI30-$AH30))+N($F30)*IF($AK30-$AJ30&lt;1,($AJ30&gt;Lists!N$22)*($AJ30&lt;=Lists!N$21),MAX(0,MIN(Lists!N$21,$AK30)-MAX(Lists!N$22,$AJ30))/($AK30-$AJ30))+N($G30)*IF($AM30-$AL30&lt;1,($AL30&gt;Lists!N$22)*($AL30&lt;=Lists!N$21),MAX(0,MIN(Lists!N$21,$AM30)-MAX(Lists!N$22,$AL30))/($AM30-$AL30))))))))</f>
        <v>0</v>
      </c>
      <c r="Y30" s="53" t="n">
        <f aca="false">IF($H30=0,0,IF($AP30="X",0,IF($AP30="S",$H30/$AO30*(MIN($AO30,MAX(0,INT((Lists!O$21-N($J30))/7)+1))-MIN($AO30,MAX(0,INT((Lists!O$22-N($J30))/7)+1))),IF($AP30="D",$H30*MAX(0,MIN(Lists!O$21,N($J30)+$AO30)-MAX(Lists!O$22,N($J30)))/$AO30,IF($AP30="M",$H30/$AO30*(IF(Lists!O$21&lt;$J30,0,MIN($AO30,(((YEAR(Lists!O$21)-YEAR($J30))*12+MONTH(Lists!O$21)-MONTH($J30))-(EDATE($J30,((YEAR(Lists!O$21)-YEAR($J30))*12+MONTH(Lists!O$21)-MONTH($J30)))&gt;Lists!O$21)+1)))-IF(Lists!O$22&lt;$J30,0,MIN($AO30,(((YEAR(Lists!O$22)-YEAR($J30))*12+MONTH(Lists!O$22)-MONTH($J30))-(EDATE($J30,((YEAR(Lists!O$22)-YEAR($J30))*12+MONTH(Lists!O$22)-MONTH($J30)))&gt;Lists!O$22)+1)))),IF($AP30="F",IF(N($K30)&lt;=0,0,MIN(MAX(0,$H30),N($K30)*IF(Lists!O$21&lt;$J30,0,(((YEAR(Lists!O$21)-YEAR($J30))*12+MONTH(Lists!O$21)-MONTH($J30))-(EDATE($J30,((YEAR(Lists!O$21)-YEAR($J30))*12+MONTH(Lists!O$21)-MONTH($J30)))&gt;Lists!O$21)+1)))-MIN(MAX(0,$H30),N($K30)*IF(Lists!O$22&lt;$J30,0,(((YEAR(Lists!O$22)-YEAR($J30))*12+MONTH(Lists!O$22)-MONTH($J30))-(EDATE($J30,((YEAR(Lists!O$22)-YEAR($J30))*12+MONTH(Lists!O$22)-MONTH($J30)))&gt;Lists!O$22)+1)))),N($C30)*IF($AE30-$AD30&lt;1,($AD30&gt;Lists!O$22)*($AD30&lt;=Lists!O$21),MAX(0,MIN(Lists!O$21,$AE30)-MAX(Lists!O$22,$AD30))/($AE30-$AD30))+N($D30)*IF($AG30-$AF30&lt;1,($AF30&gt;Lists!O$22)*($AF30&lt;=Lists!O$21),MAX(0,MIN(Lists!O$21,$AG30)-MAX(Lists!O$22,$AF30))/($AG30-$AF30))+N($E30)*IF($AI30-$AH30&lt;1,($AH30&gt;Lists!O$22)*($AH30&lt;=Lists!O$21),MAX(0,MIN(Lists!O$21,$AI30)-MAX(Lists!O$22,$AH30))/($AI30-$AH30))+N($F30)*IF($AK30-$AJ30&lt;1,($AJ30&gt;Lists!O$22)*($AJ30&lt;=Lists!O$21),MAX(0,MIN(Lists!O$21,$AK30)-MAX(Lists!O$22,$AJ30))/($AK30-$AJ30))+N($G30)*IF($AM30-$AL30&lt;1,($AL30&gt;Lists!O$22)*($AL30&lt;=Lists!O$21),MAX(0,MIN(Lists!O$21,$AM30)-MAX(Lists!O$22,$AL30))/($AM30-$AL30))))))))</f>
        <v>0</v>
      </c>
      <c r="Z30" s="46" t="n">
        <f aca="false">SUM(M30:Y30)</f>
        <v>0</v>
      </c>
      <c r="AA30" s="92" t="n">
        <f aca="false">H30-Z30</f>
        <v>0</v>
      </c>
      <c r="AB30" s="55"/>
      <c r="AC30" s="2"/>
      <c r="AD30" s="93" t="n">
        <f aca="false">Setup!$D$10+MAX(0,$AN30-30)</f>
        <v>46365</v>
      </c>
      <c r="AE30" s="93" t="n">
        <f aca="false">Setup!$D$10+IF($AN30-30&lt;0,MAX(Setup!$D$22,$AN30-0),$AN30-0)</f>
        <v>46395</v>
      </c>
      <c r="AF30" s="93" t="n">
        <f aca="false">Setup!$D$10+MAX(0,$AN30-60)</f>
        <v>46335</v>
      </c>
      <c r="AG30" s="93" t="n">
        <f aca="false">Setup!$D$10+IF($AN30-60&lt;0,MAX(Setup!$D$22,$AN30-31),$AN30-31)</f>
        <v>46364</v>
      </c>
      <c r="AH30" s="93" t="n">
        <f aca="false">Setup!$D$10+MAX(0,$AN30-90)</f>
        <v>46335</v>
      </c>
      <c r="AI30" s="93" t="n">
        <f aca="false">Setup!$D$10+IF($AN30-90&lt;0,MAX(Setup!$D$22,$AN30-61),$AN30-61)</f>
        <v>46363</v>
      </c>
      <c r="AJ30" s="93" t="n">
        <f aca="false">Setup!$D$10+MAX(0,$AN30-120)</f>
        <v>46335</v>
      </c>
      <c r="AK30" s="93" t="n">
        <f aca="false">Setup!$D$10+IF($AN30-120&lt;0,MAX(Setup!$D$22,$AN30-91),$AN30-91)</f>
        <v>46363</v>
      </c>
      <c r="AL30" s="93" t="n">
        <f aca="false">IF(Setup!$D$23="Yes",2958465,Setup!$D$10)</f>
        <v>2958465</v>
      </c>
      <c r="AM30" s="93" t="n">
        <f aca="false">IF(AL30=2958465,AL30,Setup!$D$10+Setup!$D$22)</f>
        <v>2958465</v>
      </c>
      <c r="AN30" s="94" t="n">
        <f aca="false">IF(N(L30)=0,Setup!$D$20,L30)</f>
        <v>60</v>
      </c>
      <c r="AO30" s="94" t="n">
        <f aca="false">MAX(1,ROUND(N(K30),0))</f>
        <v>1</v>
      </c>
      <c r="AP30" s="95" t="str">
        <f aca="false">IF(I30="Doubtful","X",IF(N(J30)=0,"A",IF(I30="Specific date","S",IF(I30="Spread over days","D",IF(I30="Monthly on set day","M",IF(I30="Monthly fixed amount","F","A"))))))</f>
        <v>A</v>
      </c>
    </row>
    <row r="31" customFormat="false" ht="15" hidden="false" customHeight="false" outlineLevel="0" collapsed="false">
      <c r="A31" s="87" t="n">
        <v>23</v>
      </c>
      <c r="B31" s="55"/>
      <c r="C31" s="88"/>
      <c r="D31" s="88"/>
      <c r="E31" s="88"/>
      <c r="F31" s="88"/>
      <c r="G31" s="88"/>
      <c r="H31" s="89" t="n">
        <f aca="false">SUM(C31:G31)</f>
        <v>0</v>
      </c>
      <c r="I31" s="58"/>
      <c r="J31" s="90"/>
      <c r="K31" s="91"/>
      <c r="L31" s="80"/>
      <c r="M31" s="53" t="n">
        <f aca="false">IF($H31=0,0,IF($AP31="X",0,IF($AP31="S",$H31/$AO31*(MIN($AO31,MAX(0,INT((Lists!C$21-N($J31))/7)+1))-MIN($AO31,MAX(0,INT((Lists!C$22-N($J31))/7)+1))),IF($AP31="D",$H31*MAX(0,MIN(Lists!C$21,N($J31)+$AO31)-MAX(Lists!C$22,N($J31)))/$AO31,IF($AP31="M",$H31/$AO31*(IF(Lists!C$21&lt;$J31,0,MIN($AO31,(((YEAR(Lists!C$21)-YEAR($J31))*12+MONTH(Lists!C$21)-MONTH($J31))-(EDATE($J31,((YEAR(Lists!C$21)-YEAR($J31))*12+MONTH(Lists!C$21)-MONTH($J31)))&gt;Lists!C$21)+1)))-IF(Lists!C$22&lt;$J31,0,MIN($AO31,(((YEAR(Lists!C$22)-YEAR($J31))*12+MONTH(Lists!C$22)-MONTH($J31))-(EDATE($J31,((YEAR(Lists!C$22)-YEAR($J31))*12+MONTH(Lists!C$22)-MONTH($J31)))&gt;Lists!C$22)+1)))),IF($AP31="F",IF(N($K31)&lt;=0,0,MIN(MAX(0,$H31),N($K31)*IF(Lists!C$21&lt;$J31,0,(((YEAR(Lists!C$21)-YEAR($J31))*12+MONTH(Lists!C$21)-MONTH($J31))-(EDATE($J31,((YEAR(Lists!C$21)-YEAR($J31))*12+MONTH(Lists!C$21)-MONTH($J31)))&gt;Lists!C$21)+1)))-MIN(MAX(0,$H31),N($K31)*IF(Lists!C$22&lt;$J31,0,(((YEAR(Lists!C$22)-YEAR($J31))*12+MONTH(Lists!C$22)-MONTH($J31))-(EDATE($J31,((YEAR(Lists!C$22)-YEAR($J31))*12+MONTH(Lists!C$22)-MONTH($J31)))&gt;Lists!C$22)+1)))),N($C31)*IF($AE31-$AD31&lt;1,($AD31&gt;Lists!C$22)*($AD31&lt;=Lists!C$21),MAX(0,MIN(Lists!C$21,$AE31)-MAX(Lists!C$22,$AD31))/($AE31-$AD31))+N($D31)*IF($AG31-$AF31&lt;1,($AF31&gt;Lists!C$22)*($AF31&lt;=Lists!C$21),MAX(0,MIN(Lists!C$21,$AG31)-MAX(Lists!C$22,$AF31))/($AG31-$AF31))+N($E31)*IF($AI31-$AH31&lt;1,($AH31&gt;Lists!C$22)*($AH31&lt;=Lists!C$21),MAX(0,MIN(Lists!C$21,$AI31)-MAX(Lists!C$22,$AH31))/($AI31-$AH31))+N($F31)*IF($AK31-$AJ31&lt;1,($AJ31&gt;Lists!C$22)*($AJ31&lt;=Lists!C$21),MAX(0,MIN(Lists!C$21,$AK31)-MAX(Lists!C$22,$AJ31))/($AK31-$AJ31))+N($G31)*IF($AM31-$AL31&lt;1,($AL31&gt;Lists!C$22)*($AL31&lt;=Lists!C$21),MAX(0,MIN(Lists!C$21,$AM31)-MAX(Lists!C$22,$AL31))/($AM31-$AL31))))))))</f>
        <v>0</v>
      </c>
      <c r="N31" s="53" t="n">
        <f aca="false">IF($H31=0,0,IF($AP31="X",0,IF($AP31="S",$H31/$AO31*(MIN($AO31,MAX(0,INT((Lists!D$21-N($J31))/7)+1))-MIN($AO31,MAX(0,INT((Lists!D$22-N($J31))/7)+1))),IF($AP31="D",$H31*MAX(0,MIN(Lists!D$21,N($J31)+$AO31)-MAX(Lists!D$22,N($J31)))/$AO31,IF($AP31="M",$H31/$AO31*(IF(Lists!D$21&lt;$J31,0,MIN($AO31,(((YEAR(Lists!D$21)-YEAR($J31))*12+MONTH(Lists!D$21)-MONTH($J31))-(EDATE($J31,((YEAR(Lists!D$21)-YEAR($J31))*12+MONTH(Lists!D$21)-MONTH($J31)))&gt;Lists!D$21)+1)))-IF(Lists!D$22&lt;$J31,0,MIN($AO31,(((YEAR(Lists!D$22)-YEAR($J31))*12+MONTH(Lists!D$22)-MONTH($J31))-(EDATE($J31,((YEAR(Lists!D$22)-YEAR($J31))*12+MONTH(Lists!D$22)-MONTH($J31)))&gt;Lists!D$22)+1)))),IF($AP31="F",IF(N($K31)&lt;=0,0,MIN(MAX(0,$H31),N($K31)*IF(Lists!D$21&lt;$J31,0,(((YEAR(Lists!D$21)-YEAR($J31))*12+MONTH(Lists!D$21)-MONTH($J31))-(EDATE($J31,((YEAR(Lists!D$21)-YEAR($J31))*12+MONTH(Lists!D$21)-MONTH($J31)))&gt;Lists!D$21)+1)))-MIN(MAX(0,$H31),N($K31)*IF(Lists!D$22&lt;$J31,0,(((YEAR(Lists!D$22)-YEAR($J31))*12+MONTH(Lists!D$22)-MONTH($J31))-(EDATE($J31,((YEAR(Lists!D$22)-YEAR($J31))*12+MONTH(Lists!D$22)-MONTH($J31)))&gt;Lists!D$22)+1)))),N($C31)*IF($AE31-$AD31&lt;1,($AD31&gt;Lists!D$22)*($AD31&lt;=Lists!D$21),MAX(0,MIN(Lists!D$21,$AE31)-MAX(Lists!D$22,$AD31))/($AE31-$AD31))+N($D31)*IF($AG31-$AF31&lt;1,($AF31&gt;Lists!D$22)*($AF31&lt;=Lists!D$21),MAX(0,MIN(Lists!D$21,$AG31)-MAX(Lists!D$22,$AF31))/($AG31-$AF31))+N($E31)*IF($AI31-$AH31&lt;1,($AH31&gt;Lists!D$22)*($AH31&lt;=Lists!D$21),MAX(0,MIN(Lists!D$21,$AI31)-MAX(Lists!D$22,$AH31))/($AI31-$AH31))+N($F31)*IF($AK31-$AJ31&lt;1,($AJ31&gt;Lists!D$22)*($AJ31&lt;=Lists!D$21),MAX(0,MIN(Lists!D$21,$AK31)-MAX(Lists!D$22,$AJ31))/($AK31-$AJ31))+N($G31)*IF($AM31-$AL31&lt;1,($AL31&gt;Lists!D$22)*($AL31&lt;=Lists!D$21),MAX(0,MIN(Lists!D$21,$AM31)-MAX(Lists!D$22,$AL31))/($AM31-$AL31))))))))</f>
        <v>0</v>
      </c>
      <c r="O31" s="53" t="n">
        <f aca="false">IF($H31=0,0,IF($AP31="X",0,IF($AP31="S",$H31/$AO31*(MIN($AO31,MAX(0,INT((Lists!E$21-N($J31))/7)+1))-MIN($AO31,MAX(0,INT((Lists!E$22-N($J31))/7)+1))),IF($AP31="D",$H31*MAX(0,MIN(Lists!E$21,N($J31)+$AO31)-MAX(Lists!E$22,N($J31)))/$AO31,IF($AP31="M",$H31/$AO31*(IF(Lists!E$21&lt;$J31,0,MIN($AO31,(((YEAR(Lists!E$21)-YEAR($J31))*12+MONTH(Lists!E$21)-MONTH($J31))-(EDATE($J31,((YEAR(Lists!E$21)-YEAR($J31))*12+MONTH(Lists!E$21)-MONTH($J31)))&gt;Lists!E$21)+1)))-IF(Lists!E$22&lt;$J31,0,MIN($AO31,(((YEAR(Lists!E$22)-YEAR($J31))*12+MONTH(Lists!E$22)-MONTH($J31))-(EDATE($J31,((YEAR(Lists!E$22)-YEAR($J31))*12+MONTH(Lists!E$22)-MONTH($J31)))&gt;Lists!E$22)+1)))),IF($AP31="F",IF(N($K31)&lt;=0,0,MIN(MAX(0,$H31),N($K31)*IF(Lists!E$21&lt;$J31,0,(((YEAR(Lists!E$21)-YEAR($J31))*12+MONTH(Lists!E$21)-MONTH($J31))-(EDATE($J31,((YEAR(Lists!E$21)-YEAR($J31))*12+MONTH(Lists!E$21)-MONTH($J31)))&gt;Lists!E$21)+1)))-MIN(MAX(0,$H31),N($K31)*IF(Lists!E$22&lt;$J31,0,(((YEAR(Lists!E$22)-YEAR($J31))*12+MONTH(Lists!E$22)-MONTH($J31))-(EDATE($J31,((YEAR(Lists!E$22)-YEAR($J31))*12+MONTH(Lists!E$22)-MONTH($J31)))&gt;Lists!E$22)+1)))),N($C31)*IF($AE31-$AD31&lt;1,($AD31&gt;Lists!E$22)*($AD31&lt;=Lists!E$21),MAX(0,MIN(Lists!E$21,$AE31)-MAX(Lists!E$22,$AD31))/($AE31-$AD31))+N($D31)*IF($AG31-$AF31&lt;1,($AF31&gt;Lists!E$22)*($AF31&lt;=Lists!E$21),MAX(0,MIN(Lists!E$21,$AG31)-MAX(Lists!E$22,$AF31))/($AG31-$AF31))+N($E31)*IF($AI31-$AH31&lt;1,($AH31&gt;Lists!E$22)*($AH31&lt;=Lists!E$21),MAX(0,MIN(Lists!E$21,$AI31)-MAX(Lists!E$22,$AH31))/($AI31-$AH31))+N($F31)*IF($AK31-$AJ31&lt;1,($AJ31&gt;Lists!E$22)*($AJ31&lt;=Lists!E$21),MAX(0,MIN(Lists!E$21,$AK31)-MAX(Lists!E$22,$AJ31))/($AK31-$AJ31))+N($G31)*IF($AM31-$AL31&lt;1,($AL31&gt;Lists!E$22)*($AL31&lt;=Lists!E$21),MAX(0,MIN(Lists!E$21,$AM31)-MAX(Lists!E$22,$AL31))/($AM31-$AL31))))))))</f>
        <v>0</v>
      </c>
      <c r="P31" s="53" t="n">
        <f aca="false">IF($H31=0,0,IF($AP31="X",0,IF($AP31="S",$H31/$AO31*(MIN($AO31,MAX(0,INT((Lists!F$21-N($J31))/7)+1))-MIN($AO31,MAX(0,INT((Lists!F$22-N($J31))/7)+1))),IF($AP31="D",$H31*MAX(0,MIN(Lists!F$21,N($J31)+$AO31)-MAX(Lists!F$22,N($J31)))/$AO31,IF($AP31="M",$H31/$AO31*(IF(Lists!F$21&lt;$J31,0,MIN($AO31,(((YEAR(Lists!F$21)-YEAR($J31))*12+MONTH(Lists!F$21)-MONTH($J31))-(EDATE($J31,((YEAR(Lists!F$21)-YEAR($J31))*12+MONTH(Lists!F$21)-MONTH($J31)))&gt;Lists!F$21)+1)))-IF(Lists!F$22&lt;$J31,0,MIN($AO31,(((YEAR(Lists!F$22)-YEAR($J31))*12+MONTH(Lists!F$22)-MONTH($J31))-(EDATE($J31,((YEAR(Lists!F$22)-YEAR($J31))*12+MONTH(Lists!F$22)-MONTH($J31)))&gt;Lists!F$22)+1)))),IF($AP31="F",IF(N($K31)&lt;=0,0,MIN(MAX(0,$H31),N($K31)*IF(Lists!F$21&lt;$J31,0,(((YEAR(Lists!F$21)-YEAR($J31))*12+MONTH(Lists!F$21)-MONTH($J31))-(EDATE($J31,((YEAR(Lists!F$21)-YEAR($J31))*12+MONTH(Lists!F$21)-MONTH($J31)))&gt;Lists!F$21)+1)))-MIN(MAX(0,$H31),N($K31)*IF(Lists!F$22&lt;$J31,0,(((YEAR(Lists!F$22)-YEAR($J31))*12+MONTH(Lists!F$22)-MONTH($J31))-(EDATE($J31,((YEAR(Lists!F$22)-YEAR($J31))*12+MONTH(Lists!F$22)-MONTH($J31)))&gt;Lists!F$22)+1)))),N($C31)*IF($AE31-$AD31&lt;1,($AD31&gt;Lists!F$22)*($AD31&lt;=Lists!F$21),MAX(0,MIN(Lists!F$21,$AE31)-MAX(Lists!F$22,$AD31))/($AE31-$AD31))+N($D31)*IF($AG31-$AF31&lt;1,($AF31&gt;Lists!F$22)*($AF31&lt;=Lists!F$21),MAX(0,MIN(Lists!F$21,$AG31)-MAX(Lists!F$22,$AF31))/($AG31-$AF31))+N($E31)*IF($AI31-$AH31&lt;1,($AH31&gt;Lists!F$22)*($AH31&lt;=Lists!F$21),MAX(0,MIN(Lists!F$21,$AI31)-MAX(Lists!F$22,$AH31))/($AI31-$AH31))+N($F31)*IF($AK31-$AJ31&lt;1,($AJ31&gt;Lists!F$22)*($AJ31&lt;=Lists!F$21),MAX(0,MIN(Lists!F$21,$AK31)-MAX(Lists!F$22,$AJ31))/($AK31-$AJ31))+N($G31)*IF($AM31-$AL31&lt;1,($AL31&gt;Lists!F$22)*($AL31&lt;=Lists!F$21),MAX(0,MIN(Lists!F$21,$AM31)-MAX(Lists!F$22,$AL31))/($AM31-$AL31))))))))</f>
        <v>0</v>
      </c>
      <c r="Q31" s="53" t="n">
        <f aca="false">IF($H31=0,0,IF($AP31="X",0,IF($AP31="S",$H31/$AO31*(MIN($AO31,MAX(0,INT((Lists!G$21-N($J31))/7)+1))-MIN($AO31,MAX(0,INT((Lists!G$22-N($J31))/7)+1))),IF($AP31="D",$H31*MAX(0,MIN(Lists!G$21,N($J31)+$AO31)-MAX(Lists!G$22,N($J31)))/$AO31,IF($AP31="M",$H31/$AO31*(IF(Lists!G$21&lt;$J31,0,MIN($AO31,(((YEAR(Lists!G$21)-YEAR($J31))*12+MONTH(Lists!G$21)-MONTH($J31))-(EDATE($J31,((YEAR(Lists!G$21)-YEAR($J31))*12+MONTH(Lists!G$21)-MONTH($J31)))&gt;Lists!G$21)+1)))-IF(Lists!G$22&lt;$J31,0,MIN($AO31,(((YEAR(Lists!G$22)-YEAR($J31))*12+MONTH(Lists!G$22)-MONTH($J31))-(EDATE($J31,((YEAR(Lists!G$22)-YEAR($J31))*12+MONTH(Lists!G$22)-MONTH($J31)))&gt;Lists!G$22)+1)))),IF($AP31="F",IF(N($K31)&lt;=0,0,MIN(MAX(0,$H31),N($K31)*IF(Lists!G$21&lt;$J31,0,(((YEAR(Lists!G$21)-YEAR($J31))*12+MONTH(Lists!G$21)-MONTH($J31))-(EDATE($J31,((YEAR(Lists!G$21)-YEAR($J31))*12+MONTH(Lists!G$21)-MONTH($J31)))&gt;Lists!G$21)+1)))-MIN(MAX(0,$H31),N($K31)*IF(Lists!G$22&lt;$J31,0,(((YEAR(Lists!G$22)-YEAR($J31))*12+MONTH(Lists!G$22)-MONTH($J31))-(EDATE($J31,((YEAR(Lists!G$22)-YEAR($J31))*12+MONTH(Lists!G$22)-MONTH($J31)))&gt;Lists!G$22)+1)))),N($C31)*IF($AE31-$AD31&lt;1,($AD31&gt;Lists!G$22)*($AD31&lt;=Lists!G$21),MAX(0,MIN(Lists!G$21,$AE31)-MAX(Lists!G$22,$AD31))/($AE31-$AD31))+N($D31)*IF($AG31-$AF31&lt;1,($AF31&gt;Lists!G$22)*($AF31&lt;=Lists!G$21),MAX(0,MIN(Lists!G$21,$AG31)-MAX(Lists!G$22,$AF31))/($AG31-$AF31))+N($E31)*IF($AI31-$AH31&lt;1,($AH31&gt;Lists!G$22)*($AH31&lt;=Lists!G$21),MAX(0,MIN(Lists!G$21,$AI31)-MAX(Lists!G$22,$AH31))/($AI31-$AH31))+N($F31)*IF($AK31-$AJ31&lt;1,($AJ31&gt;Lists!G$22)*($AJ31&lt;=Lists!G$21),MAX(0,MIN(Lists!G$21,$AK31)-MAX(Lists!G$22,$AJ31))/($AK31-$AJ31))+N($G31)*IF($AM31-$AL31&lt;1,($AL31&gt;Lists!G$22)*($AL31&lt;=Lists!G$21),MAX(0,MIN(Lists!G$21,$AM31)-MAX(Lists!G$22,$AL31))/($AM31-$AL31))))))))</f>
        <v>0</v>
      </c>
      <c r="R31" s="53" t="n">
        <f aca="false">IF($H31=0,0,IF($AP31="X",0,IF($AP31="S",$H31/$AO31*(MIN($AO31,MAX(0,INT((Lists!H$21-N($J31))/7)+1))-MIN($AO31,MAX(0,INT((Lists!H$22-N($J31))/7)+1))),IF($AP31="D",$H31*MAX(0,MIN(Lists!H$21,N($J31)+$AO31)-MAX(Lists!H$22,N($J31)))/$AO31,IF($AP31="M",$H31/$AO31*(IF(Lists!H$21&lt;$J31,0,MIN($AO31,(((YEAR(Lists!H$21)-YEAR($J31))*12+MONTH(Lists!H$21)-MONTH($J31))-(EDATE($J31,((YEAR(Lists!H$21)-YEAR($J31))*12+MONTH(Lists!H$21)-MONTH($J31)))&gt;Lists!H$21)+1)))-IF(Lists!H$22&lt;$J31,0,MIN($AO31,(((YEAR(Lists!H$22)-YEAR($J31))*12+MONTH(Lists!H$22)-MONTH($J31))-(EDATE($J31,((YEAR(Lists!H$22)-YEAR($J31))*12+MONTH(Lists!H$22)-MONTH($J31)))&gt;Lists!H$22)+1)))),IF($AP31="F",IF(N($K31)&lt;=0,0,MIN(MAX(0,$H31),N($K31)*IF(Lists!H$21&lt;$J31,0,(((YEAR(Lists!H$21)-YEAR($J31))*12+MONTH(Lists!H$21)-MONTH($J31))-(EDATE($J31,((YEAR(Lists!H$21)-YEAR($J31))*12+MONTH(Lists!H$21)-MONTH($J31)))&gt;Lists!H$21)+1)))-MIN(MAX(0,$H31),N($K31)*IF(Lists!H$22&lt;$J31,0,(((YEAR(Lists!H$22)-YEAR($J31))*12+MONTH(Lists!H$22)-MONTH($J31))-(EDATE($J31,((YEAR(Lists!H$22)-YEAR($J31))*12+MONTH(Lists!H$22)-MONTH($J31)))&gt;Lists!H$22)+1)))),N($C31)*IF($AE31-$AD31&lt;1,($AD31&gt;Lists!H$22)*($AD31&lt;=Lists!H$21),MAX(0,MIN(Lists!H$21,$AE31)-MAX(Lists!H$22,$AD31))/($AE31-$AD31))+N($D31)*IF($AG31-$AF31&lt;1,($AF31&gt;Lists!H$22)*($AF31&lt;=Lists!H$21),MAX(0,MIN(Lists!H$21,$AG31)-MAX(Lists!H$22,$AF31))/($AG31-$AF31))+N($E31)*IF($AI31-$AH31&lt;1,($AH31&gt;Lists!H$22)*($AH31&lt;=Lists!H$21),MAX(0,MIN(Lists!H$21,$AI31)-MAX(Lists!H$22,$AH31))/($AI31-$AH31))+N($F31)*IF($AK31-$AJ31&lt;1,($AJ31&gt;Lists!H$22)*($AJ31&lt;=Lists!H$21),MAX(0,MIN(Lists!H$21,$AK31)-MAX(Lists!H$22,$AJ31))/($AK31-$AJ31))+N($G31)*IF($AM31-$AL31&lt;1,($AL31&gt;Lists!H$22)*($AL31&lt;=Lists!H$21),MAX(0,MIN(Lists!H$21,$AM31)-MAX(Lists!H$22,$AL31))/($AM31-$AL31))))))))</f>
        <v>0</v>
      </c>
      <c r="S31" s="53" t="n">
        <f aca="false">IF($H31=0,0,IF($AP31="X",0,IF($AP31="S",$H31/$AO31*(MIN($AO31,MAX(0,INT((Lists!I$21-N($J31))/7)+1))-MIN($AO31,MAX(0,INT((Lists!I$22-N($J31))/7)+1))),IF($AP31="D",$H31*MAX(0,MIN(Lists!I$21,N($J31)+$AO31)-MAX(Lists!I$22,N($J31)))/$AO31,IF($AP31="M",$H31/$AO31*(IF(Lists!I$21&lt;$J31,0,MIN($AO31,(((YEAR(Lists!I$21)-YEAR($J31))*12+MONTH(Lists!I$21)-MONTH($J31))-(EDATE($J31,((YEAR(Lists!I$21)-YEAR($J31))*12+MONTH(Lists!I$21)-MONTH($J31)))&gt;Lists!I$21)+1)))-IF(Lists!I$22&lt;$J31,0,MIN($AO31,(((YEAR(Lists!I$22)-YEAR($J31))*12+MONTH(Lists!I$22)-MONTH($J31))-(EDATE($J31,((YEAR(Lists!I$22)-YEAR($J31))*12+MONTH(Lists!I$22)-MONTH($J31)))&gt;Lists!I$22)+1)))),IF($AP31="F",IF(N($K31)&lt;=0,0,MIN(MAX(0,$H31),N($K31)*IF(Lists!I$21&lt;$J31,0,(((YEAR(Lists!I$21)-YEAR($J31))*12+MONTH(Lists!I$21)-MONTH($J31))-(EDATE($J31,((YEAR(Lists!I$21)-YEAR($J31))*12+MONTH(Lists!I$21)-MONTH($J31)))&gt;Lists!I$21)+1)))-MIN(MAX(0,$H31),N($K31)*IF(Lists!I$22&lt;$J31,0,(((YEAR(Lists!I$22)-YEAR($J31))*12+MONTH(Lists!I$22)-MONTH($J31))-(EDATE($J31,((YEAR(Lists!I$22)-YEAR($J31))*12+MONTH(Lists!I$22)-MONTH($J31)))&gt;Lists!I$22)+1)))),N($C31)*IF($AE31-$AD31&lt;1,($AD31&gt;Lists!I$22)*($AD31&lt;=Lists!I$21),MAX(0,MIN(Lists!I$21,$AE31)-MAX(Lists!I$22,$AD31))/($AE31-$AD31))+N($D31)*IF($AG31-$AF31&lt;1,($AF31&gt;Lists!I$22)*($AF31&lt;=Lists!I$21),MAX(0,MIN(Lists!I$21,$AG31)-MAX(Lists!I$22,$AF31))/($AG31-$AF31))+N($E31)*IF($AI31-$AH31&lt;1,($AH31&gt;Lists!I$22)*($AH31&lt;=Lists!I$21),MAX(0,MIN(Lists!I$21,$AI31)-MAX(Lists!I$22,$AH31))/($AI31-$AH31))+N($F31)*IF($AK31-$AJ31&lt;1,($AJ31&gt;Lists!I$22)*($AJ31&lt;=Lists!I$21),MAX(0,MIN(Lists!I$21,$AK31)-MAX(Lists!I$22,$AJ31))/($AK31-$AJ31))+N($G31)*IF($AM31-$AL31&lt;1,($AL31&gt;Lists!I$22)*($AL31&lt;=Lists!I$21),MAX(0,MIN(Lists!I$21,$AM31)-MAX(Lists!I$22,$AL31))/($AM31-$AL31))))))))</f>
        <v>0</v>
      </c>
      <c r="T31" s="53" t="n">
        <f aca="false">IF($H31=0,0,IF($AP31="X",0,IF($AP31="S",$H31/$AO31*(MIN($AO31,MAX(0,INT((Lists!J$21-N($J31))/7)+1))-MIN($AO31,MAX(0,INT((Lists!J$22-N($J31))/7)+1))),IF($AP31="D",$H31*MAX(0,MIN(Lists!J$21,N($J31)+$AO31)-MAX(Lists!J$22,N($J31)))/$AO31,IF($AP31="M",$H31/$AO31*(IF(Lists!J$21&lt;$J31,0,MIN($AO31,(((YEAR(Lists!J$21)-YEAR($J31))*12+MONTH(Lists!J$21)-MONTH($J31))-(EDATE($J31,((YEAR(Lists!J$21)-YEAR($J31))*12+MONTH(Lists!J$21)-MONTH($J31)))&gt;Lists!J$21)+1)))-IF(Lists!J$22&lt;$J31,0,MIN($AO31,(((YEAR(Lists!J$22)-YEAR($J31))*12+MONTH(Lists!J$22)-MONTH($J31))-(EDATE($J31,((YEAR(Lists!J$22)-YEAR($J31))*12+MONTH(Lists!J$22)-MONTH($J31)))&gt;Lists!J$22)+1)))),IF($AP31="F",IF(N($K31)&lt;=0,0,MIN(MAX(0,$H31),N($K31)*IF(Lists!J$21&lt;$J31,0,(((YEAR(Lists!J$21)-YEAR($J31))*12+MONTH(Lists!J$21)-MONTH($J31))-(EDATE($J31,((YEAR(Lists!J$21)-YEAR($J31))*12+MONTH(Lists!J$21)-MONTH($J31)))&gt;Lists!J$21)+1)))-MIN(MAX(0,$H31),N($K31)*IF(Lists!J$22&lt;$J31,0,(((YEAR(Lists!J$22)-YEAR($J31))*12+MONTH(Lists!J$22)-MONTH($J31))-(EDATE($J31,((YEAR(Lists!J$22)-YEAR($J31))*12+MONTH(Lists!J$22)-MONTH($J31)))&gt;Lists!J$22)+1)))),N($C31)*IF($AE31-$AD31&lt;1,($AD31&gt;Lists!J$22)*($AD31&lt;=Lists!J$21),MAX(0,MIN(Lists!J$21,$AE31)-MAX(Lists!J$22,$AD31))/($AE31-$AD31))+N($D31)*IF($AG31-$AF31&lt;1,($AF31&gt;Lists!J$22)*($AF31&lt;=Lists!J$21),MAX(0,MIN(Lists!J$21,$AG31)-MAX(Lists!J$22,$AF31))/($AG31-$AF31))+N($E31)*IF($AI31-$AH31&lt;1,($AH31&gt;Lists!J$22)*($AH31&lt;=Lists!J$21),MAX(0,MIN(Lists!J$21,$AI31)-MAX(Lists!J$22,$AH31))/($AI31-$AH31))+N($F31)*IF($AK31-$AJ31&lt;1,($AJ31&gt;Lists!J$22)*($AJ31&lt;=Lists!J$21),MAX(0,MIN(Lists!J$21,$AK31)-MAX(Lists!J$22,$AJ31))/($AK31-$AJ31))+N($G31)*IF($AM31-$AL31&lt;1,($AL31&gt;Lists!J$22)*($AL31&lt;=Lists!J$21),MAX(0,MIN(Lists!J$21,$AM31)-MAX(Lists!J$22,$AL31))/($AM31-$AL31))))))))</f>
        <v>0</v>
      </c>
      <c r="U31" s="53" t="n">
        <f aca="false">IF($H31=0,0,IF($AP31="X",0,IF($AP31="S",$H31/$AO31*(MIN($AO31,MAX(0,INT((Lists!K$21-N($J31))/7)+1))-MIN($AO31,MAX(0,INT((Lists!K$22-N($J31))/7)+1))),IF($AP31="D",$H31*MAX(0,MIN(Lists!K$21,N($J31)+$AO31)-MAX(Lists!K$22,N($J31)))/$AO31,IF($AP31="M",$H31/$AO31*(IF(Lists!K$21&lt;$J31,0,MIN($AO31,(((YEAR(Lists!K$21)-YEAR($J31))*12+MONTH(Lists!K$21)-MONTH($J31))-(EDATE($J31,((YEAR(Lists!K$21)-YEAR($J31))*12+MONTH(Lists!K$21)-MONTH($J31)))&gt;Lists!K$21)+1)))-IF(Lists!K$22&lt;$J31,0,MIN($AO31,(((YEAR(Lists!K$22)-YEAR($J31))*12+MONTH(Lists!K$22)-MONTH($J31))-(EDATE($J31,((YEAR(Lists!K$22)-YEAR($J31))*12+MONTH(Lists!K$22)-MONTH($J31)))&gt;Lists!K$22)+1)))),IF($AP31="F",IF(N($K31)&lt;=0,0,MIN(MAX(0,$H31),N($K31)*IF(Lists!K$21&lt;$J31,0,(((YEAR(Lists!K$21)-YEAR($J31))*12+MONTH(Lists!K$21)-MONTH($J31))-(EDATE($J31,((YEAR(Lists!K$21)-YEAR($J31))*12+MONTH(Lists!K$21)-MONTH($J31)))&gt;Lists!K$21)+1)))-MIN(MAX(0,$H31),N($K31)*IF(Lists!K$22&lt;$J31,0,(((YEAR(Lists!K$22)-YEAR($J31))*12+MONTH(Lists!K$22)-MONTH($J31))-(EDATE($J31,((YEAR(Lists!K$22)-YEAR($J31))*12+MONTH(Lists!K$22)-MONTH($J31)))&gt;Lists!K$22)+1)))),N($C31)*IF($AE31-$AD31&lt;1,($AD31&gt;Lists!K$22)*($AD31&lt;=Lists!K$21),MAX(0,MIN(Lists!K$21,$AE31)-MAX(Lists!K$22,$AD31))/($AE31-$AD31))+N($D31)*IF($AG31-$AF31&lt;1,($AF31&gt;Lists!K$22)*($AF31&lt;=Lists!K$21),MAX(0,MIN(Lists!K$21,$AG31)-MAX(Lists!K$22,$AF31))/($AG31-$AF31))+N($E31)*IF($AI31-$AH31&lt;1,($AH31&gt;Lists!K$22)*($AH31&lt;=Lists!K$21),MAX(0,MIN(Lists!K$21,$AI31)-MAX(Lists!K$22,$AH31))/($AI31-$AH31))+N($F31)*IF($AK31-$AJ31&lt;1,($AJ31&gt;Lists!K$22)*($AJ31&lt;=Lists!K$21),MAX(0,MIN(Lists!K$21,$AK31)-MAX(Lists!K$22,$AJ31))/($AK31-$AJ31))+N($G31)*IF($AM31-$AL31&lt;1,($AL31&gt;Lists!K$22)*($AL31&lt;=Lists!K$21),MAX(0,MIN(Lists!K$21,$AM31)-MAX(Lists!K$22,$AL31))/($AM31-$AL31))))))))</f>
        <v>0</v>
      </c>
      <c r="V31" s="53" t="n">
        <f aca="false">IF($H31=0,0,IF($AP31="X",0,IF($AP31="S",$H31/$AO31*(MIN($AO31,MAX(0,INT((Lists!L$21-N($J31))/7)+1))-MIN($AO31,MAX(0,INT((Lists!L$22-N($J31))/7)+1))),IF($AP31="D",$H31*MAX(0,MIN(Lists!L$21,N($J31)+$AO31)-MAX(Lists!L$22,N($J31)))/$AO31,IF($AP31="M",$H31/$AO31*(IF(Lists!L$21&lt;$J31,0,MIN($AO31,(((YEAR(Lists!L$21)-YEAR($J31))*12+MONTH(Lists!L$21)-MONTH($J31))-(EDATE($J31,((YEAR(Lists!L$21)-YEAR($J31))*12+MONTH(Lists!L$21)-MONTH($J31)))&gt;Lists!L$21)+1)))-IF(Lists!L$22&lt;$J31,0,MIN($AO31,(((YEAR(Lists!L$22)-YEAR($J31))*12+MONTH(Lists!L$22)-MONTH($J31))-(EDATE($J31,((YEAR(Lists!L$22)-YEAR($J31))*12+MONTH(Lists!L$22)-MONTH($J31)))&gt;Lists!L$22)+1)))),IF($AP31="F",IF(N($K31)&lt;=0,0,MIN(MAX(0,$H31),N($K31)*IF(Lists!L$21&lt;$J31,0,(((YEAR(Lists!L$21)-YEAR($J31))*12+MONTH(Lists!L$21)-MONTH($J31))-(EDATE($J31,((YEAR(Lists!L$21)-YEAR($J31))*12+MONTH(Lists!L$21)-MONTH($J31)))&gt;Lists!L$21)+1)))-MIN(MAX(0,$H31),N($K31)*IF(Lists!L$22&lt;$J31,0,(((YEAR(Lists!L$22)-YEAR($J31))*12+MONTH(Lists!L$22)-MONTH($J31))-(EDATE($J31,((YEAR(Lists!L$22)-YEAR($J31))*12+MONTH(Lists!L$22)-MONTH($J31)))&gt;Lists!L$22)+1)))),N($C31)*IF($AE31-$AD31&lt;1,($AD31&gt;Lists!L$22)*($AD31&lt;=Lists!L$21),MAX(0,MIN(Lists!L$21,$AE31)-MAX(Lists!L$22,$AD31))/($AE31-$AD31))+N($D31)*IF($AG31-$AF31&lt;1,($AF31&gt;Lists!L$22)*($AF31&lt;=Lists!L$21),MAX(0,MIN(Lists!L$21,$AG31)-MAX(Lists!L$22,$AF31))/($AG31-$AF31))+N($E31)*IF($AI31-$AH31&lt;1,($AH31&gt;Lists!L$22)*($AH31&lt;=Lists!L$21),MAX(0,MIN(Lists!L$21,$AI31)-MAX(Lists!L$22,$AH31))/($AI31-$AH31))+N($F31)*IF($AK31-$AJ31&lt;1,($AJ31&gt;Lists!L$22)*($AJ31&lt;=Lists!L$21),MAX(0,MIN(Lists!L$21,$AK31)-MAX(Lists!L$22,$AJ31))/($AK31-$AJ31))+N($G31)*IF($AM31-$AL31&lt;1,($AL31&gt;Lists!L$22)*($AL31&lt;=Lists!L$21),MAX(0,MIN(Lists!L$21,$AM31)-MAX(Lists!L$22,$AL31))/($AM31-$AL31))))))))</f>
        <v>0</v>
      </c>
      <c r="W31" s="53" t="n">
        <f aca="false">IF($H31=0,0,IF($AP31="X",0,IF($AP31="S",$H31/$AO31*(MIN($AO31,MAX(0,INT((Lists!M$21-N($J31))/7)+1))-MIN($AO31,MAX(0,INT((Lists!M$22-N($J31))/7)+1))),IF($AP31="D",$H31*MAX(0,MIN(Lists!M$21,N($J31)+$AO31)-MAX(Lists!M$22,N($J31)))/$AO31,IF($AP31="M",$H31/$AO31*(IF(Lists!M$21&lt;$J31,0,MIN($AO31,(((YEAR(Lists!M$21)-YEAR($J31))*12+MONTH(Lists!M$21)-MONTH($J31))-(EDATE($J31,((YEAR(Lists!M$21)-YEAR($J31))*12+MONTH(Lists!M$21)-MONTH($J31)))&gt;Lists!M$21)+1)))-IF(Lists!M$22&lt;$J31,0,MIN($AO31,(((YEAR(Lists!M$22)-YEAR($J31))*12+MONTH(Lists!M$22)-MONTH($J31))-(EDATE($J31,((YEAR(Lists!M$22)-YEAR($J31))*12+MONTH(Lists!M$22)-MONTH($J31)))&gt;Lists!M$22)+1)))),IF($AP31="F",IF(N($K31)&lt;=0,0,MIN(MAX(0,$H31),N($K31)*IF(Lists!M$21&lt;$J31,0,(((YEAR(Lists!M$21)-YEAR($J31))*12+MONTH(Lists!M$21)-MONTH($J31))-(EDATE($J31,((YEAR(Lists!M$21)-YEAR($J31))*12+MONTH(Lists!M$21)-MONTH($J31)))&gt;Lists!M$21)+1)))-MIN(MAX(0,$H31),N($K31)*IF(Lists!M$22&lt;$J31,0,(((YEAR(Lists!M$22)-YEAR($J31))*12+MONTH(Lists!M$22)-MONTH($J31))-(EDATE($J31,((YEAR(Lists!M$22)-YEAR($J31))*12+MONTH(Lists!M$22)-MONTH($J31)))&gt;Lists!M$22)+1)))),N($C31)*IF($AE31-$AD31&lt;1,($AD31&gt;Lists!M$22)*($AD31&lt;=Lists!M$21),MAX(0,MIN(Lists!M$21,$AE31)-MAX(Lists!M$22,$AD31))/($AE31-$AD31))+N($D31)*IF($AG31-$AF31&lt;1,($AF31&gt;Lists!M$22)*($AF31&lt;=Lists!M$21),MAX(0,MIN(Lists!M$21,$AG31)-MAX(Lists!M$22,$AF31))/($AG31-$AF31))+N($E31)*IF($AI31-$AH31&lt;1,($AH31&gt;Lists!M$22)*($AH31&lt;=Lists!M$21),MAX(0,MIN(Lists!M$21,$AI31)-MAX(Lists!M$22,$AH31))/($AI31-$AH31))+N($F31)*IF($AK31-$AJ31&lt;1,($AJ31&gt;Lists!M$22)*($AJ31&lt;=Lists!M$21),MAX(0,MIN(Lists!M$21,$AK31)-MAX(Lists!M$22,$AJ31))/($AK31-$AJ31))+N($G31)*IF($AM31-$AL31&lt;1,($AL31&gt;Lists!M$22)*($AL31&lt;=Lists!M$21),MAX(0,MIN(Lists!M$21,$AM31)-MAX(Lists!M$22,$AL31))/($AM31-$AL31))))))))</f>
        <v>0</v>
      </c>
      <c r="X31" s="53" t="n">
        <f aca="false">IF($H31=0,0,IF($AP31="X",0,IF($AP31="S",$H31/$AO31*(MIN($AO31,MAX(0,INT((Lists!N$21-N($J31))/7)+1))-MIN($AO31,MAX(0,INT((Lists!N$22-N($J31))/7)+1))),IF($AP31="D",$H31*MAX(0,MIN(Lists!N$21,N($J31)+$AO31)-MAX(Lists!N$22,N($J31)))/$AO31,IF($AP31="M",$H31/$AO31*(IF(Lists!N$21&lt;$J31,0,MIN($AO31,(((YEAR(Lists!N$21)-YEAR($J31))*12+MONTH(Lists!N$21)-MONTH($J31))-(EDATE($J31,((YEAR(Lists!N$21)-YEAR($J31))*12+MONTH(Lists!N$21)-MONTH($J31)))&gt;Lists!N$21)+1)))-IF(Lists!N$22&lt;$J31,0,MIN($AO31,(((YEAR(Lists!N$22)-YEAR($J31))*12+MONTH(Lists!N$22)-MONTH($J31))-(EDATE($J31,((YEAR(Lists!N$22)-YEAR($J31))*12+MONTH(Lists!N$22)-MONTH($J31)))&gt;Lists!N$22)+1)))),IF($AP31="F",IF(N($K31)&lt;=0,0,MIN(MAX(0,$H31),N($K31)*IF(Lists!N$21&lt;$J31,0,(((YEAR(Lists!N$21)-YEAR($J31))*12+MONTH(Lists!N$21)-MONTH($J31))-(EDATE($J31,((YEAR(Lists!N$21)-YEAR($J31))*12+MONTH(Lists!N$21)-MONTH($J31)))&gt;Lists!N$21)+1)))-MIN(MAX(0,$H31),N($K31)*IF(Lists!N$22&lt;$J31,0,(((YEAR(Lists!N$22)-YEAR($J31))*12+MONTH(Lists!N$22)-MONTH($J31))-(EDATE($J31,((YEAR(Lists!N$22)-YEAR($J31))*12+MONTH(Lists!N$22)-MONTH($J31)))&gt;Lists!N$22)+1)))),N($C31)*IF($AE31-$AD31&lt;1,($AD31&gt;Lists!N$22)*($AD31&lt;=Lists!N$21),MAX(0,MIN(Lists!N$21,$AE31)-MAX(Lists!N$22,$AD31))/($AE31-$AD31))+N($D31)*IF($AG31-$AF31&lt;1,($AF31&gt;Lists!N$22)*($AF31&lt;=Lists!N$21),MAX(0,MIN(Lists!N$21,$AG31)-MAX(Lists!N$22,$AF31))/($AG31-$AF31))+N($E31)*IF($AI31-$AH31&lt;1,($AH31&gt;Lists!N$22)*($AH31&lt;=Lists!N$21),MAX(0,MIN(Lists!N$21,$AI31)-MAX(Lists!N$22,$AH31))/($AI31-$AH31))+N($F31)*IF($AK31-$AJ31&lt;1,($AJ31&gt;Lists!N$22)*($AJ31&lt;=Lists!N$21),MAX(0,MIN(Lists!N$21,$AK31)-MAX(Lists!N$22,$AJ31))/($AK31-$AJ31))+N($G31)*IF($AM31-$AL31&lt;1,($AL31&gt;Lists!N$22)*($AL31&lt;=Lists!N$21),MAX(0,MIN(Lists!N$21,$AM31)-MAX(Lists!N$22,$AL31))/($AM31-$AL31))))))))</f>
        <v>0</v>
      </c>
      <c r="Y31" s="53" t="n">
        <f aca="false">IF($H31=0,0,IF($AP31="X",0,IF($AP31="S",$H31/$AO31*(MIN($AO31,MAX(0,INT((Lists!O$21-N($J31))/7)+1))-MIN($AO31,MAX(0,INT((Lists!O$22-N($J31))/7)+1))),IF($AP31="D",$H31*MAX(0,MIN(Lists!O$21,N($J31)+$AO31)-MAX(Lists!O$22,N($J31)))/$AO31,IF($AP31="M",$H31/$AO31*(IF(Lists!O$21&lt;$J31,0,MIN($AO31,(((YEAR(Lists!O$21)-YEAR($J31))*12+MONTH(Lists!O$21)-MONTH($J31))-(EDATE($J31,((YEAR(Lists!O$21)-YEAR($J31))*12+MONTH(Lists!O$21)-MONTH($J31)))&gt;Lists!O$21)+1)))-IF(Lists!O$22&lt;$J31,0,MIN($AO31,(((YEAR(Lists!O$22)-YEAR($J31))*12+MONTH(Lists!O$22)-MONTH($J31))-(EDATE($J31,((YEAR(Lists!O$22)-YEAR($J31))*12+MONTH(Lists!O$22)-MONTH($J31)))&gt;Lists!O$22)+1)))),IF($AP31="F",IF(N($K31)&lt;=0,0,MIN(MAX(0,$H31),N($K31)*IF(Lists!O$21&lt;$J31,0,(((YEAR(Lists!O$21)-YEAR($J31))*12+MONTH(Lists!O$21)-MONTH($J31))-(EDATE($J31,((YEAR(Lists!O$21)-YEAR($J31))*12+MONTH(Lists!O$21)-MONTH($J31)))&gt;Lists!O$21)+1)))-MIN(MAX(0,$H31),N($K31)*IF(Lists!O$22&lt;$J31,0,(((YEAR(Lists!O$22)-YEAR($J31))*12+MONTH(Lists!O$22)-MONTH($J31))-(EDATE($J31,((YEAR(Lists!O$22)-YEAR($J31))*12+MONTH(Lists!O$22)-MONTH($J31)))&gt;Lists!O$22)+1)))),N($C31)*IF($AE31-$AD31&lt;1,($AD31&gt;Lists!O$22)*($AD31&lt;=Lists!O$21),MAX(0,MIN(Lists!O$21,$AE31)-MAX(Lists!O$22,$AD31))/($AE31-$AD31))+N($D31)*IF($AG31-$AF31&lt;1,($AF31&gt;Lists!O$22)*($AF31&lt;=Lists!O$21),MAX(0,MIN(Lists!O$21,$AG31)-MAX(Lists!O$22,$AF31))/($AG31-$AF31))+N($E31)*IF($AI31-$AH31&lt;1,($AH31&gt;Lists!O$22)*($AH31&lt;=Lists!O$21),MAX(0,MIN(Lists!O$21,$AI31)-MAX(Lists!O$22,$AH31))/($AI31-$AH31))+N($F31)*IF($AK31-$AJ31&lt;1,($AJ31&gt;Lists!O$22)*($AJ31&lt;=Lists!O$21),MAX(0,MIN(Lists!O$21,$AK31)-MAX(Lists!O$22,$AJ31))/($AK31-$AJ31))+N($G31)*IF($AM31-$AL31&lt;1,($AL31&gt;Lists!O$22)*($AL31&lt;=Lists!O$21),MAX(0,MIN(Lists!O$21,$AM31)-MAX(Lists!O$22,$AL31))/($AM31-$AL31))))))))</f>
        <v>0</v>
      </c>
      <c r="Z31" s="46" t="n">
        <f aca="false">SUM(M31:Y31)</f>
        <v>0</v>
      </c>
      <c r="AA31" s="92" t="n">
        <f aca="false">H31-Z31</f>
        <v>0</v>
      </c>
      <c r="AB31" s="55"/>
      <c r="AC31" s="2"/>
      <c r="AD31" s="93" t="n">
        <f aca="false">Setup!$D$10+MAX(0,$AN31-30)</f>
        <v>46365</v>
      </c>
      <c r="AE31" s="93" t="n">
        <f aca="false">Setup!$D$10+IF($AN31-30&lt;0,MAX(Setup!$D$22,$AN31-0),$AN31-0)</f>
        <v>46395</v>
      </c>
      <c r="AF31" s="93" t="n">
        <f aca="false">Setup!$D$10+MAX(0,$AN31-60)</f>
        <v>46335</v>
      </c>
      <c r="AG31" s="93" t="n">
        <f aca="false">Setup!$D$10+IF($AN31-60&lt;0,MAX(Setup!$D$22,$AN31-31),$AN31-31)</f>
        <v>46364</v>
      </c>
      <c r="AH31" s="93" t="n">
        <f aca="false">Setup!$D$10+MAX(0,$AN31-90)</f>
        <v>46335</v>
      </c>
      <c r="AI31" s="93" t="n">
        <f aca="false">Setup!$D$10+IF($AN31-90&lt;0,MAX(Setup!$D$22,$AN31-61),$AN31-61)</f>
        <v>46363</v>
      </c>
      <c r="AJ31" s="93" t="n">
        <f aca="false">Setup!$D$10+MAX(0,$AN31-120)</f>
        <v>46335</v>
      </c>
      <c r="AK31" s="93" t="n">
        <f aca="false">Setup!$D$10+IF($AN31-120&lt;0,MAX(Setup!$D$22,$AN31-91),$AN31-91)</f>
        <v>46363</v>
      </c>
      <c r="AL31" s="93" t="n">
        <f aca="false">IF(Setup!$D$23="Yes",2958465,Setup!$D$10)</f>
        <v>2958465</v>
      </c>
      <c r="AM31" s="93" t="n">
        <f aca="false">IF(AL31=2958465,AL31,Setup!$D$10+Setup!$D$22)</f>
        <v>2958465</v>
      </c>
      <c r="AN31" s="94" t="n">
        <f aca="false">IF(N(L31)=0,Setup!$D$20,L31)</f>
        <v>60</v>
      </c>
      <c r="AO31" s="94" t="n">
        <f aca="false">MAX(1,ROUND(N(K31),0))</f>
        <v>1</v>
      </c>
      <c r="AP31" s="95" t="str">
        <f aca="false">IF(I31="Doubtful","X",IF(N(J31)=0,"A",IF(I31="Specific date","S",IF(I31="Spread over days","D",IF(I31="Monthly on set day","M",IF(I31="Monthly fixed amount","F","A"))))))</f>
        <v>A</v>
      </c>
    </row>
    <row r="32" customFormat="false" ht="15" hidden="false" customHeight="false" outlineLevel="0" collapsed="false">
      <c r="A32" s="87" t="n">
        <v>24</v>
      </c>
      <c r="B32" s="55"/>
      <c r="C32" s="88"/>
      <c r="D32" s="88"/>
      <c r="E32" s="88"/>
      <c r="F32" s="88"/>
      <c r="G32" s="88"/>
      <c r="H32" s="89" t="n">
        <f aca="false">SUM(C32:G32)</f>
        <v>0</v>
      </c>
      <c r="I32" s="58"/>
      <c r="J32" s="90"/>
      <c r="K32" s="91"/>
      <c r="L32" s="80"/>
      <c r="M32" s="53" t="n">
        <f aca="false">IF($H32=0,0,IF($AP32="X",0,IF($AP32="S",$H32/$AO32*(MIN($AO32,MAX(0,INT((Lists!C$21-N($J32))/7)+1))-MIN($AO32,MAX(0,INT((Lists!C$22-N($J32))/7)+1))),IF($AP32="D",$H32*MAX(0,MIN(Lists!C$21,N($J32)+$AO32)-MAX(Lists!C$22,N($J32)))/$AO32,IF($AP32="M",$H32/$AO32*(IF(Lists!C$21&lt;$J32,0,MIN($AO32,(((YEAR(Lists!C$21)-YEAR($J32))*12+MONTH(Lists!C$21)-MONTH($J32))-(EDATE($J32,((YEAR(Lists!C$21)-YEAR($J32))*12+MONTH(Lists!C$21)-MONTH($J32)))&gt;Lists!C$21)+1)))-IF(Lists!C$22&lt;$J32,0,MIN($AO32,(((YEAR(Lists!C$22)-YEAR($J32))*12+MONTH(Lists!C$22)-MONTH($J32))-(EDATE($J32,((YEAR(Lists!C$22)-YEAR($J32))*12+MONTH(Lists!C$22)-MONTH($J32)))&gt;Lists!C$22)+1)))),IF($AP32="F",IF(N($K32)&lt;=0,0,MIN(MAX(0,$H32),N($K32)*IF(Lists!C$21&lt;$J32,0,(((YEAR(Lists!C$21)-YEAR($J32))*12+MONTH(Lists!C$21)-MONTH($J32))-(EDATE($J32,((YEAR(Lists!C$21)-YEAR($J32))*12+MONTH(Lists!C$21)-MONTH($J32)))&gt;Lists!C$21)+1)))-MIN(MAX(0,$H32),N($K32)*IF(Lists!C$22&lt;$J32,0,(((YEAR(Lists!C$22)-YEAR($J32))*12+MONTH(Lists!C$22)-MONTH($J32))-(EDATE($J32,((YEAR(Lists!C$22)-YEAR($J32))*12+MONTH(Lists!C$22)-MONTH($J32)))&gt;Lists!C$22)+1)))),N($C32)*IF($AE32-$AD32&lt;1,($AD32&gt;Lists!C$22)*($AD32&lt;=Lists!C$21),MAX(0,MIN(Lists!C$21,$AE32)-MAX(Lists!C$22,$AD32))/($AE32-$AD32))+N($D32)*IF($AG32-$AF32&lt;1,($AF32&gt;Lists!C$22)*($AF32&lt;=Lists!C$21),MAX(0,MIN(Lists!C$21,$AG32)-MAX(Lists!C$22,$AF32))/($AG32-$AF32))+N($E32)*IF($AI32-$AH32&lt;1,($AH32&gt;Lists!C$22)*($AH32&lt;=Lists!C$21),MAX(0,MIN(Lists!C$21,$AI32)-MAX(Lists!C$22,$AH32))/($AI32-$AH32))+N($F32)*IF($AK32-$AJ32&lt;1,($AJ32&gt;Lists!C$22)*($AJ32&lt;=Lists!C$21),MAX(0,MIN(Lists!C$21,$AK32)-MAX(Lists!C$22,$AJ32))/($AK32-$AJ32))+N($G32)*IF($AM32-$AL32&lt;1,($AL32&gt;Lists!C$22)*($AL32&lt;=Lists!C$21),MAX(0,MIN(Lists!C$21,$AM32)-MAX(Lists!C$22,$AL32))/($AM32-$AL32))))))))</f>
        <v>0</v>
      </c>
      <c r="N32" s="53" t="n">
        <f aca="false">IF($H32=0,0,IF($AP32="X",0,IF($AP32="S",$H32/$AO32*(MIN($AO32,MAX(0,INT((Lists!D$21-N($J32))/7)+1))-MIN($AO32,MAX(0,INT((Lists!D$22-N($J32))/7)+1))),IF($AP32="D",$H32*MAX(0,MIN(Lists!D$21,N($J32)+$AO32)-MAX(Lists!D$22,N($J32)))/$AO32,IF($AP32="M",$H32/$AO32*(IF(Lists!D$21&lt;$J32,0,MIN($AO32,(((YEAR(Lists!D$21)-YEAR($J32))*12+MONTH(Lists!D$21)-MONTH($J32))-(EDATE($J32,((YEAR(Lists!D$21)-YEAR($J32))*12+MONTH(Lists!D$21)-MONTH($J32)))&gt;Lists!D$21)+1)))-IF(Lists!D$22&lt;$J32,0,MIN($AO32,(((YEAR(Lists!D$22)-YEAR($J32))*12+MONTH(Lists!D$22)-MONTH($J32))-(EDATE($J32,((YEAR(Lists!D$22)-YEAR($J32))*12+MONTH(Lists!D$22)-MONTH($J32)))&gt;Lists!D$22)+1)))),IF($AP32="F",IF(N($K32)&lt;=0,0,MIN(MAX(0,$H32),N($K32)*IF(Lists!D$21&lt;$J32,0,(((YEAR(Lists!D$21)-YEAR($J32))*12+MONTH(Lists!D$21)-MONTH($J32))-(EDATE($J32,((YEAR(Lists!D$21)-YEAR($J32))*12+MONTH(Lists!D$21)-MONTH($J32)))&gt;Lists!D$21)+1)))-MIN(MAX(0,$H32),N($K32)*IF(Lists!D$22&lt;$J32,0,(((YEAR(Lists!D$22)-YEAR($J32))*12+MONTH(Lists!D$22)-MONTH($J32))-(EDATE($J32,((YEAR(Lists!D$22)-YEAR($J32))*12+MONTH(Lists!D$22)-MONTH($J32)))&gt;Lists!D$22)+1)))),N($C32)*IF($AE32-$AD32&lt;1,($AD32&gt;Lists!D$22)*($AD32&lt;=Lists!D$21),MAX(0,MIN(Lists!D$21,$AE32)-MAX(Lists!D$22,$AD32))/($AE32-$AD32))+N($D32)*IF($AG32-$AF32&lt;1,($AF32&gt;Lists!D$22)*($AF32&lt;=Lists!D$21),MAX(0,MIN(Lists!D$21,$AG32)-MAX(Lists!D$22,$AF32))/($AG32-$AF32))+N($E32)*IF($AI32-$AH32&lt;1,($AH32&gt;Lists!D$22)*($AH32&lt;=Lists!D$21),MAX(0,MIN(Lists!D$21,$AI32)-MAX(Lists!D$22,$AH32))/($AI32-$AH32))+N($F32)*IF($AK32-$AJ32&lt;1,($AJ32&gt;Lists!D$22)*($AJ32&lt;=Lists!D$21),MAX(0,MIN(Lists!D$21,$AK32)-MAX(Lists!D$22,$AJ32))/($AK32-$AJ32))+N($G32)*IF($AM32-$AL32&lt;1,($AL32&gt;Lists!D$22)*($AL32&lt;=Lists!D$21),MAX(0,MIN(Lists!D$21,$AM32)-MAX(Lists!D$22,$AL32))/($AM32-$AL32))))))))</f>
        <v>0</v>
      </c>
      <c r="O32" s="53" t="n">
        <f aca="false">IF($H32=0,0,IF($AP32="X",0,IF($AP32="S",$H32/$AO32*(MIN($AO32,MAX(0,INT((Lists!E$21-N($J32))/7)+1))-MIN($AO32,MAX(0,INT((Lists!E$22-N($J32))/7)+1))),IF($AP32="D",$H32*MAX(0,MIN(Lists!E$21,N($J32)+$AO32)-MAX(Lists!E$22,N($J32)))/$AO32,IF($AP32="M",$H32/$AO32*(IF(Lists!E$21&lt;$J32,0,MIN($AO32,(((YEAR(Lists!E$21)-YEAR($J32))*12+MONTH(Lists!E$21)-MONTH($J32))-(EDATE($J32,((YEAR(Lists!E$21)-YEAR($J32))*12+MONTH(Lists!E$21)-MONTH($J32)))&gt;Lists!E$21)+1)))-IF(Lists!E$22&lt;$J32,0,MIN($AO32,(((YEAR(Lists!E$22)-YEAR($J32))*12+MONTH(Lists!E$22)-MONTH($J32))-(EDATE($J32,((YEAR(Lists!E$22)-YEAR($J32))*12+MONTH(Lists!E$22)-MONTH($J32)))&gt;Lists!E$22)+1)))),IF($AP32="F",IF(N($K32)&lt;=0,0,MIN(MAX(0,$H32),N($K32)*IF(Lists!E$21&lt;$J32,0,(((YEAR(Lists!E$21)-YEAR($J32))*12+MONTH(Lists!E$21)-MONTH($J32))-(EDATE($J32,((YEAR(Lists!E$21)-YEAR($J32))*12+MONTH(Lists!E$21)-MONTH($J32)))&gt;Lists!E$21)+1)))-MIN(MAX(0,$H32),N($K32)*IF(Lists!E$22&lt;$J32,0,(((YEAR(Lists!E$22)-YEAR($J32))*12+MONTH(Lists!E$22)-MONTH($J32))-(EDATE($J32,((YEAR(Lists!E$22)-YEAR($J32))*12+MONTH(Lists!E$22)-MONTH($J32)))&gt;Lists!E$22)+1)))),N($C32)*IF($AE32-$AD32&lt;1,($AD32&gt;Lists!E$22)*($AD32&lt;=Lists!E$21),MAX(0,MIN(Lists!E$21,$AE32)-MAX(Lists!E$22,$AD32))/($AE32-$AD32))+N($D32)*IF($AG32-$AF32&lt;1,($AF32&gt;Lists!E$22)*($AF32&lt;=Lists!E$21),MAX(0,MIN(Lists!E$21,$AG32)-MAX(Lists!E$22,$AF32))/($AG32-$AF32))+N($E32)*IF($AI32-$AH32&lt;1,($AH32&gt;Lists!E$22)*($AH32&lt;=Lists!E$21),MAX(0,MIN(Lists!E$21,$AI32)-MAX(Lists!E$22,$AH32))/($AI32-$AH32))+N($F32)*IF($AK32-$AJ32&lt;1,($AJ32&gt;Lists!E$22)*($AJ32&lt;=Lists!E$21),MAX(0,MIN(Lists!E$21,$AK32)-MAX(Lists!E$22,$AJ32))/($AK32-$AJ32))+N($G32)*IF($AM32-$AL32&lt;1,($AL32&gt;Lists!E$22)*($AL32&lt;=Lists!E$21),MAX(0,MIN(Lists!E$21,$AM32)-MAX(Lists!E$22,$AL32))/($AM32-$AL32))))))))</f>
        <v>0</v>
      </c>
      <c r="P32" s="53" t="n">
        <f aca="false">IF($H32=0,0,IF($AP32="X",0,IF($AP32="S",$H32/$AO32*(MIN($AO32,MAX(0,INT((Lists!F$21-N($J32))/7)+1))-MIN($AO32,MAX(0,INT((Lists!F$22-N($J32))/7)+1))),IF($AP32="D",$H32*MAX(0,MIN(Lists!F$21,N($J32)+$AO32)-MAX(Lists!F$22,N($J32)))/$AO32,IF($AP32="M",$H32/$AO32*(IF(Lists!F$21&lt;$J32,0,MIN($AO32,(((YEAR(Lists!F$21)-YEAR($J32))*12+MONTH(Lists!F$21)-MONTH($J32))-(EDATE($J32,((YEAR(Lists!F$21)-YEAR($J32))*12+MONTH(Lists!F$21)-MONTH($J32)))&gt;Lists!F$21)+1)))-IF(Lists!F$22&lt;$J32,0,MIN($AO32,(((YEAR(Lists!F$22)-YEAR($J32))*12+MONTH(Lists!F$22)-MONTH($J32))-(EDATE($J32,((YEAR(Lists!F$22)-YEAR($J32))*12+MONTH(Lists!F$22)-MONTH($J32)))&gt;Lists!F$22)+1)))),IF($AP32="F",IF(N($K32)&lt;=0,0,MIN(MAX(0,$H32),N($K32)*IF(Lists!F$21&lt;$J32,0,(((YEAR(Lists!F$21)-YEAR($J32))*12+MONTH(Lists!F$21)-MONTH($J32))-(EDATE($J32,((YEAR(Lists!F$21)-YEAR($J32))*12+MONTH(Lists!F$21)-MONTH($J32)))&gt;Lists!F$21)+1)))-MIN(MAX(0,$H32),N($K32)*IF(Lists!F$22&lt;$J32,0,(((YEAR(Lists!F$22)-YEAR($J32))*12+MONTH(Lists!F$22)-MONTH($J32))-(EDATE($J32,((YEAR(Lists!F$22)-YEAR($J32))*12+MONTH(Lists!F$22)-MONTH($J32)))&gt;Lists!F$22)+1)))),N($C32)*IF($AE32-$AD32&lt;1,($AD32&gt;Lists!F$22)*($AD32&lt;=Lists!F$21),MAX(0,MIN(Lists!F$21,$AE32)-MAX(Lists!F$22,$AD32))/($AE32-$AD32))+N($D32)*IF($AG32-$AF32&lt;1,($AF32&gt;Lists!F$22)*($AF32&lt;=Lists!F$21),MAX(0,MIN(Lists!F$21,$AG32)-MAX(Lists!F$22,$AF32))/($AG32-$AF32))+N($E32)*IF($AI32-$AH32&lt;1,($AH32&gt;Lists!F$22)*($AH32&lt;=Lists!F$21),MAX(0,MIN(Lists!F$21,$AI32)-MAX(Lists!F$22,$AH32))/($AI32-$AH32))+N($F32)*IF($AK32-$AJ32&lt;1,($AJ32&gt;Lists!F$22)*($AJ32&lt;=Lists!F$21),MAX(0,MIN(Lists!F$21,$AK32)-MAX(Lists!F$22,$AJ32))/($AK32-$AJ32))+N($G32)*IF($AM32-$AL32&lt;1,($AL32&gt;Lists!F$22)*($AL32&lt;=Lists!F$21),MAX(0,MIN(Lists!F$21,$AM32)-MAX(Lists!F$22,$AL32))/($AM32-$AL32))))))))</f>
        <v>0</v>
      </c>
      <c r="Q32" s="53" t="n">
        <f aca="false">IF($H32=0,0,IF($AP32="X",0,IF($AP32="S",$H32/$AO32*(MIN($AO32,MAX(0,INT((Lists!G$21-N($J32))/7)+1))-MIN($AO32,MAX(0,INT((Lists!G$22-N($J32))/7)+1))),IF($AP32="D",$H32*MAX(0,MIN(Lists!G$21,N($J32)+$AO32)-MAX(Lists!G$22,N($J32)))/$AO32,IF($AP32="M",$H32/$AO32*(IF(Lists!G$21&lt;$J32,0,MIN($AO32,(((YEAR(Lists!G$21)-YEAR($J32))*12+MONTH(Lists!G$21)-MONTH($J32))-(EDATE($J32,((YEAR(Lists!G$21)-YEAR($J32))*12+MONTH(Lists!G$21)-MONTH($J32)))&gt;Lists!G$21)+1)))-IF(Lists!G$22&lt;$J32,0,MIN($AO32,(((YEAR(Lists!G$22)-YEAR($J32))*12+MONTH(Lists!G$22)-MONTH($J32))-(EDATE($J32,((YEAR(Lists!G$22)-YEAR($J32))*12+MONTH(Lists!G$22)-MONTH($J32)))&gt;Lists!G$22)+1)))),IF($AP32="F",IF(N($K32)&lt;=0,0,MIN(MAX(0,$H32),N($K32)*IF(Lists!G$21&lt;$J32,0,(((YEAR(Lists!G$21)-YEAR($J32))*12+MONTH(Lists!G$21)-MONTH($J32))-(EDATE($J32,((YEAR(Lists!G$21)-YEAR($J32))*12+MONTH(Lists!G$21)-MONTH($J32)))&gt;Lists!G$21)+1)))-MIN(MAX(0,$H32),N($K32)*IF(Lists!G$22&lt;$J32,0,(((YEAR(Lists!G$22)-YEAR($J32))*12+MONTH(Lists!G$22)-MONTH($J32))-(EDATE($J32,((YEAR(Lists!G$22)-YEAR($J32))*12+MONTH(Lists!G$22)-MONTH($J32)))&gt;Lists!G$22)+1)))),N($C32)*IF($AE32-$AD32&lt;1,($AD32&gt;Lists!G$22)*($AD32&lt;=Lists!G$21),MAX(0,MIN(Lists!G$21,$AE32)-MAX(Lists!G$22,$AD32))/($AE32-$AD32))+N($D32)*IF($AG32-$AF32&lt;1,($AF32&gt;Lists!G$22)*($AF32&lt;=Lists!G$21),MAX(0,MIN(Lists!G$21,$AG32)-MAX(Lists!G$22,$AF32))/($AG32-$AF32))+N($E32)*IF($AI32-$AH32&lt;1,($AH32&gt;Lists!G$22)*($AH32&lt;=Lists!G$21),MAX(0,MIN(Lists!G$21,$AI32)-MAX(Lists!G$22,$AH32))/($AI32-$AH32))+N($F32)*IF($AK32-$AJ32&lt;1,($AJ32&gt;Lists!G$22)*($AJ32&lt;=Lists!G$21),MAX(0,MIN(Lists!G$21,$AK32)-MAX(Lists!G$22,$AJ32))/($AK32-$AJ32))+N($G32)*IF($AM32-$AL32&lt;1,($AL32&gt;Lists!G$22)*($AL32&lt;=Lists!G$21),MAX(0,MIN(Lists!G$21,$AM32)-MAX(Lists!G$22,$AL32))/($AM32-$AL32))))))))</f>
        <v>0</v>
      </c>
      <c r="R32" s="53" t="n">
        <f aca="false">IF($H32=0,0,IF($AP32="X",0,IF($AP32="S",$H32/$AO32*(MIN($AO32,MAX(0,INT((Lists!H$21-N($J32))/7)+1))-MIN($AO32,MAX(0,INT((Lists!H$22-N($J32))/7)+1))),IF($AP32="D",$H32*MAX(0,MIN(Lists!H$21,N($J32)+$AO32)-MAX(Lists!H$22,N($J32)))/$AO32,IF($AP32="M",$H32/$AO32*(IF(Lists!H$21&lt;$J32,0,MIN($AO32,(((YEAR(Lists!H$21)-YEAR($J32))*12+MONTH(Lists!H$21)-MONTH($J32))-(EDATE($J32,((YEAR(Lists!H$21)-YEAR($J32))*12+MONTH(Lists!H$21)-MONTH($J32)))&gt;Lists!H$21)+1)))-IF(Lists!H$22&lt;$J32,0,MIN($AO32,(((YEAR(Lists!H$22)-YEAR($J32))*12+MONTH(Lists!H$22)-MONTH($J32))-(EDATE($J32,((YEAR(Lists!H$22)-YEAR($J32))*12+MONTH(Lists!H$22)-MONTH($J32)))&gt;Lists!H$22)+1)))),IF($AP32="F",IF(N($K32)&lt;=0,0,MIN(MAX(0,$H32),N($K32)*IF(Lists!H$21&lt;$J32,0,(((YEAR(Lists!H$21)-YEAR($J32))*12+MONTH(Lists!H$21)-MONTH($J32))-(EDATE($J32,((YEAR(Lists!H$21)-YEAR($J32))*12+MONTH(Lists!H$21)-MONTH($J32)))&gt;Lists!H$21)+1)))-MIN(MAX(0,$H32),N($K32)*IF(Lists!H$22&lt;$J32,0,(((YEAR(Lists!H$22)-YEAR($J32))*12+MONTH(Lists!H$22)-MONTH($J32))-(EDATE($J32,((YEAR(Lists!H$22)-YEAR($J32))*12+MONTH(Lists!H$22)-MONTH($J32)))&gt;Lists!H$22)+1)))),N($C32)*IF($AE32-$AD32&lt;1,($AD32&gt;Lists!H$22)*($AD32&lt;=Lists!H$21),MAX(0,MIN(Lists!H$21,$AE32)-MAX(Lists!H$22,$AD32))/($AE32-$AD32))+N($D32)*IF($AG32-$AF32&lt;1,($AF32&gt;Lists!H$22)*($AF32&lt;=Lists!H$21),MAX(0,MIN(Lists!H$21,$AG32)-MAX(Lists!H$22,$AF32))/($AG32-$AF32))+N($E32)*IF($AI32-$AH32&lt;1,($AH32&gt;Lists!H$22)*($AH32&lt;=Lists!H$21),MAX(0,MIN(Lists!H$21,$AI32)-MAX(Lists!H$22,$AH32))/($AI32-$AH32))+N($F32)*IF($AK32-$AJ32&lt;1,($AJ32&gt;Lists!H$22)*($AJ32&lt;=Lists!H$21),MAX(0,MIN(Lists!H$21,$AK32)-MAX(Lists!H$22,$AJ32))/($AK32-$AJ32))+N($G32)*IF($AM32-$AL32&lt;1,($AL32&gt;Lists!H$22)*($AL32&lt;=Lists!H$21),MAX(0,MIN(Lists!H$21,$AM32)-MAX(Lists!H$22,$AL32))/($AM32-$AL32))))))))</f>
        <v>0</v>
      </c>
      <c r="S32" s="53" t="n">
        <f aca="false">IF($H32=0,0,IF($AP32="X",0,IF($AP32="S",$H32/$AO32*(MIN($AO32,MAX(0,INT((Lists!I$21-N($J32))/7)+1))-MIN($AO32,MAX(0,INT((Lists!I$22-N($J32))/7)+1))),IF($AP32="D",$H32*MAX(0,MIN(Lists!I$21,N($J32)+$AO32)-MAX(Lists!I$22,N($J32)))/$AO32,IF($AP32="M",$H32/$AO32*(IF(Lists!I$21&lt;$J32,0,MIN($AO32,(((YEAR(Lists!I$21)-YEAR($J32))*12+MONTH(Lists!I$21)-MONTH($J32))-(EDATE($J32,((YEAR(Lists!I$21)-YEAR($J32))*12+MONTH(Lists!I$21)-MONTH($J32)))&gt;Lists!I$21)+1)))-IF(Lists!I$22&lt;$J32,0,MIN($AO32,(((YEAR(Lists!I$22)-YEAR($J32))*12+MONTH(Lists!I$22)-MONTH($J32))-(EDATE($J32,((YEAR(Lists!I$22)-YEAR($J32))*12+MONTH(Lists!I$22)-MONTH($J32)))&gt;Lists!I$22)+1)))),IF($AP32="F",IF(N($K32)&lt;=0,0,MIN(MAX(0,$H32),N($K32)*IF(Lists!I$21&lt;$J32,0,(((YEAR(Lists!I$21)-YEAR($J32))*12+MONTH(Lists!I$21)-MONTH($J32))-(EDATE($J32,((YEAR(Lists!I$21)-YEAR($J32))*12+MONTH(Lists!I$21)-MONTH($J32)))&gt;Lists!I$21)+1)))-MIN(MAX(0,$H32),N($K32)*IF(Lists!I$22&lt;$J32,0,(((YEAR(Lists!I$22)-YEAR($J32))*12+MONTH(Lists!I$22)-MONTH($J32))-(EDATE($J32,((YEAR(Lists!I$22)-YEAR($J32))*12+MONTH(Lists!I$22)-MONTH($J32)))&gt;Lists!I$22)+1)))),N($C32)*IF($AE32-$AD32&lt;1,($AD32&gt;Lists!I$22)*($AD32&lt;=Lists!I$21),MAX(0,MIN(Lists!I$21,$AE32)-MAX(Lists!I$22,$AD32))/($AE32-$AD32))+N($D32)*IF($AG32-$AF32&lt;1,($AF32&gt;Lists!I$22)*($AF32&lt;=Lists!I$21),MAX(0,MIN(Lists!I$21,$AG32)-MAX(Lists!I$22,$AF32))/($AG32-$AF32))+N($E32)*IF($AI32-$AH32&lt;1,($AH32&gt;Lists!I$22)*($AH32&lt;=Lists!I$21),MAX(0,MIN(Lists!I$21,$AI32)-MAX(Lists!I$22,$AH32))/($AI32-$AH32))+N($F32)*IF($AK32-$AJ32&lt;1,($AJ32&gt;Lists!I$22)*($AJ32&lt;=Lists!I$21),MAX(0,MIN(Lists!I$21,$AK32)-MAX(Lists!I$22,$AJ32))/($AK32-$AJ32))+N($G32)*IF($AM32-$AL32&lt;1,($AL32&gt;Lists!I$22)*($AL32&lt;=Lists!I$21),MAX(0,MIN(Lists!I$21,$AM32)-MAX(Lists!I$22,$AL32))/($AM32-$AL32))))))))</f>
        <v>0</v>
      </c>
      <c r="T32" s="53" t="n">
        <f aca="false">IF($H32=0,0,IF($AP32="X",0,IF($AP32="S",$H32/$AO32*(MIN($AO32,MAX(0,INT((Lists!J$21-N($J32))/7)+1))-MIN($AO32,MAX(0,INT((Lists!J$22-N($J32))/7)+1))),IF($AP32="D",$H32*MAX(0,MIN(Lists!J$21,N($J32)+$AO32)-MAX(Lists!J$22,N($J32)))/$AO32,IF($AP32="M",$H32/$AO32*(IF(Lists!J$21&lt;$J32,0,MIN($AO32,(((YEAR(Lists!J$21)-YEAR($J32))*12+MONTH(Lists!J$21)-MONTH($J32))-(EDATE($J32,((YEAR(Lists!J$21)-YEAR($J32))*12+MONTH(Lists!J$21)-MONTH($J32)))&gt;Lists!J$21)+1)))-IF(Lists!J$22&lt;$J32,0,MIN($AO32,(((YEAR(Lists!J$22)-YEAR($J32))*12+MONTH(Lists!J$22)-MONTH($J32))-(EDATE($J32,((YEAR(Lists!J$22)-YEAR($J32))*12+MONTH(Lists!J$22)-MONTH($J32)))&gt;Lists!J$22)+1)))),IF($AP32="F",IF(N($K32)&lt;=0,0,MIN(MAX(0,$H32),N($K32)*IF(Lists!J$21&lt;$J32,0,(((YEAR(Lists!J$21)-YEAR($J32))*12+MONTH(Lists!J$21)-MONTH($J32))-(EDATE($J32,((YEAR(Lists!J$21)-YEAR($J32))*12+MONTH(Lists!J$21)-MONTH($J32)))&gt;Lists!J$21)+1)))-MIN(MAX(0,$H32),N($K32)*IF(Lists!J$22&lt;$J32,0,(((YEAR(Lists!J$22)-YEAR($J32))*12+MONTH(Lists!J$22)-MONTH($J32))-(EDATE($J32,((YEAR(Lists!J$22)-YEAR($J32))*12+MONTH(Lists!J$22)-MONTH($J32)))&gt;Lists!J$22)+1)))),N($C32)*IF($AE32-$AD32&lt;1,($AD32&gt;Lists!J$22)*($AD32&lt;=Lists!J$21),MAX(0,MIN(Lists!J$21,$AE32)-MAX(Lists!J$22,$AD32))/($AE32-$AD32))+N($D32)*IF($AG32-$AF32&lt;1,($AF32&gt;Lists!J$22)*($AF32&lt;=Lists!J$21),MAX(0,MIN(Lists!J$21,$AG32)-MAX(Lists!J$22,$AF32))/($AG32-$AF32))+N($E32)*IF($AI32-$AH32&lt;1,($AH32&gt;Lists!J$22)*($AH32&lt;=Lists!J$21),MAX(0,MIN(Lists!J$21,$AI32)-MAX(Lists!J$22,$AH32))/($AI32-$AH32))+N($F32)*IF($AK32-$AJ32&lt;1,($AJ32&gt;Lists!J$22)*($AJ32&lt;=Lists!J$21),MAX(0,MIN(Lists!J$21,$AK32)-MAX(Lists!J$22,$AJ32))/($AK32-$AJ32))+N($G32)*IF($AM32-$AL32&lt;1,($AL32&gt;Lists!J$22)*($AL32&lt;=Lists!J$21),MAX(0,MIN(Lists!J$21,$AM32)-MAX(Lists!J$22,$AL32))/($AM32-$AL32))))))))</f>
        <v>0</v>
      </c>
      <c r="U32" s="53" t="n">
        <f aca="false">IF($H32=0,0,IF($AP32="X",0,IF($AP32="S",$H32/$AO32*(MIN($AO32,MAX(0,INT((Lists!K$21-N($J32))/7)+1))-MIN($AO32,MAX(0,INT((Lists!K$22-N($J32))/7)+1))),IF($AP32="D",$H32*MAX(0,MIN(Lists!K$21,N($J32)+$AO32)-MAX(Lists!K$22,N($J32)))/$AO32,IF($AP32="M",$H32/$AO32*(IF(Lists!K$21&lt;$J32,0,MIN($AO32,(((YEAR(Lists!K$21)-YEAR($J32))*12+MONTH(Lists!K$21)-MONTH($J32))-(EDATE($J32,((YEAR(Lists!K$21)-YEAR($J32))*12+MONTH(Lists!K$21)-MONTH($J32)))&gt;Lists!K$21)+1)))-IF(Lists!K$22&lt;$J32,0,MIN($AO32,(((YEAR(Lists!K$22)-YEAR($J32))*12+MONTH(Lists!K$22)-MONTH($J32))-(EDATE($J32,((YEAR(Lists!K$22)-YEAR($J32))*12+MONTH(Lists!K$22)-MONTH($J32)))&gt;Lists!K$22)+1)))),IF($AP32="F",IF(N($K32)&lt;=0,0,MIN(MAX(0,$H32),N($K32)*IF(Lists!K$21&lt;$J32,0,(((YEAR(Lists!K$21)-YEAR($J32))*12+MONTH(Lists!K$21)-MONTH($J32))-(EDATE($J32,((YEAR(Lists!K$21)-YEAR($J32))*12+MONTH(Lists!K$21)-MONTH($J32)))&gt;Lists!K$21)+1)))-MIN(MAX(0,$H32),N($K32)*IF(Lists!K$22&lt;$J32,0,(((YEAR(Lists!K$22)-YEAR($J32))*12+MONTH(Lists!K$22)-MONTH($J32))-(EDATE($J32,((YEAR(Lists!K$22)-YEAR($J32))*12+MONTH(Lists!K$22)-MONTH($J32)))&gt;Lists!K$22)+1)))),N($C32)*IF($AE32-$AD32&lt;1,($AD32&gt;Lists!K$22)*($AD32&lt;=Lists!K$21),MAX(0,MIN(Lists!K$21,$AE32)-MAX(Lists!K$22,$AD32))/($AE32-$AD32))+N($D32)*IF($AG32-$AF32&lt;1,($AF32&gt;Lists!K$22)*($AF32&lt;=Lists!K$21),MAX(0,MIN(Lists!K$21,$AG32)-MAX(Lists!K$22,$AF32))/($AG32-$AF32))+N($E32)*IF($AI32-$AH32&lt;1,($AH32&gt;Lists!K$22)*($AH32&lt;=Lists!K$21),MAX(0,MIN(Lists!K$21,$AI32)-MAX(Lists!K$22,$AH32))/($AI32-$AH32))+N($F32)*IF($AK32-$AJ32&lt;1,($AJ32&gt;Lists!K$22)*($AJ32&lt;=Lists!K$21),MAX(0,MIN(Lists!K$21,$AK32)-MAX(Lists!K$22,$AJ32))/($AK32-$AJ32))+N($G32)*IF($AM32-$AL32&lt;1,($AL32&gt;Lists!K$22)*($AL32&lt;=Lists!K$21),MAX(0,MIN(Lists!K$21,$AM32)-MAX(Lists!K$22,$AL32))/($AM32-$AL32))))))))</f>
        <v>0</v>
      </c>
      <c r="V32" s="53" t="n">
        <f aca="false">IF($H32=0,0,IF($AP32="X",0,IF($AP32="S",$H32/$AO32*(MIN($AO32,MAX(0,INT((Lists!L$21-N($J32))/7)+1))-MIN($AO32,MAX(0,INT((Lists!L$22-N($J32))/7)+1))),IF($AP32="D",$H32*MAX(0,MIN(Lists!L$21,N($J32)+$AO32)-MAX(Lists!L$22,N($J32)))/$AO32,IF($AP32="M",$H32/$AO32*(IF(Lists!L$21&lt;$J32,0,MIN($AO32,(((YEAR(Lists!L$21)-YEAR($J32))*12+MONTH(Lists!L$21)-MONTH($J32))-(EDATE($J32,((YEAR(Lists!L$21)-YEAR($J32))*12+MONTH(Lists!L$21)-MONTH($J32)))&gt;Lists!L$21)+1)))-IF(Lists!L$22&lt;$J32,0,MIN($AO32,(((YEAR(Lists!L$22)-YEAR($J32))*12+MONTH(Lists!L$22)-MONTH($J32))-(EDATE($J32,((YEAR(Lists!L$22)-YEAR($J32))*12+MONTH(Lists!L$22)-MONTH($J32)))&gt;Lists!L$22)+1)))),IF($AP32="F",IF(N($K32)&lt;=0,0,MIN(MAX(0,$H32),N($K32)*IF(Lists!L$21&lt;$J32,0,(((YEAR(Lists!L$21)-YEAR($J32))*12+MONTH(Lists!L$21)-MONTH($J32))-(EDATE($J32,((YEAR(Lists!L$21)-YEAR($J32))*12+MONTH(Lists!L$21)-MONTH($J32)))&gt;Lists!L$21)+1)))-MIN(MAX(0,$H32),N($K32)*IF(Lists!L$22&lt;$J32,0,(((YEAR(Lists!L$22)-YEAR($J32))*12+MONTH(Lists!L$22)-MONTH($J32))-(EDATE($J32,((YEAR(Lists!L$22)-YEAR($J32))*12+MONTH(Lists!L$22)-MONTH($J32)))&gt;Lists!L$22)+1)))),N($C32)*IF($AE32-$AD32&lt;1,($AD32&gt;Lists!L$22)*($AD32&lt;=Lists!L$21),MAX(0,MIN(Lists!L$21,$AE32)-MAX(Lists!L$22,$AD32))/($AE32-$AD32))+N($D32)*IF($AG32-$AF32&lt;1,($AF32&gt;Lists!L$22)*($AF32&lt;=Lists!L$21),MAX(0,MIN(Lists!L$21,$AG32)-MAX(Lists!L$22,$AF32))/($AG32-$AF32))+N($E32)*IF($AI32-$AH32&lt;1,($AH32&gt;Lists!L$22)*($AH32&lt;=Lists!L$21),MAX(0,MIN(Lists!L$21,$AI32)-MAX(Lists!L$22,$AH32))/($AI32-$AH32))+N($F32)*IF($AK32-$AJ32&lt;1,($AJ32&gt;Lists!L$22)*($AJ32&lt;=Lists!L$21),MAX(0,MIN(Lists!L$21,$AK32)-MAX(Lists!L$22,$AJ32))/($AK32-$AJ32))+N($G32)*IF($AM32-$AL32&lt;1,($AL32&gt;Lists!L$22)*($AL32&lt;=Lists!L$21),MAX(0,MIN(Lists!L$21,$AM32)-MAX(Lists!L$22,$AL32))/($AM32-$AL32))))))))</f>
        <v>0</v>
      </c>
      <c r="W32" s="53" t="n">
        <f aca="false">IF($H32=0,0,IF($AP32="X",0,IF($AP32="S",$H32/$AO32*(MIN($AO32,MAX(0,INT((Lists!M$21-N($J32))/7)+1))-MIN($AO32,MAX(0,INT((Lists!M$22-N($J32))/7)+1))),IF($AP32="D",$H32*MAX(0,MIN(Lists!M$21,N($J32)+$AO32)-MAX(Lists!M$22,N($J32)))/$AO32,IF($AP32="M",$H32/$AO32*(IF(Lists!M$21&lt;$J32,0,MIN($AO32,(((YEAR(Lists!M$21)-YEAR($J32))*12+MONTH(Lists!M$21)-MONTH($J32))-(EDATE($J32,((YEAR(Lists!M$21)-YEAR($J32))*12+MONTH(Lists!M$21)-MONTH($J32)))&gt;Lists!M$21)+1)))-IF(Lists!M$22&lt;$J32,0,MIN($AO32,(((YEAR(Lists!M$22)-YEAR($J32))*12+MONTH(Lists!M$22)-MONTH($J32))-(EDATE($J32,((YEAR(Lists!M$22)-YEAR($J32))*12+MONTH(Lists!M$22)-MONTH($J32)))&gt;Lists!M$22)+1)))),IF($AP32="F",IF(N($K32)&lt;=0,0,MIN(MAX(0,$H32),N($K32)*IF(Lists!M$21&lt;$J32,0,(((YEAR(Lists!M$21)-YEAR($J32))*12+MONTH(Lists!M$21)-MONTH($J32))-(EDATE($J32,((YEAR(Lists!M$21)-YEAR($J32))*12+MONTH(Lists!M$21)-MONTH($J32)))&gt;Lists!M$21)+1)))-MIN(MAX(0,$H32),N($K32)*IF(Lists!M$22&lt;$J32,0,(((YEAR(Lists!M$22)-YEAR($J32))*12+MONTH(Lists!M$22)-MONTH($J32))-(EDATE($J32,((YEAR(Lists!M$22)-YEAR($J32))*12+MONTH(Lists!M$22)-MONTH($J32)))&gt;Lists!M$22)+1)))),N($C32)*IF($AE32-$AD32&lt;1,($AD32&gt;Lists!M$22)*($AD32&lt;=Lists!M$21),MAX(0,MIN(Lists!M$21,$AE32)-MAX(Lists!M$22,$AD32))/($AE32-$AD32))+N($D32)*IF($AG32-$AF32&lt;1,($AF32&gt;Lists!M$22)*($AF32&lt;=Lists!M$21),MAX(0,MIN(Lists!M$21,$AG32)-MAX(Lists!M$22,$AF32))/($AG32-$AF32))+N($E32)*IF($AI32-$AH32&lt;1,($AH32&gt;Lists!M$22)*($AH32&lt;=Lists!M$21),MAX(0,MIN(Lists!M$21,$AI32)-MAX(Lists!M$22,$AH32))/($AI32-$AH32))+N($F32)*IF($AK32-$AJ32&lt;1,($AJ32&gt;Lists!M$22)*($AJ32&lt;=Lists!M$21),MAX(0,MIN(Lists!M$21,$AK32)-MAX(Lists!M$22,$AJ32))/($AK32-$AJ32))+N($G32)*IF($AM32-$AL32&lt;1,($AL32&gt;Lists!M$22)*($AL32&lt;=Lists!M$21),MAX(0,MIN(Lists!M$21,$AM32)-MAX(Lists!M$22,$AL32))/($AM32-$AL32))))))))</f>
        <v>0</v>
      </c>
      <c r="X32" s="53" t="n">
        <f aca="false">IF($H32=0,0,IF($AP32="X",0,IF($AP32="S",$H32/$AO32*(MIN($AO32,MAX(0,INT((Lists!N$21-N($J32))/7)+1))-MIN($AO32,MAX(0,INT((Lists!N$22-N($J32))/7)+1))),IF($AP32="D",$H32*MAX(0,MIN(Lists!N$21,N($J32)+$AO32)-MAX(Lists!N$22,N($J32)))/$AO32,IF($AP32="M",$H32/$AO32*(IF(Lists!N$21&lt;$J32,0,MIN($AO32,(((YEAR(Lists!N$21)-YEAR($J32))*12+MONTH(Lists!N$21)-MONTH($J32))-(EDATE($J32,((YEAR(Lists!N$21)-YEAR($J32))*12+MONTH(Lists!N$21)-MONTH($J32)))&gt;Lists!N$21)+1)))-IF(Lists!N$22&lt;$J32,0,MIN($AO32,(((YEAR(Lists!N$22)-YEAR($J32))*12+MONTH(Lists!N$22)-MONTH($J32))-(EDATE($J32,((YEAR(Lists!N$22)-YEAR($J32))*12+MONTH(Lists!N$22)-MONTH($J32)))&gt;Lists!N$22)+1)))),IF($AP32="F",IF(N($K32)&lt;=0,0,MIN(MAX(0,$H32),N($K32)*IF(Lists!N$21&lt;$J32,0,(((YEAR(Lists!N$21)-YEAR($J32))*12+MONTH(Lists!N$21)-MONTH($J32))-(EDATE($J32,((YEAR(Lists!N$21)-YEAR($J32))*12+MONTH(Lists!N$21)-MONTH($J32)))&gt;Lists!N$21)+1)))-MIN(MAX(0,$H32),N($K32)*IF(Lists!N$22&lt;$J32,0,(((YEAR(Lists!N$22)-YEAR($J32))*12+MONTH(Lists!N$22)-MONTH($J32))-(EDATE($J32,((YEAR(Lists!N$22)-YEAR($J32))*12+MONTH(Lists!N$22)-MONTH($J32)))&gt;Lists!N$22)+1)))),N($C32)*IF($AE32-$AD32&lt;1,($AD32&gt;Lists!N$22)*($AD32&lt;=Lists!N$21),MAX(0,MIN(Lists!N$21,$AE32)-MAX(Lists!N$22,$AD32))/($AE32-$AD32))+N($D32)*IF($AG32-$AF32&lt;1,($AF32&gt;Lists!N$22)*($AF32&lt;=Lists!N$21),MAX(0,MIN(Lists!N$21,$AG32)-MAX(Lists!N$22,$AF32))/($AG32-$AF32))+N($E32)*IF($AI32-$AH32&lt;1,($AH32&gt;Lists!N$22)*($AH32&lt;=Lists!N$21),MAX(0,MIN(Lists!N$21,$AI32)-MAX(Lists!N$22,$AH32))/($AI32-$AH32))+N($F32)*IF($AK32-$AJ32&lt;1,($AJ32&gt;Lists!N$22)*($AJ32&lt;=Lists!N$21),MAX(0,MIN(Lists!N$21,$AK32)-MAX(Lists!N$22,$AJ32))/($AK32-$AJ32))+N($G32)*IF($AM32-$AL32&lt;1,($AL32&gt;Lists!N$22)*($AL32&lt;=Lists!N$21),MAX(0,MIN(Lists!N$21,$AM32)-MAX(Lists!N$22,$AL32))/($AM32-$AL32))))))))</f>
        <v>0</v>
      </c>
      <c r="Y32" s="53" t="n">
        <f aca="false">IF($H32=0,0,IF($AP32="X",0,IF($AP32="S",$H32/$AO32*(MIN($AO32,MAX(0,INT((Lists!O$21-N($J32))/7)+1))-MIN($AO32,MAX(0,INT((Lists!O$22-N($J32))/7)+1))),IF($AP32="D",$H32*MAX(0,MIN(Lists!O$21,N($J32)+$AO32)-MAX(Lists!O$22,N($J32)))/$AO32,IF($AP32="M",$H32/$AO32*(IF(Lists!O$21&lt;$J32,0,MIN($AO32,(((YEAR(Lists!O$21)-YEAR($J32))*12+MONTH(Lists!O$21)-MONTH($J32))-(EDATE($J32,((YEAR(Lists!O$21)-YEAR($J32))*12+MONTH(Lists!O$21)-MONTH($J32)))&gt;Lists!O$21)+1)))-IF(Lists!O$22&lt;$J32,0,MIN($AO32,(((YEAR(Lists!O$22)-YEAR($J32))*12+MONTH(Lists!O$22)-MONTH($J32))-(EDATE($J32,((YEAR(Lists!O$22)-YEAR($J32))*12+MONTH(Lists!O$22)-MONTH($J32)))&gt;Lists!O$22)+1)))),IF($AP32="F",IF(N($K32)&lt;=0,0,MIN(MAX(0,$H32),N($K32)*IF(Lists!O$21&lt;$J32,0,(((YEAR(Lists!O$21)-YEAR($J32))*12+MONTH(Lists!O$21)-MONTH($J32))-(EDATE($J32,((YEAR(Lists!O$21)-YEAR($J32))*12+MONTH(Lists!O$21)-MONTH($J32)))&gt;Lists!O$21)+1)))-MIN(MAX(0,$H32),N($K32)*IF(Lists!O$22&lt;$J32,0,(((YEAR(Lists!O$22)-YEAR($J32))*12+MONTH(Lists!O$22)-MONTH($J32))-(EDATE($J32,((YEAR(Lists!O$22)-YEAR($J32))*12+MONTH(Lists!O$22)-MONTH($J32)))&gt;Lists!O$22)+1)))),N($C32)*IF($AE32-$AD32&lt;1,($AD32&gt;Lists!O$22)*($AD32&lt;=Lists!O$21),MAX(0,MIN(Lists!O$21,$AE32)-MAX(Lists!O$22,$AD32))/($AE32-$AD32))+N($D32)*IF($AG32-$AF32&lt;1,($AF32&gt;Lists!O$22)*($AF32&lt;=Lists!O$21),MAX(0,MIN(Lists!O$21,$AG32)-MAX(Lists!O$22,$AF32))/($AG32-$AF32))+N($E32)*IF($AI32-$AH32&lt;1,($AH32&gt;Lists!O$22)*($AH32&lt;=Lists!O$21),MAX(0,MIN(Lists!O$21,$AI32)-MAX(Lists!O$22,$AH32))/($AI32-$AH32))+N($F32)*IF($AK32-$AJ32&lt;1,($AJ32&gt;Lists!O$22)*($AJ32&lt;=Lists!O$21),MAX(0,MIN(Lists!O$21,$AK32)-MAX(Lists!O$22,$AJ32))/($AK32-$AJ32))+N($G32)*IF($AM32-$AL32&lt;1,($AL32&gt;Lists!O$22)*($AL32&lt;=Lists!O$21),MAX(0,MIN(Lists!O$21,$AM32)-MAX(Lists!O$22,$AL32))/($AM32-$AL32))))))))</f>
        <v>0</v>
      </c>
      <c r="Z32" s="46" t="n">
        <f aca="false">SUM(M32:Y32)</f>
        <v>0</v>
      </c>
      <c r="AA32" s="92" t="n">
        <f aca="false">H32-Z32</f>
        <v>0</v>
      </c>
      <c r="AB32" s="55"/>
      <c r="AC32" s="2"/>
      <c r="AD32" s="93" t="n">
        <f aca="false">Setup!$D$10+MAX(0,$AN32-30)</f>
        <v>46365</v>
      </c>
      <c r="AE32" s="93" t="n">
        <f aca="false">Setup!$D$10+IF($AN32-30&lt;0,MAX(Setup!$D$22,$AN32-0),$AN32-0)</f>
        <v>46395</v>
      </c>
      <c r="AF32" s="93" t="n">
        <f aca="false">Setup!$D$10+MAX(0,$AN32-60)</f>
        <v>46335</v>
      </c>
      <c r="AG32" s="93" t="n">
        <f aca="false">Setup!$D$10+IF($AN32-60&lt;0,MAX(Setup!$D$22,$AN32-31),$AN32-31)</f>
        <v>46364</v>
      </c>
      <c r="AH32" s="93" t="n">
        <f aca="false">Setup!$D$10+MAX(0,$AN32-90)</f>
        <v>46335</v>
      </c>
      <c r="AI32" s="93" t="n">
        <f aca="false">Setup!$D$10+IF($AN32-90&lt;0,MAX(Setup!$D$22,$AN32-61),$AN32-61)</f>
        <v>46363</v>
      </c>
      <c r="AJ32" s="93" t="n">
        <f aca="false">Setup!$D$10+MAX(0,$AN32-120)</f>
        <v>46335</v>
      </c>
      <c r="AK32" s="93" t="n">
        <f aca="false">Setup!$D$10+IF($AN32-120&lt;0,MAX(Setup!$D$22,$AN32-91),$AN32-91)</f>
        <v>46363</v>
      </c>
      <c r="AL32" s="93" t="n">
        <f aca="false">IF(Setup!$D$23="Yes",2958465,Setup!$D$10)</f>
        <v>2958465</v>
      </c>
      <c r="AM32" s="93" t="n">
        <f aca="false">IF(AL32=2958465,AL32,Setup!$D$10+Setup!$D$22)</f>
        <v>2958465</v>
      </c>
      <c r="AN32" s="94" t="n">
        <f aca="false">IF(N(L32)=0,Setup!$D$20,L32)</f>
        <v>60</v>
      </c>
      <c r="AO32" s="94" t="n">
        <f aca="false">MAX(1,ROUND(N(K32),0))</f>
        <v>1</v>
      </c>
      <c r="AP32" s="95" t="str">
        <f aca="false">IF(I32="Doubtful","X",IF(N(J32)=0,"A",IF(I32="Specific date","S",IF(I32="Spread over days","D",IF(I32="Monthly on set day","M",IF(I32="Monthly fixed amount","F","A"))))))</f>
        <v>A</v>
      </c>
    </row>
    <row r="33" customFormat="false" ht="15" hidden="false" customHeight="false" outlineLevel="0" collapsed="false">
      <c r="A33" s="87" t="n">
        <v>25</v>
      </c>
      <c r="B33" s="55"/>
      <c r="C33" s="88"/>
      <c r="D33" s="88"/>
      <c r="E33" s="88"/>
      <c r="F33" s="88"/>
      <c r="G33" s="88"/>
      <c r="H33" s="89" t="n">
        <f aca="false">SUM(C33:G33)</f>
        <v>0</v>
      </c>
      <c r="I33" s="58"/>
      <c r="J33" s="90"/>
      <c r="K33" s="91"/>
      <c r="L33" s="80"/>
      <c r="M33" s="53" t="n">
        <f aca="false">IF($H33=0,0,IF($AP33="X",0,IF($AP33="S",$H33/$AO33*(MIN($AO33,MAX(0,INT((Lists!C$21-N($J33))/7)+1))-MIN($AO33,MAX(0,INT((Lists!C$22-N($J33))/7)+1))),IF($AP33="D",$H33*MAX(0,MIN(Lists!C$21,N($J33)+$AO33)-MAX(Lists!C$22,N($J33)))/$AO33,IF($AP33="M",$H33/$AO33*(IF(Lists!C$21&lt;$J33,0,MIN($AO33,(((YEAR(Lists!C$21)-YEAR($J33))*12+MONTH(Lists!C$21)-MONTH($J33))-(EDATE($J33,((YEAR(Lists!C$21)-YEAR($J33))*12+MONTH(Lists!C$21)-MONTH($J33)))&gt;Lists!C$21)+1)))-IF(Lists!C$22&lt;$J33,0,MIN($AO33,(((YEAR(Lists!C$22)-YEAR($J33))*12+MONTH(Lists!C$22)-MONTH($J33))-(EDATE($J33,((YEAR(Lists!C$22)-YEAR($J33))*12+MONTH(Lists!C$22)-MONTH($J33)))&gt;Lists!C$22)+1)))),IF($AP33="F",IF(N($K33)&lt;=0,0,MIN(MAX(0,$H33),N($K33)*IF(Lists!C$21&lt;$J33,0,(((YEAR(Lists!C$21)-YEAR($J33))*12+MONTH(Lists!C$21)-MONTH($J33))-(EDATE($J33,((YEAR(Lists!C$21)-YEAR($J33))*12+MONTH(Lists!C$21)-MONTH($J33)))&gt;Lists!C$21)+1)))-MIN(MAX(0,$H33),N($K33)*IF(Lists!C$22&lt;$J33,0,(((YEAR(Lists!C$22)-YEAR($J33))*12+MONTH(Lists!C$22)-MONTH($J33))-(EDATE($J33,((YEAR(Lists!C$22)-YEAR($J33))*12+MONTH(Lists!C$22)-MONTH($J33)))&gt;Lists!C$22)+1)))),N($C33)*IF($AE33-$AD33&lt;1,($AD33&gt;Lists!C$22)*($AD33&lt;=Lists!C$21),MAX(0,MIN(Lists!C$21,$AE33)-MAX(Lists!C$22,$AD33))/($AE33-$AD33))+N($D33)*IF($AG33-$AF33&lt;1,($AF33&gt;Lists!C$22)*($AF33&lt;=Lists!C$21),MAX(0,MIN(Lists!C$21,$AG33)-MAX(Lists!C$22,$AF33))/($AG33-$AF33))+N($E33)*IF($AI33-$AH33&lt;1,($AH33&gt;Lists!C$22)*($AH33&lt;=Lists!C$21),MAX(0,MIN(Lists!C$21,$AI33)-MAX(Lists!C$22,$AH33))/($AI33-$AH33))+N($F33)*IF($AK33-$AJ33&lt;1,($AJ33&gt;Lists!C$22)*($AJ33&lt;=Lists!C$21),MAX(0,MIN(Lists!C$21,$AK33)-MAX(Lists!C$22,$AJ33))/($AK33-$AJ33))+N($G33)*IF($AM33-$AL33&lt;1,($AL33&gt;Lists!C$22)*($AL33&lt;=Lists!C$21),MAX(0,MIN(Lists!C$21,$AM33)-MAX(Lists!C$22,$AL33))/($AM33-$AL33))))))))</f>
        <v>0</v>
      </c>
      <c r="N33" s="53" t="n">
        <f aca="false">IF($H33=0,0,IF($AP33="X",0,IF($AP33="S",$H33/$AO33*(MIN($AO33,MAX(0,INT((Lists!D$21-N($J33))/7)+1))-MIN($AO33,MAX(0,INT((Lists!D$22-N($J33))/7)+1))),IF($AP33="D",$H33*MAX(0,MIN(Lists!D$21,N($J33)+$AO33)-MAX(Lists!D$22,N($J33)))/$AO33,IF($AP33="M",$H33/$AO33*(IF(Lists!D$21&lt;$J33,0,MIN($AO33,(((YEAR(Lists!D$21)-YEAR($J33))*12+MONTH(Lists!D$21)-MONTH($J33))-(EDATE($J33,((YEAR(Lists!D$21)-YEAR($J33))*12+MONTH(Lists!D$21)-MONTH($J33)))&gt;Lists!D$21)+1)))-IF(Lists!D$22&lt;$J33,0,MIN($AO33,(((YEAR(Lists!D$22)-YEAR($J33))*12+MONTH(Lists!D$22)-MONTH($J33))-(EDATE($J33,((YEAR(Lists!D$22)-YEAR($J33))*12+MONTH(Lists!D$22)-MONTH($J33)))&gt;Lists!D$22)+1)))),IF($AP33="F",IF(N($K33)&lt;=0,0,MIN(MAX(0,$H33),N($K33)*IF(Lists!D$21&lt;$J33,0,(((YEAR(Lists!D$21)-YEAR($J33))*12+MONTH(Lists!D$21)-MONTH($J33))-(EDATE($J33,((YEAR(Lists!D$21)-YEAR($J33))*12+MONTH(Lists!D$21)-MONTH($J33)))&gt;Lists!D$21)+1)))-MIN(MAX(0,$H33),N($K33)*IF(Lists!D$22&lt;$J33,0,(((YEAR(Lists!D$22)-YEAR($J33))*12+MONTH(Lists!D$22)-MONTH($J33))-(EDATE($J33,((YEAR(Lists!D$22)-YEAR($J33))*12+MONTH(Lists!D$22)-MONTH($J33)))&gt;Lists!D$22)+1)))),N($C33)*IF($AE33-$AD33&lt;1,($AD33&gt;Lists!D$22)*($AD33&lt;=Lists!D$21),MAX(0,MIN(Lists!D$21,$AE33)-MAX(Lists!D$22,$AD33))/($AE33-$AD33))+N($D33)*IF($AG33-$AF33&lt;1,($AF33&gt;Lists!D$22)*($AF33&lt;=Lists!D$21),MAX(0,MIN(Lists!D$21,$AG33)-MAX(Lists!D$22,$AF33))/($AG33-$AF33))+N($E33)*IF($AI33-$AH33&lt;1,($AH33&gt;Lists!D$22)*($AH33&lt;=Lists!D$21),MAX(0,MIN(Lists!D$21,$AI33)-MAX(Lists!D$22,$AH33))/($AI33-$AH33))+N($F33)*IF($AK33-$AJ33&lt;1,($AJ33&gt;Lists!D$22)*($AJ33&lt;=Lists!D$21),MAX(0,MIN(Lists!D$21,$AK33)-MAX(Lists!D$22,$AJ33))/($AK33-$AJ33))+N($G33)*IF($AM33-$AL33&lt;1,($AL33&gt;Lists!D$22)*($AL33&lt;=Lists!D$21),MAX(0,MIN(Lists!D$21,$AM33)-MAX(Lists!D$22,$AL33))/($AM33-$AL33))))))))</f>
        <v>0</v>
      </c>
      <c r="O33" s="53" t="n">
        <f aca="false">IF($H33=0,0,IF($AP33="X",0,IF($AP33="S",$H33/$AO33*(MIN($AO33,MAX(0,INT((Lists!E$21-N($J33))/7)+1))-MIN($AO33,MAX(0,INT((Lists!E$22-N($J33))/7)+1))),IF($AP33="D",$H33*MAX(0,MIN(Lists!E$21,N($J33)+$AO33)-MAX(Lists!E$22,N($J33)))/$AO33,IF($AP33="M",$H33/$AO33*(IF(Lists!E$21&lt;$J33,0,MIN($AO33,(((YEAR(Lists!E$21)-YEAR($J33))*12+MONTH(Lists!E$21)-MONTH($J33))-(EDATE($J33,((YEAR(Lists!E$21)-YEAR($J33))*12+MONTH(Lists!E$21)-MONTH($J33)))&gt;Lists!E$21)+1)))-IF(Lists!E$22&lt;$J33,0,MIN($AO33,(((YEAR(Lists!E$22)-YEAR($J33))*12+MONTH(Lists!E$22)-MONTH($J33))-(EDATE($J33,((YEAR(Lists!E$22)-YEAR($J33))*12+MONTH(Lists!E$22)-MONTH($J33)))&gt;Lists!E$22)+1)))),IF($AP33="F",IF(N($K33)&lt;=0,0,MIN(MAX(0,$H33),N($K33)*IF(Lists!E$21&lt;$J33,0,(((YEAR(Lists!E$21)-YEAR($J33))*12+MONTH(Lists!E$21)-MONTH($J33))-(EDATE($J33,((YEAR(Lists!E$21)-YEAR($J33))*12+MONTH(Lists!E$21)-MONTH($J33)))&gt;Lists!E$21)+1)))-MIN(MAX(0,$H33),N($K33)*IF(Lists!E$22&lt;$J33,0,(((YEAR(Lists!E$22)-YEAR($J33))*12+MONTH(Lists!E$22)-MONTH($J33))-(EDATE($J33,((YEAR(Lists!E$22)-YEAR($J33))*12+MONTH(Lists!E$22)-MONTH($J33)))&gt;Lists!E$22)+1)))),N($C33)*IF($AE33-$AD33&lt;1,($AD33&gt;Lists!E$22)*($AD33&lt;=Lists!E$21),MAX(0,MIN(Lists!E$21,$AE33)-MAX(Lists!E$22,$AD33))/($AE33-$AD33))+N($D33)*IF($AG33-$AF33&lt;1,($AF33&gt;Lists!E$22)*($AF33&lt;=Lists!E$21),MAX(0,MIN(Lists!E$21,$AG33)-MAX(Lists!E$22,$AF33))/($AG33-$AF33))+N($E33)*IF($AI33-$AH33&lt;1,($AH33&gt;Lists!E$22)*($AH33&lt;=Lists!E$21),MAX(0,MIN(Lists!E$21,$AI33)-MAX(Lists!E$22,$AH33))/($AI33-$AH33))+N($F33)*IF($AK33-$AJ33&lt;1,($AJ33&gt;Lists!E$22)*($AJ33&lt;=Lists!E$21),MAX(0,MIN(Lists!E$21,$AK33)-MAX(Lists!E$22,$AJ33))/($AK33-$AJ33))+N($G33)*IF($AM33-$AL33&lt;1,($AL33&gt;Lists!E$22)*($AL33&lt;=Lists!E$21),MAX(0,MIN(Lists!E$21,$AM33)-MAX(Lists!E$22,$AL33))/($AM33-$AL33))))))))</f>
        <v>0</v>
      </c>
      <c r="P33" s="53" t="n">
        <f aca="false">IF($H33=0,0,IF($AP33="X",0,IF($AP33="S",$H33/$AO33*(MIN($AO33,MAX(0,INT((Lists!F$21-N($J33))/7)+1))-MIN($AO33,MAX(0,INT((Lists!F$22-N($J33))/7)+1))),IF($AP33="D",$H33*MAX(0,MIN(Lists!F$21,N($J33)+$AO33)-MAX(Lists!F$22,N($J33)))/$AO33,IF($AP33="M",$H33/$AO33*(IF(Lists!F$21&lt;$J33,0,MIN($AO33,(((YEAR(Lists!F$21)-YEAR($J33))*12+MONTH(Lists!F$21)-MONTH($J33))-(EDATE($J33,((YEAR(Lists!F$21)-YEAR($J33))*12+MONTH(Lists!F$21)-MONTH($J33)))&gt;Lists!F$21)+1)))-IF(Lists!F$22&lt;$J33,0,MIN($AO33,(((YEAR(Lists!F$22)-YEAR($J33))*12+MONTH(Lists!F$22)-MONTH($J33))-(EDATE($J33,((YEAR(Lists!F$22)-YEAR($J33))*12+MONTH(Lists!F$22)-MONTH($J33)))&gt;Lists!F$22)+1)))),IF($AP33="F",IF(N($K33)&lt;=0,0,MIN(MAX(0,$H33),N($K33)*IF(Lists!F$21&lt;$J33,0,(((YEAR(Lists!F$21)-YEAR($J33))*12+MONTH(Lists!F$21)-MONTH($J33))-(EDATE($J33,((YEAR(Lists!F$21)-YEAR($J33))*12+MONTH(Lists!F$21)-MONTH($J33)))&gt;Lists!F$21)+1)))-MIN(MAX(0,$H33),N($K33)*IF(Lists!F$22&lt;$J33,0,(((YEAR(Lists!F$22)-YEAR($J33))*12+MONTH(Lists!F$22)-MONTH($J33))-(EDATE($J33,((YEAR(Lists!F$22)-YEAR($J33))*12+MONTH(Lists!F$22)-MONTH($J33)))&gt;Lists!F$22)+1)))),N($C33)*IF($AE33-$AD33&lt;1,($AD33&gt;Lists!F$22)*($AD33&lt;=Lists!F$21),MAX(0,MIN(Lists!F$21,$AE33)-MAX(Lists!F$22,$AD33))/($AE33-$AD33))+N($D33)*IF($AG33-$AF33&lt;1,($AF33&gt;Lists!F$22)*($AF33&lt;=Lists!F$21),MAX(0,MIN(Lists!F$21,$AG33)-MAX(Lists!F$22,$AF33))/($AG33-$AF33))+N($E33)*IF($AI33-$AH33&lt;1,($AH33&gt;Lists!F$22)*($AH33&lt;=Lists!F$21),MAX(0,MIN(Lists!F$21,$AI33)-MAX(Lists!F$22,$AH33))/($AI33-$AH33))+N($F33)*IF($AK33-$AJ33&lt;1,($AJ33&gt;Lists!F$22)*($AJ33&lt;=Lists!F$21),MAX(0,MIN(Lists!F$21,$AK33)-MAX(Lists!F$22,$AJ33))/($AK33-$AJ33))+N($G33)*IF($AM33-$AL33&lt;1,($AL33&gt;Lists!F$22)*($AL33&lt;=Lists!F$21),MAX(0,MIN(Lists!F$21,$AM33)-MAX(Lists!F$22,$AL33))/($AM33-$AL33))))))))</f>
        <v>0</v>
      </c>
      <c r="Q33" s="53" t="n">
        <f aca="false">IF($H33=0,0,IF($AP33="X",0,IF($AP33="S",$H33/$AO33*(MIN($AO33,MAX(0,INT((Lists!G$21-N($J33))/7)+1))-MIN($AO33,MAX(0,INT((Lists!G$22-N($J33))/7)+1))),IF($AP33="D",$H33*MAX(0,MIN(Lists!G$21,N($J33)+$AO33)-MAX(Lists!G$22,N($J33)))/$AO33,IF($AP33="M",$H33/$AO33*(IF(Lists!G$21&lt;$J33,0,MIN($AO33,(((YEAR(Lists!G$21)-YEAR($J33))*12+MONTH(Lists!G$21)-MONTH($J33))-(EDATE($J33,((YEAR(Lists!G$21)-YEAR($J33))*12+MONTH(Lists!G$21)-MONTH($J33)))&gt;Lists!G$21)+1)))-IF(Lists!G$22&lt;$J33,0,MIN($AO33,(((YEAR(Lists!G$22)-YEAR($J33))*12+MONTH(Lists!G$22)-MONTH($J33))-(EDATE($J33,((YEAR(Lists!G$22)-YEAR($J33))*12+MONTH(Lists!G$22)-MONTH($J33)))&gt;Lists!G$22)+1)))),IF($AP33="F",IF(N($K33)&lt;=0,0,MIN(MAX(0,$H33),N($K33)*IF(Lists!G$21&lt;$J33,0,(((YEAR(Lists!G$21)-YEAR($J33))*12+MONTH(Lists!G$21)-MONTH($J33))-(EDATE($J33,((YEAR(Lists!G$21)-YEAR($J33))*12+MONTH(Lists!G$21)-MONTH($J33)))&gt;Lists!G$21)+1)))-MIN(MAX(0,$H33),N($K33)*IF(Lists!G$22&lt;$J33,0,(((YEAR(Lists!G$22)-YEAR($J33))*12+MONTH(Lists!G$22)-MONTH($J33))-(EDATE($J33,((YEAR(Lists!G$22)-YEAR($J33))*12+MONTH(Lists!G$22)-MONTH($J33)))&gt;Lists!G$22)+1)))),N($C33)*IF($AE33-$AD33&lt;1,($AD33&gt;Lists!G$22)*($AD33&lt;=Lists!G$21),MAX(0,MIN(Lists!G$21,$AE33)-MAX(Lists!G$22,$AD33))/($AE33-$AD33))+N($D33)*IF($AG33-$AF33&lt;1,($AF33&gt;Lists!G$22)*($AF33&lt;=Lists!G$21),MAX(0,MIN(Lists!G$21,$AG33)-MAX(Lists!G$22,$AF33))/($AG33-$AF33))+N($E33)*IF($AI33-$AH33&lt;1,($AH33&gt;Lists!G$22)*($AH33&lt;=Lists!G$21),MAX(0,MIN(Lists!G$21,$AI33)-MAX(Lists!G$22,$AH33))/($AI33-$AH33))+N($F33)*IF($AK33-$AJ33&lt;1,($AJ33&gt;Lists!G$22)*($AJ33&lt;=Lists!G$21),MAX(0,MIN(Lists!G$21,$AK33)-MAX(Lists!G$22,$AJ33))/($AK33-$AJ33))+N($G33)*IF($AM33-$AL33&lt;1,($AL33&gt;Lists!G$22)*($AL33&lt;=Lists!G$21),MAX(0,MIN(Lists!G$21,$AM33)-MAX(Lists!G$22,$AL33))/($AM33-$AL33))))))))</f>
        <v>0</v>
      </c>
      <c r="R33" s="53" t="n">
        <f aca="false">IF($H33=0,0,IF($AP33="X",0,IF($AP33="S",$H33/$AO33*(MIN($AO33,MAX(0,INT((Lists!H$21-N($J33))/7)+1))-MIN($AO33,MAX(0,INT((Lists!H$22-N($J33))/7)+1))),IF($AP33="D",$H33*MAX(0,MIN(Lists!H$21,N($J33)+$AO33)-MAX(Lists!H$22,N($J33)))/$AO33,IF($AP33="M",$H33/$AO33*(IF(Lists!H$21&lt;$J33,0,MIN($AO33,(((YEAR(Lists!H$21)-YEAR($J33))*12+MONTH(Lists!H$21)-MONTH($J33))-(EDATE($J33,((YEAR(Lists!H$21)-YEAR($J33))*12+MONTH(Lists!H$21)-MONTH($J33)))&gt;Lists!H$21)+1)))-IF(Lists!H$22&lt;$J33,0,MIN($AO33,(((YEAR(Lists!H$22)-YEAR($J33))*12+MONTH(Lists!H$22)-MONTH($J33))-(EDATE($J33,((YEAR(Lists!H$22)-YEAR($J33))*12+MONTH(Lists!H$22)-MONTH($J33)))&gt;Lists!H$22)+1)))),IF($AP33="F",IF(N($K33)&lt;=0,0,MIN(MAX(0,$H33),N($K33)*IF(Lists!H$21&lt;$J33,0,(((YEAR(Lists!H$21)-YEAR($J33))*12+MONTH(Lists!H$21)-MONTH($J33))-(EDATE($J33,((YEAR(Lists!H$21)-YEAR($J33))*12+MONTH(Lists!H$21)-MONTH($J33)))&gt;Lists!H$21)+1)))-MIN(MAX(0,$H33),N($K33)*IF(Lists!H$22&lt;$J33,0,(((YEAR(Lists!H$22)-YEAR($J33))*12+MONTH(Lists!H$22)-MONTH($J33))-(EDATE($J33,((YEAR(Lists!H$22)-YEAR($J33))*12+MONTH(Lists!H$22)-MONTH($J33)))&gt;Lists!H$22)+1)))),N($C33)*IF($AE33-$AD33&lt;1,($AD33&gt;Lists!H$22)*($AD33&lt;=Lists!H$21),MAX(0,MIN(Lists!H$21,$AE33)-MAX(Lists!H$22,$AD33))/($AE33-$AD33))+N($D33)*IF($AG33-$AF33&lt;1,($AF33&gt;Lists!H$22)*($AF33&lt;=Lists!H$21),MAX(0,MIN(Lists!H$21,$AG33)-MAX(Lists!H$22,$AF33))/($AG33-$AF33))+N($E33)*IF($AI33-$AH33&lt;1,($AH33&gt;Lists!H$22)*($AH33&lt;=Lists!H$21),MAX(0,MIN(Lists!H$21,$AI33)-MAX(Lists!H$22,$AH33))/($AI33-$AH33))+N($F33)*IF($AK33-$AJ33&lt;1,($AJ33&gt;Lists!H$22)*($AJ33&lt;=Lists!H$21),MAX(0,MIN(Lists!H$21,$AK33)-MAX(Lists!H$22,$AJ33))/($AK33-$AJ33))+N($G33)*IF($AM33-$AL33&lt;1,($AL33&gt;Lists!H$22)*($AL33&lt;=Lists!H$21),MAX(0,MIN(Lists!H$21,$AM33)-MAX(Lists!H$22,$AL33))/($AM33-$AL33))))))))</f>
        <v>0</v>
      </c>
      <c r="S33" s="53" t="n">
        <f aca="false">IF($H33=0,0,IF($AP33="X",0,IF($AP33="S",$H33/$AO33*(MIN($AO33,MAX(0,INT((Lists!I$21-N($J33))/7)+1))-MIN($AO33,MAX(0,INT((Lists!I$22-N($J33))/7)+1))),IF($AP33="D",$H33*MAX(0,MIN(Lists!I$21,N($J33)+$AO33)-MAX(Lists!I$22,N($J33)))/$AO33,IF($AP33="M",$H33/$AO33*(IF(Lists!I$21&lt;$J33,0,MIN($AO33,(((YEAR(Lists!I$21)-YEAR($J33))*12+MONTH(Lists!I$21)-MONTH($J33))-(EDATE($J33,((YEAR(Lists!I$21)-YEAR($J33))*12+MONTH(Lists!I$21)-MONTH($J33)))&gt;Lists!I$21)+1)))-IF(Lists!I$22&lt;$J33,0,MIN($AO33,(((YEAR(Lists!I$22)-YEAR($J33))*12+MONTH(Lists!I$22)-MONTH($J33))-(EDATE($J33,((YEAR(Lists!I$22)-YEAR($J33))*12+MONTH(Lists!I$22)-MONTH($J33)))&gt;Lists!I$22)+1)))),IF($AP33="F",IF(N($K33)&lt;=0,0,MIN(MAX(0,$H33),N($K33)*IF(Lists!I$21&lt;$J33,0,(((YEAR(Lists!I$21)-YEAR($J33))*12+MONTH(Lists!I$21)-MONTH($J33))-(EDATE($J33,((YEAR(Lists!I$21)-YEAR($J33))*12+MONTH(Lists!I$21)-MONTH($J33)))&gt;Lists!I$21)+1)))-MIN(MAX(0,$H33),N($K33)*IF(Lists!I$22&lt;$J33,0,(((YEAR(Lists!I$22)-YEAR($J33))*12+MONTH(Lists!I$22)-MONTH($J33))-(EDATE($J33,((YEAR(Lists!I$22)-YEAR($J33))*12+MONTH(Lists!I$22)-MONTH($J33)))&gt;Lists!I$22)+1)))),N($C33)*IF($AE33-$AD33&lt;1,($AD33&gt;Lists!I$22)*($AD33&lt;=Lists!I$21),MAX(0,MIN(Lists!I$21,$AE33)-MAX(Lists!I$22,$AD33))/($AE33-$AD33))+N($D33)*IF($AG33-$AF33&lt;1,($AF33&gt;Lists!I$22)*($AF33&lt;=Lists!I$21),MAX(0,MIN(Lists!I$21,$AG33)-MAX(Lists!I$22,$AF33))/($AG33-$AF33))+N($E33)*IF($AI33-$AH33&lt;1,($AH33&gt;Lists!I$22)*($AH33&lt;=Lists!I$21),MAX(0,MIN(Lists!I$21,$AI33)-MAX(Lists!I$22,$AH33))/($AI33-$AH33))+N($F33)*IF($AK33-$AJ33&lt;1,($AJ33&gt;Lists!I$22)*($AJ33&lt;=Lists!I$21),MAX(0,MIN(Lists!I$21,$AK33)-MAX(Lists!I$22,$AJ33))/($AK33-$AJ33))+N($G33)*IF($AM33-$AL33&lt;1,($AL33&gt;Lists!I$22)*($AL33&lt;=Lists!I$21),MAX(0,MIN(Lists!I$21,$AM33)-MAX(Lists!I$22,$AL33))/($AM33-$AL33))))))))</f>
        <v>0</v>
      </c>
      <c r="T33" s="53" t="n">
        <f aca="false">IF($H33=0,0,IF($AP33="X",0,IF($AP33="S",$H33/$AO33*(MIN($AO33,MAX(0,INT((Lists!J$21-N($J33))/7)+1))-MIN($AO33,MAX(0,INT((Lists!J$22-N($J33))/7)+1))),IF($AP33="D",$H33*MAX(0,MIN(Lists!J$21,N($J33)+$AO33)-MAX(Lists!J$22,N($J33)))/$AO33,IF($AP33="M",$H33/$AO33*(IF(Lists!J$21&lt;$J33,0,MIN($AO33,(((YEAR(Lists!J$21)-YEAR($J33))*12+MONTH(Lists!J$21)-MONTH($J33))-(EDATE($J33,((YEAR(Lists!J$21)-YEAR($J33))*12+MONTH(Lists!J$21)-MONTH($J33)))&gt;Lists!J$21)+1)))-IF(Lists!J$22&lt;$J33,0,MIN($AO33,(((YEAR(Lists!J$22)-YEAR($J33))*12+MONTH(Lists!J$22)-MONTH($J33))-(EDATE($J33,((YEAR(Lists!J$22)-YEAR($J33))*12+MONTH(Lists!J$22)-MONTH($J33)))&gt;Lists!J$22)+1)))),IF($AP33="F",IF(N($K33)&lt;=0,0,MIN(MAX(0,$H33),N($K33)*IF(Lists!J$21&lt;$J33,0,(((YEAR(Lists!J$21)-YEAR($J33))*12+MONTH(Lists!J$21)-MONTH($J33))-(EDATE($J33,((YEAR(Lists!J$21)-YEAR($J33))*12+MONTH(Lists!J$21)-MONTH($J33)))&gt;Lists!J$21)+1)))-MIN(MAX(0,$H33),N($K33)*IF(Lists!J$22&lt;$J33,0,(((YEAR(Lists!J$22)-YEAR($J33))*12+MONTH(Lists!J$22)-MONTH($J33))-(EDATE($J33,((YEAR(Lists!J$22)-YEAR($J33))*12+MONTH(Lists!J$22)-MONTH($J33)))&gt;Lists!J$22)+1)))),N($C33)*IF($AE33-$AD33&lt;1,($AD33&gt;Lists!J$22)*($AD33&lt;=Lists!J$21),MAX(0,MIN(Lists!J$21,$AE33)-MAX(Lists!J$22,$AD33))/($AE33-$AD33))+N($D33)*IF($AG33-$AF33&lt;1,($AF33&gt;Lists!J$22)*($AF33&lt;=Lists!J$21),MAX(0,MIN(Lists!J$21,$AG33)-MAX(Lists!J$22,$AF33))/($AG33-$AF33))+N($E33)*IF($AI33-$AH33&lt;1,($AH33&gt;Lists!J$22)*($AH33&lt;=Lists!J$21),MAX(0,MIN(Lists!J$21,$AI33)-MAX(Lists!J$22,$AH33))/($AI33-$AH33))+N($F33)*IF($AK33-$AJ33&lt;1,($AJ33&gt;Lists!J$22)*($AJ33&lt;=Lists!J$21),MAX(0,MIN(Lists!J$21,$AK33)-MAX(Lists!J$22,$AJ33))/($AK33-$AJ33))+N($G33)*IF($AM33-$AL33&lt;1,($AL33&gt;Lists!J$22)*($AL33&lt;=Lists!J$21),MAX(0,MIN(Lists!J$21,$AM33)-MAX(Lists!J$22,$AL33))/($AM33-$AL33))))))))</f>
        <v>0</v>
      </c>
      <c r="U33" s="53" t="n">
        <f aca="false">IF($H33=0,0,IF($AP33="X",0,IF($AP33="S",$H33/$AO33*(MIN($AO33,MAX(0,INT((Lists!K$21-N($J33))/7)+1))-MIN($AO33,MAX(0,INT((Lists!K$22-N($J33))/7)+1))),IF($AP33="D",$H33*MAX(0,MIN(Lists!K$21,N($J33)+$AO33)-MAX(Lists!K$22,N($J33)))/$AO33,IF($AP33="M",$H33/$AO33*(IF(Lists!K$21&lt;$J33,0,MIN($AO33,(((YEAR(Lists!K$21)-YEAR($J33))*12+MONTH(Lists!K$21)-MONTH($J33))-(EDATE($J33,((YEAR(Lists!K$21)-YEAR($J33))*12+MONTH(Lists!K$21)-MONTH($J33)))&gt;Lists!K$21)+1)))-IF(Lists!K$22&lt;$J33,0,MIN($AO33,(((YEAR(Lists!K$22)-YEAR($J33))*12+MONTH(Lists!K$22)-MONTH($J33))-(EDATE($J33,((YEAR(Lists!K$22)-YEAR($J33))*12+MONTH(Lists!K$22)-MONTH($J33)))&gt;Lists!K$22)+1)))),IF($AP33="F",IF(N($K33)&lt;=0,0,MIN(MAX(0,$H33),N($K33)*IF(Lists!K$21&lt;$J33,0,(((YEAR(Lists!K$21)-YEAR($J33))*12+MONTH(Lists!K$21)-MONTH($J33))-(EDATE($J33,((YEAR(Lists!K$21)-YEAR($J33))*12+MONTH(Lists!K$21)-MONTH($J33)))&gt;Lists!K$21)+1)))-MIN(MAX(0,$H33),N($K33)*IF(Lists!K$22&lt;$J33,0,(((YEAR(Lists!K$22)-YEAR($J33))*12+MONTH(Lists!K$22)-MONTH($J33))-(EDATE($J33,((YEAR(Lists!K$22)-YEAR($J33))*12+MONTH(Lists!K$22)-MONTH($J33)))&gt;Lists!K$22)+1)))),N($C33)*IF($AE33-$AD33&lt;1,($AD33&gt;Lists!K$22)*($AD33&lt;=Lists!K$21),MAX(0,MIN(Lists!K$21,$AE33)-MAX(Lists!K$22,$AD33))/($AE33-$AD33))+N($D33)*IF($AG33-$AF33&lt;1,($AF33&gt;Lists!K$22)*($AF33&lt;=Lists!K$21),MAX(0,MIN(Lists!K$21,$AG33)-MAX(Lists!K$22,$AF33))/($AG33-$AF33))+N($E33)*IF($AI33-$AH33&lt;1,($AH33&gt;Lists!K$22)*($AH33&lt;=Lists!K$21),MAX(0,MIN(Lists!K$21,$AI33)-MAX(Lists!K$22,$AH33))/($AI33-$AH33))+N($F33)*IF($AK33-$AJ33&lt;1,($AJ33&gt;Lists!K$22)*($AJ33&lt;=Lists!K$21),MAX(0,MIN(Lists!K$21,$AK33)-MAX(Lists!K$22,$AJ33))/($AK33-$AJ33))+N($G33)*IF($AM33-$AL33&lt;1,($AL33&gt;Lists!K$22)*($AL33&lt;=Lists!K$21),MAX(0,MIN(Lists!K$21,$AM33)-MAX(Lists!K$22,$AL33))/($AM33-$AL33))))))))</f>
        <v>0</v>
      </c>
      <c r="V33" s="53" t="n">
        <f aca="false">IF($H33=0,0,IF($AP33="X",0,IF($AP33="S",$H33/$AO33*(MIN($AO33,MAX(0,INT((Lists!L$21-N($J33))/7)+1))-MIN($AO33,MAX(0,INT((Lists!L$22-N($J33))/7)+1))),IF($AP33="D",$H33*MAX(0,MIN(Lists!L$21,N($J33)+$AO33)-MAX(Lists!L$22,N($J33)))/$AO33,IF($AP33="M",$H33/$AO33*(IF(Lists!L$21&lt;$J33,0,MIN($AO33,(((YEAR(Lists!L$21)-YEAR($J33))*12+MONTH(Lists!L$21)-MONTH($J33))-(EDATE($J33,((YEAR(Lists!L$21)-YEAR($J33))*12+MONTH(Lists!L$21)-MONTH($J33)))&gt;Lists!L$21)+1)))-IF(Lists!L$22&lt;$J33,0,MIN($AO33,(((YEAR(Lists!L$22)-YEAR($J33))*12+MONTH(Lists!L$22)-MONTH($J33))-(EDATE($J33,((YEAR(Lists!L$22)-YEAR($J33))*12+MONTH(Lists!L$22)-MONTH($J33)))&gt;Lists!L$22)+1)))),IF($AP33="F",IF(N($K33)&lt;=0,0,MIN(MAX(0,$H33),N($K33)*IF(Lists!L$21&lt;$J33,0,(((YEAR(Lists!L$21)-YEAR($J33))*12+MONTH(Lists!L$21)-MONTH($J33))-(EDATE($J33,((YEAR(Lists!L$21)-YEAR($J33))*12+MONTH(Lists!L$21)-MONTH($J33)))&gt;Lists!L$21)+1)))-MIN(MAX(0,$H33),N($K33)*IF(Lists!L$22&lt;$J33,0,(((YEAR(Lists!L$22)-YEAR($J33))*12+MONTH(Lists!L$22)-MONTH($J33))-(EDATE($J33,((YEAR(Lists!L$22)-YEAR($J33))*12+MONTH(Lists!L$22)-MONTH($J33)))&gt;Lists!L$22)+1)))),N($C33)*IF($AE33-$AD33&lt;1,($AD33&gt;Lists!L$22)*($AD33&lt;=Lists!L$21),MAX(0,MIN(Lists!L$21,$AE33)-MAX(Lists!L$22,$AD33))/($AE33-$AD33))+N($D33)*IF($AG33-$AF33&lt;1,($AF33&gt;Lists!L$22)*($AF33&lt;=Lists!L$21),MAX(0,MIN(Lists!L$21,$AG33)-MAX(Lists!L$22,$AF33))/($AG33-$AF33))+N($E33)*IF($AI33-$AH33&lt;1,($AH33&gt;Lists!L$22)*($AH33&lt;=Lists!L$21),MAX(0,MIN(Lists!L$21,$AI33)-MAX(Lists!L$22,$AH33))/($AI33-$AH33))+N($F33)*IF($AK33-$AJ33&lt;1,($AJ33&gt;Lists!L$22)*($AJ33&lt;=Lists!L$21),MAX(0,MIN(Lists!L$21,$AK33)-MAX(Lists!L$22,$AJ33))/($AK33-$AJ33))+N($G33)*IF($AM33-$AL33&lt;1,($AL33&gt;Lists!L$22)*($AL33&lt;=Lists!L$21),MAX(0,MIN(Lists!L$21,$AM33)-MAX(Lists!L$22,$AL33))/($AM33-$AL33))))))))</f>
        <v>0</v>
      </c>
      <c r="W33" s="53" t="n">
        <f aca="false">IF($H33=0,0,IF($AP33="X",0,IF($AP33="S",$H33/$AO33*(MIN($AO33,MAX(0,INT((Lists!M$21-N($J33))/7)+1))-MIN($AO33,MAX(0,INT((Lists!M$22-N($J33))/7)+1))),IF($AP33="D",$H33*MAX(0,MIN(Lists!M$21,N($J33)+$AO33)-MAX(Lists!M$22,N($J33)))/$AO33,IF($AP33="M",$H33/$AO33*(IF(Lists!M$21&lt;$J33,0,MIN($AO33,(((YEAR(Lists!M$21)-YEAR($J33))*12+MONTH(Lists!M$21)-MONTH($J33))-(EDATE($J33,((YEAR(Lists!M$21)-YEAR($J33))*12+MONTH(Lists!M$21)-MONTH($J33)))&gt;Lists!M$21)+1)))-IF(Lists!M$22&lt;$J33,0,MIN($AO33,(((YEAR(Lists!M$22)-YEAR($J33))*12+MONTH(Lists!M$22)-MONTH($J33))-(EDATE($J33,((YEAR(Lists!M$22)-YEAR($J33))*12+MONTH(Lists!M$22)-MONTH($J33)))&gt;Lists!M$22)+1)))),IF($AP33="F",IF(N($K33)&lt;=0,0,MIN(MAX(0,$H33),N($K33)*IF(Lists!M$21&lt;$J33,0,(((YEAR(Lists!M$21)-YEAR($J33))*12+MONTH(Lists!M$21)-MONTH($J33))-(EDATE($J33,((YEAR(Lists!M$21)-YEAR($J33))*12+MONTH(Lists!M$21)-MONTH($J33)))&gt;Lists!M$21)+1)))-MIN(MAX(0,$H33),N($K33)*IF(Lists!M$22&lt;$J33,0,(((YEAR(Lists!M$22)-YEAR($J33))*12+MONTH(Lists!M$22)-MONTH($J33))-(EDATE($J33,((YEAR(Lists!M$22)-YEAR($J33))*12+MONTH(Lists!M$22)-MONTH($J33)))&gt;Lists!M$22)+1)))),N($C33)*IF($AE33-$AD33&lt;1,($AD33&gt;Lists!M$22)*($AD33&lt;=Lists!M$21),MAX(0,MIN(Lists!M$21,$AE33)-MAX(Lists!M$22,$AD33))/($AE33-$AD33))+N($D33)*IF($AG33-$AF33&lt;1,($AF33&gt;Lists!M$22)*($AF33&lt;=Lists!M$21),MAX(0,MIN(Lists!M$21,$AG33)-MAX(Lists!M$22,$AF33))/($AG33-$AF33))+N($E33)*IF($AI33-$AH33&lt;1,($AH33&gt;Lists!M$22)*($AH33&lt;=Lists!M$21),MAX(0,MIN(Lists!M$21,$AI33)-MAX(Lists!M$22,$AH33))/($AI33-$AH33))+N($F33)*IF($AK33-$AJ33&lt;1,($AJ33&gt;Lists!M$22)*($AJ33&lt;=Lists!M$21),MAX(0,MIN(Lists!M$21,$AK33)-MAX(Lists!M$22,$AJ33))/($AK33-$AJ33))+N($G33)*IF($AM33-$AL33&lt;1,($AL33&gt;Lists!M$22)*($AL33&lt;=Lists!M$21),MAX(0,MIN(Lists!M$21,$AM33)-MAX(Lists!M$22,$AL33))/($AM33-$AL33))))))))</f>
        <v>0</v>
      </c>
      <c r="X33" s="53" t="n">
        <f aca="false">IF($H33=0,0,IF($AP33="X",0,IF($AP33="S",$H33/$AO33*(MIN($AO33,MAX(0,INT((Lists!N$21-N($J33))/7)+1))-MIN($AO33,MAX(0,INT((Lists!N$22-N($J33))/7)+1))),IF($AP33="D",$H33*MAX(0,MIN(Lists!N$21,N($J33)+$AO33)-MAX(Lists!N$22,N($J33)))/$AO33,IF($AP33="M",$H33/$AO33*(IF(Lists!N$21&lt;$J33,0,MIN($AO33,(((YEAR(Lists!N$21)-YEAR($J33))*12+MONTH(Lists!N$21)-MONTH($J33))-(EDATE($J33,((YEAR(Lists!N$21)-YEAR($J33))*12+MONTH(Lists!N$21)-MONTH($J33)))&gt;Lists!N$21)+1)))-IF(Lists!N$22&lt;$J33,0,MIN($AO33,(((YEAR(Lists!N$22)-YEAR($J33))*12+MONTH(Lists!N$22)-MONTH($J33))-(EDATE($J33,((YEAR(Lists!N$22)-YEAR($J33))*12+MONTH(Lists!N$22)-MONTH($J33)))&gt;Lists!N$22)+1)))),IF($AP33="F",IF(N($K33)&lt;=0,0,MIN(MAX(0,$H33),N($K33)*IF(Lists!N$21&lt;$J33,0,(((YEAR(Lists!N$21)-YEAR($J33))*12+MONTH(Lists!N$21)-MONTH($J33))-(EDATE($J33,((YEAR(Lists!N$21)-YEAR($J33))*12+MONTH(Lists!N$21)-MONTH($J33)))&gt;Lists!N$21)+1)))-MIN(MAX(0,$H33),N($K33)*IF(Lists!N$22&lt;$J33,0,(((YEAR(Lists!N$22)-YEAR($J33))*12+MONTH(Lists!N$22)-MONTH($J33))-(EDATE($J33,((YEAR(Lists!N$22)-YEAR($J33))*12+MONTH(Lists!N$22)-MONTH($J33)))&gt;Lists!N$22)+1)))),N($C33)*IF($AE33-$AD33&lt;1,($AD33&gt;Lists!N$22)*($AD33&lt;=Lists!N$21),MAX(0,MIN(Lists!N$21,$AE33)-MAX(Lists!N$22,$AD33))/($AE33-$AD33))+N($D33)*IF($AG33-$AF33&lt;1,($AF33&gt;Lists!N$22)*($AF33&lt;=Lists!N$21),MAX(0,MIN(Lists!N$21,$AG33)-MAX(Lists!N$22,$AF33))/($AG33-$AF33))+N($E33)*IF($AI33-$AH33&lt;1,($AH33&gt;Lists!N$22)*($AH33&lt;=Lists!N$21),MAX(0,MIN(Lists!N$21,$AI33)-MAX(Lists!N$22,$AH33))/($AI33-$AH33))+N($F33)*IF($AK33-$AJ33&lt;1,($AJ33&gt;Lists!N$22)*($AJ33&lt;=Lists!N$21),MAX(0,MIN(Lists!N$21,$AK33)-MAX(Lists!N$22,$AJ33))/($AK33-$AJ33))+N($G33)*IF($AM33-$AL33&lt;1,($AL33&gt;Lists!N$22)*($AL33&lt;=Lists!N$21),MAX(0,MIN(Lists!N$21,$AM33)-MAX(Lists!N$22,$AL33))/($AM33-$AL33))))))))</f>
        <v>0</v>
      </c>
      <c r="Y33" s="53" t="n">
        <f aca="false">IF($H33=0,0,IF($AP33="X",0,IF($AP33="S",$H33/$AO33*(MIN($AO33,MAX(0,INT((Lists!O$21-N($J33))/7)+1))-MIN($AO33,MAX(0,INT((Lists!O$22-N($J33))/7)+1))),IF($AP33="D",$H33*MAX(0,MIN(Lists!O$21,N($J33)+$AO33)-MAX(Lists!O$22,N($J33)))/$AO33,IF($AP33="M",$H33/$AO33*(IF(Lists!O$21&lt;$J33,0,MIN($AO33,(((YEAR(Lists!O$21)-YEAR($J33))*12+MONTH(Lists!O$21)-MONTH($J33))-(EDATE($J33,((YEAR(Lists!O$21)-YEAR($J33))*12+MONTH(Lists!O$21)-MONTH($J33)))&gt;Lists!O$21)+1)))-IF(Lists!O$22&lt;$J33,0,MIN($AO33,(((YEAR(Lists!O$22)-YEAR($J33))*12+MONTH(Lists!O$22)-MONTH($J33))-(EDATE($J33,((YEAR(Lists!O$22)-YEAR($J33))*12+MONTH(Lists!O$22)-MONTH($J33)))&gt;Lists!O$22)+1)))),IF($AP33="F",IF(N($K33)&lt;=0,0,MIN(MAX(0,$H33),N($K33)*IF(Lists!O$21&lt;$J33,0,(((YEAR(Lists!O$21)-YEAR($J33))*12+MONTH(Lists!O$21)-MONTH($J33))-(EDATE($J33,((YEAR(Lists!O$21)-YEAR($J33))*12+MONTH(Lists!O$21)-MONTH($J33)))&gt;Lists!O$21)+1)))-MIN(MAX(0,$H33),N($K33)*IF(Lists!O$22&lt;$J33,0,(((YEAR(Lists!O$22)-YEAR($J33))*12+MONTH(Lists!O$22)-MONTH($J33))-(EDATE($J33,((YEAR(Lists!O$22)-YEAR($J33))*12+MONTH(Lists!O$22)-MONTH($J33)))&gt;Lists!O$22)+1)))),N($C33)*IF($AE33-$AD33&lt;1,($AD33&gt;Lists!O$22)*($AD33&lt;=Lists!O$21),MAX(0,MIN(Lists!O$21,$AE33)-MAX(Lists!O$22,$AD33))/($AE33-$AD33))+N($D33)*IF($AG33-$AF33&lt;1,($AF33&gt;Lists!O$22)*($AF33&lt;=Lists!O$21),MAX(0,MIN(Lists!O$21,$AG33)-MAX(Lists!O$22,$AF33))/($AG33-$AF33))+N($E33)*IF($AI33-$AH33&lt;1,($AH33&gt;Lists!O$22)*($AH33&lt;=Lists!O$21),MAX(0,MIN(Lists!O$21,$AI33)-MAX(Lists!O$22,$AH33))/($AI33-$AH33))+N($F33)*IF($AK33-$AJ33&lt;1,($AJ33&gt;Lists!O$22)*($AJ33&lt;=Lists!O$21),MAX(0,MIN(Lists!O$21,$AK33)-MAX(Lists!O$22,$AJ33))/($AK33-$AJ33))+N($G33)*IF($AM33-$AL33&lt;1,($AL33&gt;Lists!O$22)*($AL33&lt;=Lists!O$21),MAX(0,MIN(Lists!O$21,$AM33)-MAX(Lists!O$22,$AL33))/($AM33-$AL33))))))))</f>
        <v>0</v>
      </c>
      <c r="Z33" s="46" t="n">
        <f aca="false">SUM(M33:Y33)</f>
        <v>0</v>
      </c>
      <c r="AA33" s="92" t="n">
        <f aca="false">H33-Z33</f>
        <v>0</v>
      </c>
      <c r="AB33" s="55"/>
      <c r="AC33" s="2"/>
      <c r="AD33" s="93" t="n">
        <f aca="false">Setup!$D$10+MAX(0,$AN33-30)</f>
        <v>46365</v>
      </c>
      <c r="AE33" s="93" t="n">
        <f aca="false">Setup!$D$10+IF($AN33-30&lt;0,MAX(Setup!$D$22,$AN33-0),$AN33-0)</f>
        <v>46395</v>
      </c>
      <c r="AF33" s="93" t="n">
        <f aca="false">Setup!$D$10+MAX(0,$AN33-60)</f>
        <v>46335</v>
      </c>
      <c r="AG33" s="93" t="n">
        <f aca="false">Setup!$D$10+IF($AN33-60&lt;0,MAX(Setup!$D$22,$AN33-31),$AN33-31)</f>
        <v>46364</v>
      </c>
      <c r="AH33" s="93" t="n">
        <f aca="false">Setup!$D$10+MAX(0,$AN33-90)</f>
        <v>46335</v>
      </c>
      <c r="AI33" s="93" t="n">
        <f aca="false">Setup!$D$10+IF($AN33-90&lt;0,MAX(Setup!$D$22,$AN33-61),$AN33-61)</f>
        <v>46363</v>
      </c>
      <c r="AJ33" s="93" t="n">
        <f aca="false">Setup!$D$10+MAX(0,$AN33-120)</f>
        <v>46335</v>
      </c>
      <c r="AK33" s="93" t="n">
        <f aca="false">Setup!$D$10+IF($AN33-120&lt;0,MAX(Setup!$D$22,$AN33-91),$AN33-91)</f>
        <v>46363</v>
      </c>
      <c r="AL33" s="93" t="n">
        <f aca="false">IF(Setup!$D$23="Yes",2958465,Setup!$D$10)</f>
        <v>2958465</v>
      </c>
      <c r="AM33" s="93" t="n">
        <f aca="false">IF(AL33=2958465,AL33,Setup!$D$10+Setup!$D$22)</f>
        <v>2958465</v>
      </c>
      <c r="AN33" s="94" t="n">
        <f aca="false">IF(N(L33)=0,Setup!$D$20,L33)</f>
        <v>60</v>
      </c>
      <c r="AO33" s="94" t="n">
        <f aca="false">MAX(1,ROUND(N(K33),0))</f>
        <v>1</v>
      </c>
      <c r="AP33" s="95" t="str">
        <f aca="false">IF(I33="Doubtful","X",IF(N(J33)=0,"A",IF(I33="Specific date","S",IF(I33="Spread over days","D",IF(I33="Monthly on set day","M",IF(I33="Monthly fixed amount","F","A"))))))</f>
        <v>A</v>
      </c>
    </row>
    <row r="34" customFormat="false" ht="15" hidden="false" customHeight="false" outlineLevel="0" collapsed="false">
      <c r="A34" s="87" t="n">
        <v>26</v>
      </c>
      <c r="B34" s="55"/>
      <c r="C34" s="88"/>
      <c r="D34" s="88"/>
      <c r="E34" s="88"/>
      <c r="F34" s="88"/>
      <c r="G34" s="88"/>
      <c r="H34" s="89" t="n">
        <f aca="false">SUM(C34:G34)</f>
        <v>0</v>
      </c>
      <c r="I34" s="58"/>
      <c r="J34" s="90"/>
      <c r="K34" s="91"/>
      <c r="L34" s="80"/>
      <c r="M34" s="53" t="n">
        <f aca="false">IF($H34=0,0,IF($AP34="X",0,IF($AP34="S",$H34/$AO34*(MIN($AO34,MAX(0,INT((Lists!C$21-N($J34))/7)+1))-MIN($AO34,MAX(0,INT((Lists!C$22-N($J34))/7)+1))),IF($AP34="D",$H34*MAX(0,MIN(Lists!C$21,N($J34)+$AO34)-MAX(Lists!C$22,N($J34)))/$AO34,IF($AP34="M",$H34/$AO34*(IF(Lists!C$21&lt;$J34,0,MIN($AO34,(((YEAR(Lists!C$21)-YEAR($J34))*12+MONTH(Lists!C$21)-MONTH($J34))-(EDATE($J34,((YEAR(Lists!C$21)-YEAR($J34))*12+MONTH(Lists!C$21)-MONTH($J34)))&gt;Lists!C$21)+1)))-IF(Lists!C$22&lt;$J34,0,MIN($AO34,(((YEAR(Lists!C$22)-YEAR($J34))*12+MONTH(Lists!C$22)-MONTH($J34))-(EDATE($J34,((YEAR(Lists!C$22)-YEAR($J34))*12+MONTH(Lists!C$22)-MONTH($J34)))&gt;Lists!C$22)+1)))),IF($AP34="F",IF(N($K34)&lt;=0,0,MIN(MAX(0,$H34),N($K34)*IF(Lists!C$21&lt;$J34,0,(((YEAR(Lists!C$21)-YEAR($J34))*12+MONTH(Lists!C$21)-MONTH($J34))-(EDATE($J34,((YEAR(Lists!C$21)-YEAR($J34))*12+MONTH(Lists!C$21)-MONTH($J34)))&gt;Lists!C$21)+1)))-MIN(MAX(0,$H34),N($K34)*IF(Lists!C$22&lt;$J34,0,(((YEAR(Lists!C$22)-YEAR($J34))*12+MONTH(Lists!C$22)-MONTH($J34))-(EDATE($J34,((YEAR(Lists!C$22)-YEAR($J34))*12+MONTH(Lists!C$22)-MONTH($J34)))&gt;Lists!C$22)+1)))),N($C34)*IF($AE34-$AD34&lt;1,($AD34&gt;Lists!C$22)*($AD34&lt;=Lists!C$21),MAX(0,MIN(Lists!C$21,$AE34)-MAX(Lists!C$22,$AD34))/($AE34-$AD34))+N($D34)*IF($AG34-$AF34&lt;1,($AF34&gt;Lists!C$22)*($AF34&lt;=Lists!C$21),MAX(0,MIN(Lists!C$21,$AG34)-MAX(Lists!C$22,$AF34))/($AG34-$AF34))+N($E34)*IF($AI34-$AH34&lt;1,($AH34&gt;Lists!C$22)*($AH34&lt;=Lists!C$21),MAX(0,MIN(Lists!C$21,$AI34)-MAX(Lists!C$22,$AH34))/($AI34-$AH34))+N($F34)*IF($AK34-$AJ34&lt;1,($AJ34&gt;Lists!C$22)*($AJ34&lt;=Lists!C$21),MAX(0,MIN(Lists!C$21,$AK34)-MAX(Lists!C$22,$AJ34))/($AK34-$AJ34))+N($G34)*IF($AM34-$AL34&lt;1,($AL34&gt;Lists!C$22)*($AL34&lt;=Lists!C$21),MAX(0,MIN(Lists!C$21,$AM34)-MAX(Lists!C$22,$AL34))/($AM34-$AL34))))))))</f>
        <v>0</v>
      </c>
      <c r="N34" s="53" t="n">
        <f aca="false">IF($H34=0,0,IF($AP34="X",0,IF($AP34="S",$H34/$AO34*(MIN($AO34,MAX(0,INT((Lists!D$21-N($J34))/7)+1))-MIN($AO34,MAX(0,INT((Lists!D$22-N($J34))/7)+1))),IF($AP34="D",$H34*MAX(0,MIN(Lists!D$21,N($J34)+$AO34)-MAX(Lists!D$22,N($J34)))/$AO34,IF($AP34="M",$H34/$AO34*(IF(Lists!D$21&lt;$J34,0,MIN($AO34,(((YEAR(Lists!D$21)-YEAR($J34))*12+MONTH(Lists!D$21)-MONTH($J34))-(EDATE($J34,((YEAR(Lists!D$21)-YEAR($J34))*12+MONTH(Lists!D$21)-MONTH($J34)))&gt;Lists!D$21)+1)))-IF(Lists!D$22&lt;$J34,0,MIN($AO34,(((YEAR(Lists!D$22)-YEAR($J34))*12+MONTH(Lists!D$22)-MONTH($J34))-(EDATE($J34,((YEAR(Lists!D$22)-YEAR($J34))*12+MONTH(Lists!D$22)-MONTH($J34)))&gt;Lists!D$22)+1)))),IF($AP34="F",IF(N($K34)&lt;=0,0,MIN(MAX(0,$H34),N($K34)*IF(Lists!D$21&lt;$J34,0,(((YEAR(Lists!D$21)-YEAR($J34))*12+MONTH(Lists!D$21)-MONTH($J34))-(EDATE($J34,((YEAR(Lists!D$21)-YEAR($J34))*12+MONTH(Lists!D$21)-MONTH($J34)))&gt;Lists!D$21)+1)))-MIN(MAX(0,$H34),N($K34)*IF(Lists!D$22&lt;$J34,0,(((YEAR(Lists!D$22)-YEAR($J34))*12+MONTH(Lists!D$22)-MONTH($J34))-(EDATE($J34,((YEAR(Lists!D$22)-YEAR($J34))*12+MONTH(Lists!D$22)-MONTH($J34)))&gt;Lists!D$22)+1)))),N($C34)*IF($AE34-$AD34&lt;1,($AD34&gt;Lists!D$22)*($AD34&lt;=Lists!D$21),MAX(0,MIN(Lists!D$21,$AE34)-MAX(Lists!D$22,$AD34))/($AE34-$AD34))+N($D34)*IF($AG34-$AF34&lt;1,($AF34&gt;Lists!D$22)*($AF34&lt;=Lists!D$21),MAX(0,MIN(Lists!D$21,$AG34)-MAX(Lists!D$22,$AF34))/($AG34-$AF34))+N($E34)*IF($AI34-$AH34&lt;1,($AH34&gt;Lists!D$22)*($AH34&lt;=Lists!D$21),MAX(0,MIN(Lists!D$21,$AI34)-MAX(Lists!D$22,$AH34))/($AI34-$AH34))+N($F34)*IF($AK34-$AJ34&lt;1,($AJ34&gt;Lists!D$22)*($AJ34&lt;=Lists!D$21),MAX(0,MIN(Lists!D$21,$AK34)-MAX(Lists!D$22,$AJ34))/($AK34-$AJ34))+N($G34)*IF($AM34-$AL34&lt;1,($AL34&gt;Lists!D$22)*($AL34&lt;=Lists!D$21),MAX(0,MIN(Lists!D$21,$AM34)-MAX(Lists!D$22,$AL34))/($AM34-$AL34))))))))</f>
        <v>0</v>
      </c>
      <c r="O34" s="53" t="n">
        <f aca="false">IF($H34=0,0,IF($AP34="X",0,IF($AP34="S",$H34/$AO34*(MIN($AO34,MAX(0,INT((Lists!E$21-N($J34))/7)+1))-MIN($AO34,MAX(0,INT((Lists!E$22-N($J34))/7)+1))),IF($AP34="D",$H34*MAX(0,MIN(Lists!E$21,N($J34)+$AO34)-MAX(Lists!E$22,N($J34)))/$AO34,IF($AP34="M",$H34/$AO34*(IF(Lists!E$21&lt;$J34,0,MIN($AO34,(((YEAR(Lists!E$21)-YEAR($J34))*12+MONTH(Lists!E$21)-MONTH($J34))-(EDATE($J34,((YEAR(Lists!E$21)-YEAR($J34))*12+MONTH(Lists!E$21)-MONTH($J34)))&gt;Lists!E$21)+1)))-IF(Lists!E$22&lt;$J34,0,MIN($AO34,(((YEAR(Lists!E$22)-YEAR($J34))*12+MONTH(Lists!E$22)-MONTH($J34))-(EDATE($J34,((YEAR(Lists!E$22)-YEAR($J34))*12+MONTH(Lists!E$22)-MONTH($J34)))&gt;Lists!E$22)+1)))),IF($AP34="F",IF(N($K34)&lt;=0,0,MIN(MAX(0,$H34),N($K34)*IF(Lists!E$21&lt;$J34,0,(((YEAR(Lists!E$21)-YEAR($J34))*12+MONTH(Lists!E$21)-MONTH($J34))-(EDATE($J34,((YEAR(Lists!E$21)-YEAR($J34))*12+MONTH(Lists!E$21)-MONTH($J34)))&gt;Lists!E$21)+1)))-MIN(MAX(0,$H34),N($K34)*IF(Lists!E$22&lt;$J34,0,(((YEAR(Lists!E$22)-YEAR($J34))*12+MONTH(Lists!E$22)-MONTH($J34))-(EDATE($J34,((YEAR(Lists!E$22)-YEAR($J34))*12+MONTH(Lists!E$22)-MONTH($J34)))&gt;Lists!E$22)+1)))),N($C34)*IF($AE34-$AD34&lt;1,($AD34&gt;Lists!E$22)*($AD34&lt;=Lists!E$21),MAX(0,MIN(Lists!E$21,$AE34)-MAX(Lists!E$22,$AD34))/($AE34-$AD34))+N($D34)*IF($AG34-$AF34&lt;1,($AF34&gt;Lists!E$22)*($AF34&lt;=Lists!E$21),MAX(0,MIN(Lists!E$21,$AG34)-MAX(Lists!E$22,$AF34))/($AG34-$AF34))+N($E34)*IF($AI34-$AH34&lt;1,($AH34&gt;Lists!E$22)*($AH34&lt;=Lists!E$21),MAX(0,MIN(Lists!E$21,$AI34)-MAX(Lists!E$22,$AH34))/($AI34-$AH34))+N($F34)*IF($AK34-$AJ34&lt;1,($AJ34&gt;Lists!E$22)*($AJ34&lt;=Lists!E$21),MAX(0,MIN(Lists!E$21,$AK34)-MAX(Lists!E$22,$AJ34))/($AK34-$AJ34))+N($G34)*IF($AM34-$AL34&lt;1,($AL34&gt;Lists!E$22)*($AL34&lt;=Lists!E$21),MAX(0,MIN(Lists!E$21,$AM34)-MAX(Lists!E$22,$AL34))/($AM34-$AL34))))))))</f>
        <v>0</v>
      </c>
      <c r="P34" s="53" t="n">
        <f aca="false">IF($H34=0,0,IF($AP34="X",0,IF($AP34="S",$H34/$AO34*(MIN($AO34,MAX(0,INT((Lists!F$21-N($J34))/7)+1))-MIN($AO34,MAX(0,INT((Lists!F$22-N($J34))/7)+1))),IF($AP34="D",$H34*MAX(0,MIN(Lists!F$21,N($J34)+$AO34)-MAX(Lists!F$22,N($J34)))/$AO34,IF($AP34="M",$H34/$AO34*(IF(Lists!F$21&lt;$J34,0,MIN($AO34,(((YEAR(Lists!F$21)-YEAR($J34))*12+MONTH(Lists!F$21)-MONTH($J34))-(EDATE($J34,((YEAR(Lists!F$21)-YEAR($J34))*12+MONTH(Lists!F$21)-MONTH($J34)))&gt;Lists!F$21)+1)))-IF(Lists!F$22&lt;$J34,0,MIN($AO34,(((YEAR(Lists!F$22)-YEAR($J34))*12+MONTH(Lists!F$22)-MONTH($J34))-(EDATE($J34,((YEAR(Lists!F$22)-YEAR($J34))*12+MONTH(Lists!F$22)-MONTH($J34)))&gt;Lists!F$22)+1)))),IF($AP34="F",IF(N($K34)&lt;=0,0,MIN(MAX(0,$H34),N($K34)*IF(Lists!F$21&lt;$J34,0,(((YEAR(Lists!F$21)-YEAR($J34))*12+MONTH(Lists!F$21)-MONTH($J34))-(EDATE($J34,((YEAR(Lists!F$21)-YEAR($J34))*12+MONTH(Lists!F$21)-MONTH($J34)))&gt;Lists!F$21)+1)))-MIN(MAX(0,$H34),N($K34)*IF(Lists!F$22&lt;$J34,0,(((YEAR(Lists!F$22)-YEAR($J34))*12+MONTH(Lists!F$22)-MONTH($J34))-(EDATE($J34,((YEAR(Lists!F$22)-YEAR($J34))*12+MONTH(Lists!F$22)-MONTH($J34)))&gt;Lists!F$22)+1)))),N($C34)*IF($AE34-$AD34&lt;1,($AD34&gt;Lists!F$22)*($AD34&lt;=Lists!F$21),MAX(0,MIN(Lists!F$21,$AE34)-MAX(Lists!F$22,$AD34))/($AE34-$AD34))+N($D34)*IF($AG34-$AF34&lt;1,($AF34&gt;Lists!F$22)*($AF34&lt;=Lists!F$21),MAX(0,MIN(Lists!F$21,$AG34)-MAX(Lists!F$22,$AF34))/($AG34-$AF34))+N($E34)*IF($AI34-$AH34&lt;1,($AH34&gt;Lists!F$22)*($AH34&lt;=Lists!F$21),MAX(0,MIN(Lists!F$21,$AI34)-MAX(Lists!F$22,$AH34))/($AI34-$AH34))+N($F34)*IF($AK34-$AJ34&lt;1,($AJ34&gt;Lists!F$22)*($AJ34&lt;=Lists!F$21),MAX(0,MIN(Lists!F$21,$AK34)-MAX(Lists!F$22,$AJ34))/($AK34-$AJ34))+N($G34)*IF($AM34-$AL34&lt;1,($AL34&gt;Lists!F$22)*($AL34&lt;=Lists!F$21),MAX(0,MIN(Lists!F$21,$AM34)-MAX(Lists!F$22,$AL34))/($AM34-$AL34))))))))</f>
        <v>0</v>
      </c>
      <c r="Q34" s="53" t="n">
        <f aca="false">IF($H34=0,0,IF($AP34="X",0,IF($AP34="S",$H34/$AO34*(MIN($AO34,MAX(0,INT((Lists!G$21-N($J34))/7)+1))-MIN($AO34,MAX(0,INT((Lists!G$22-N($J34))/7)+1))),IF($AP34="D",$H34*MAX(0,MIN(Lists!G$21,N($J34)+$AO34)-MAX(Lists!G$22,N($J34)))/$AO34,IF($AP34="M",$H34/$AO34*(IF(Lists!G$21&lt;$J34,0,MIN($AO34,(((YEAR(Lists!G$21)-YEAR($J34))*12+MONTH(Lists!G$21)-MONTH($J34))-(EDATE($J34,((YEAR(Lists!G$21)-YEAR($J34))*12+MONTH(Lists!G$21)-MONTH($J34)))&gt;Lists!G$21)+1)))-IF(Lists!G$22&lt;$J34,0,MIN($AO34,(((YEAR(Lists!G$22)-YEAR($J34))*12+MONTH(Lists!G$22)-MONTH($J34))-(EDATE($J34,((YEAR(Lists!G$22)-YEAR($J34))*12+MONTH(Lists!G$22)-MONTH($J34)))&gt;Lists!G$22)+1)))),IF($AP34="F",IF(N($K34)&lt;=0,0,MIN(MAX(0,$H34),N($K34)*IF(Lists!G$21&lt;$J34,0,(((YEAR(Lists!G$21)-YEAR($J34))*12+MONTH(Lists!G$21)-MONTH($J34))-(EDATE($J34,((YEAR(Lists!G$21)-YEAR($J34))*12+MONTH(Lists!G$21)-MONTH($J34)))&gt;Lists!G$21)+1)))-MIN(MAX(0,$H34),N($K34)*IF(Lists!G$22&lt;$J34,0,(((YEAR(Lists!G$22)-YEAR($J34))*12+MONTH(Lists!G$22)-MONTH($J34))-(EDATE($J34,((YEAR(Lists!G$22)-YEAR($J34))*12+MONTH(Lists!G$22)-MONTH($J34)))&gt;Lists!G$22)+1)))),N($C34)*IF($AE34-$AD34&lt;1,($AD34&gt;Lists!G$22)*($AD34&lt;=Lists!G$21),MAX(0,MIN(Lists!G$21,$AE34)-MAX(Lists!G$22,$AD34))/($AE34-$AD34))+N($D34)*IF($AG34-$AF34&lt;1,($AF34&gt;Lists!G$22)*($AF34&lt;=Lists!G$21),MAX(0,MIN(Lists!G$21,$AG34)-MAX(Lists!G$22,$AF34))/($AG34-$AF34))+N($E34)*IF($AI34-$AH34&lt;1,($AH34&gt;Lists!G$22)*($AH34&lt;=Lists!G$21),MAX(0,MIN(Lists!G$21,$AI34)-MAX(Lists!G$22,$AH34))/($AI34-$AH34))+N($F34)*IF($AK34-$AJ34&lt;1,($AJ34&gt;Lists!G$22)*($AJ34&lt;=Lists!G$21),MAX(0,MIN(Lists!G$21,$AK34)-MAX(Lists!G$22,$AJ34))/($AK34-$AJ34))+N($G34)*IF($AM34-$AL34&lt;1,($AL34&gt;Lists!G$22)*($AL34&lt;=Lists!G$21),MAX(0,MIN(Lists!G$21,$AM34)-MAX(Lists!G$22,$AL34))/($AM34-$AL34))))))))</f>
        <v>0</v>
      </c>
      <c r="R34" s="53" t="n">
        <f aca="false">IF($H34=0,0,IF($AP34="X",0,IF($AP34="S",$H34/$AO34*(MIN($AO34,MAX(0,INT((Lists!H$21-N($J34))/7)+1))-MIN($AO34,MAX(0,INT((Lists!H$22-N($J34))/7)+1))),IF($AP34="D",$H34*MAX(0,MIN(Lists!H$21,N($J34)+$AO34)-MAX(Lists!H$22,N($J34)))/$AO34,IF($AP34="M",$H34/$AO34*(IF(Lists!H$21&lt;$J34,0,MIN($AO34,(((YEAR(Lists!H$21)-YEAR($J34))*12+MONTH(Lists!H$21)-MONTH($J34))-(EDATE($J34,((YEAR(Lists!H$21)-YEAR($J34))*12+MONTH(Lists!H$21)-MONTH($J34)))&gt;Lists!H$21)+1)))-IF(Lists!H$22&lt;$J34,0,MIN($AO34,(((YEAR(Lists!H$22)-YEAR($J34))*12+MONTH(Lists!H$22)-MONTH($J34))-(EDATE($J34,((YEAR(Lists!H$22)-YEAR($J34))*12+MONTH(Lists!H$22)-MONTH($J34)))&gt;Lists!H$22)+1)))),IF($AP34="F",IF(N($K34)&lt;=0,0,MIN(MAX(0,$H34),N($K34)*IF(Lists!H$21&lt;$J34,0,(((YEAR(Lists!H$21)-YEAR($J34))*12+MONTH(Lists!H$21)-MONTH($J34))-(EDATE($J34,((YEAR(Lists!H$21)-YEAR($J34))*12+MONTH(Lists!H$21)-MONTH($J34)))&gt;Lists!H$21)+1)))-MIN(MAX(0,$H34),N($K34)*IF(Lists!H$22&lt;$J34,0,(((YEAR(Lists!H$22)-YEAR($J34))*12+MONTH(Lists!H$22)-MONTH($J34))-(EDATE($J34,((YEAR(Lists!H$22)-YEAR($J34))*12+MONTH(Lists!H$22)-MONTH($J34)))&gt;Lists!H$22)+1)))),N($C34)*IF($AE34-$AD34&lt;1,($AD34&gt;Lists!H$22)*($AD34&lt;=Lists!H$21),MAX(0,MIN(Lists!H$21,$AE34)-MAX(Lists!H$22,$AD34))/($AE34-$AD34))+N($D34)*IF($AG34-$AF34&lt;1,($AF34&gt;Lists!H$22)*($AF34&lt;=Lists!H$21),MAX(0,MIN(Lists!H$21,$AG34)-MAX(Lists!H$22,$AF34))/($AG34-$AF34))+N($E34)*IF($AI34-$AH34&lt;1,($AH34&gt;Lists!H$22)*($AH34&lt;=Lists!H$21),MAX(0,MIN(Lists!H$21,$AI34)-MAX(Lists!H$22,$AH34))/($AI34-$AH34))+N($F34)*IF($AK34-$AJ34&lt;1,($AJ34&gt;Lists!H$22)*($AJ34&lt;=Lists!H$21),MAX(0,MIN(Lists!H$21,$AK34)-MAX(Lists!H$22,$AJ34))/($AK34-$AJ34))+N($G34)*IF($AM34-$AL34&lt;1,($AL34&gt;Lists!H$22)*($AL34&lt;=Lists!H$21),MAX(0,MIN(Lists!H$21,$AM34)-MAX(Lists!H$22,$AL34))/($AM34-$AL34))))))))</f>
        <v>0</v>
      </c>
      <c r="S34" s="53" t="n">
        <f aca="false">IF($H34=0,0,IF($AP34="X",0,IF($AP34="S",$H34/$AO34*(MIN($AO34,MAX(0,INT((Lists!I$21-N($J34))/7)+1))-MIN($AO34,MAX(0,INT((Lists!I$22-N($J34))/7)+1))),IF($AP34="D",$H34*MAX(0,MIN(Lists!I$21,N($J34)+$AO34)-MAX(Lists!I$22,N($J34)))/$AO34,IF($AP34="M",$H34/$AO34*(IF(Lists!I$21&lt;$J34,0,MIN($AO34,(((YEAR(Lists!I$21)-YEAR($J34))*12+MONTH(Lists!I$21)-MONTH($J34))-(EDATE($J34,((YEAR(Lists!I$21)-YEAR($J34))*12+MONTH(Lists!I$21)-MONTH($J34)))&gt;Lists!I$21)+1)))-IF(Lists!I$22&lt;$J34,0,MIN($AO34,(((YEAR(Lists!I$22)-YEAR($J34))*12+MONTH(Lists!I$22)-MONTH($J34))-(EDATE($J34,((YEAR(Lists!I$22)-YEAR($J34))*12+MONTH(Lists!I$22)-MONTH($J34)))&gt;Lists!I$22)+1)))),IF($AP34="F",IF(N($K34)&lt;=0,0,MIN(MAX(0,$H34),N($K34)*IF(Lists!I$21&lt;$J34,0,(((YEAR(Lists!I$21)-YEAR($J34))*12+MONTH(Lists!I$21)-MONTH($J34))-(EDATE($J34,((YEAR(Lists!I$21)-YEAR($J34))*12+MONTH(Lists!I$21)-MONTH($J34)))&gt;Lists!I$21)+1)))-MIN(MAX(0,$H34),N($K34)*IF(Lists!I$22&lt;$J34,0,(((YEAR(Lists!I$22)-YEAR($J34))*12+MONTH(Lists!I$22)-MONTH($J34))-(EDATE($J34,((YEAR(Lists!I$22)-YEAR($J34))*12+MONTH(Lists!I$22)-MONTH($J34)))&gt;Lists!I$22)+1)))),N($C34)*IF($AE34-$AD34&lt;1,($AD34&gt;Lists!I$22)*($AD34&lt;=Lists!I$21),MAX(0,MIN(Lists!I$21,$AE34)-MAX(Lists!I$22,$AD34))/($AE34-$AD34))+N($D34)*IF($AG34-$AF34&lt;1,($AF34&gt;Lists!I$22)*($AF34&lt;=Lists!I$21),MAX(0,MIN(Lists!I$21,$AG34)-MAX(Lists!I$22,$AF34))/($AG34-$AF34))+N($E34)*IF($AI34-$AH34&lt;1,($AH34&gt;Lists!I$22)*($AH34&lt;=Lists!I$21),MAX(0,MIN(Lists!I$21,$AI34)-MAX(Lists!I$22,$AH34))/($AI34-$AH34))+N($F34)*IF($AK34-$AJ34&lt;1,($AJ34&gt;Lists!I$22)*($AJ34&lt;=Lists!I$21),MAX(0,MIN(Lists!I$21,$AK34)-MAX(Lists!I$22,$AJ34))/($AK34-$AJ34))+N($G34)*IF($AM34-$AL34&lt;1,($AL34&gt;Lists!I$22)*($AL34&lt;=Lists!I$21),MAX(0,MIN(Lists!I$21,$AM34)-MAX(Lists!I$22,$AL34))/($AM34-$AL34))))))))</f>
        <v>0</v>
      </c>
      <c r="T34" s="53" t="n">
        <f aca="false">IF($H34=0,0,IF($AP34="X",0,IF($AP34="S",$H34/$AO34*(MIN($AO34,MAX(0,INT((Lists!J$21-N($J34))/7)+1))-MIN($AO34,MAX(0,INT((Lists!J$22-N($J34))/7)+1))),IF($AP34="D",$H34*MAX(0,MIN(Lists!J$21,N($J34)+$AO34)-MAX(Lists!J$22,N($J34)))/$AO34,IF($AP34="M",$H34/$AO34*(IF(Lists!J$21&lt;$J34,0,MIN($AO34,(((YEAR(Lists!J$21)-YEAR($J34))*12+MONTH(Lists!J$21)-MONTH($J34))-(EDATE($J34,((YEAR(Lists!J$21)-YEAR($J34))*12+MONTH(Lists!J$21)-MONTH($J34)))&gt;Lists!J$21)+1)))-IF(Lists!J$22&lt;$J34,0,MIN($AO34,(((YEAR(Lists!J$22)-YEAR($J34))*12+MONTH(Lists!J$22)-MONTH($J34))-(EDATE($J34,((YEAR(Lists!J$22)-YEAR($J34))*12+MONTH(Lists!J$22)-MONTH($J34)))&gt;Lists!J$22)+1)))),IF($AP34="F",IF(N($K34)&lt;=0,0,MIN(MAX(0,$H34),N($K34)*IF(Lists!J$21&lt;$J34,0,(((YEAR(Lists!J$21)-YEAR($J34))*12+MONTH(Lists!J$21)-MONTH($J34))-(EDATE($J34,((YEAR(Lists!J$21)-YEAR($J34))*12+MONTH(Lists!J$21)-MONTH($J34)))&gt;Lists!J$21)+1)))-MIN(MAX(0,$H34),N($K34)*IF(Lists!J$22&lt;$J34,0,(((YEAR(Lists!J$22)-YEAR($J34))*12+MONTH(Lists!J$22)-MONTH($J34))-(EDATE($J34,((YEAR(Lists!J$22)-YEAR($J34))*12+MONTH(Lists!J$22)-MONTH($J34)))&gt;Lists!J$22)+1)))),N($C34)*IF($AE34-$AD34&lt;1,($AD34&gt;Lists!J$22)*($AD34&lt;=Lists!J$21),MAX(0,MIN(Lists!J$21,$AE34)-MAX(Lists!J$22,$AD34))/($AE34-$AD34))+N($D34)*IF($AG34-$AF34&lt;1,($AF34&gt;Lists!J$22)*($AF34&lt;=Lists!J$21),MAX(0,MIN(Lists!J$21,$AG34)-MAX(Lists!J$22,$AF34))/($AG34-$AF34))+N($E34)*IF($AI34-$AH34&lt;1,($AH34&gt;Lists!J$22)*($AH34&lt;=Lists!J$21),MAX(0,MIN(Lists!J$21,$AI34)-MAX(Lists!J$22,$AH34))/($AI34-$AH34))+N($F34)*IF($AK34-$AJ34&lt;1,($AJ34&gt;Lists!J$22)*($AJ34&lt;=Lists!J$21),MAX(0,MIN(Lists!J$21,$AK34)-MAX(Lists!J$22,$AJ34))/($AK34-$AJ34))+N($G34)*IF($AM34-$AL34&lt;1,($AL34&gt;Lists!J$22)*($AL34&lt;=Lists!J$21),MAX(0,MIN(Lists!J$21,$AM34)-MAX(Lists!J$22,$AL34))/($AM34-$AL34))))))))</f>
        <v>0</v>
      </c>
      <c r="U34" s="53" t="n">
        <f aca="false">IF($H34=0,0,IF($AP34="X",0,IF($AP34="S",$H34/$AO34*(MIN($AO34,MAX(0,INT((Lists!K$21-N($J34))/7)+1))-MIN($AO34,MAX(0,INT((Lists!K$22-N($J34))/7)+1))),IF($AP34="D",$H34*MAX(0,MIN(Lists!K$21,N($J34)+$AO34)-MAX(Lists!K$22,N($J34)))/$AO34,IF($AP34="M",$H34/$AO34*(IF(Lists!K$21&lt;$J34,0,MIN($AO34,(((YEAR(Lists!K$21)-YEAR($J34))*12+MONTH(Lists!K$21)-MONTH($J34))-(EDATE($J34,((YEAR(Lists!K$21)-YEAR($J34))*12+MONTH(Lists!K$21)-MONTH($J34)))&gt;Lists!K$21)+1)))-IF(Lists!K$22&lt;$J34,0,MIN($AO34,(((YEAR(Lists!K$22)-YEAR($J34))*12+MONTH(Lists!K$22)-MONTH($J34))-(EDATE($J34,((YEAR(Lists!K$22)-YEAR($J34))*12+MONTH(Lists!K$22)-MONTH($J34)))&gt;Lists!K$22)+1)))),IF($AP34="F",IF(N($K34)&lt;=0,0,MIN(MAX(0,$H34),N($K34)*IF(Lists!K$21&lt;$J34,0,(((YEAR(Lists!K$21)-YEAR($J34))*12+MONTH(Lists!K$21)-MONTH($J34))-(EDATE($J34,((YEAR(Lists!K$21)-YEAR($J34))*12+MONTH(Lists!K$21)-MONTH($J34)))&gt;Lists!K$21)+1)))-MIN(MAX(0,$H34),N($K34)*IF(Lists!K$22&lt;$J34,0,(((YEAR(Lists!K$22)-YEAR($J34))*12+MONTH(Lists!K$22)-MONTH($J34))-(EDATE($J34,((YEAR(Lists!K$22)-YEAR($J34))*12+MONTH(Lists!K$22)-MONTH($J34)))&gt;Lists!K$22)+1)))),N($C34)*IF($AE34-$AD34&lt;1,($AD34&gt;Lists!K$22)*($AD34&lt;=Lists!K$21),MAX(0,MIN(Lists!K$21,$AE34)-MAX(Lists!K$22,$AD34))/($AE34-$AD34))+N($D34)*IF($AG34-$AF34&lt;1,($AF34&gt;Lists!K$22)*($AF34&lt;=Lists!K$21),MAX(0,MIN(Lists!K$21,$AG34)-MAX(Lists!K$22,$AF34))/($AG34-$AF34))+N($E34)*IF($AI34-$AH34&lt;1,($AH34&gt;Lists!K$22)*($AH34&lt;=Lists!K$21),MAX(0,MIN(Lists!K$21,$AI34)-MAX(Lists!K$22,$AH34))/($AI34-$AH34))+N($F34)*IF($AK34-$AJ34&lt;1,($AJ34&gt;Lists!K$22)*($AJ34&lt;=Lists!K$21),MAX(0,MIN(Lists!K$21,$AK34)-MAX(Lists!K$22,$AJ34))/($AK34-$AJ34))+N($G34)*IF($AM34-$AL34&lt;1,($AL34&gt;Lists!K$22)*($AL34&lt;=Lists!K$21),MAX(0,MIN(Lists!K$21,$AM34)-MAX(Lists!K$22,$AL34))/($AM34-$AL34))))))))</f>
        <v>0</v>
      </c>
      <c r="V34" s="53" t="n">
        <f aca="false">IF($H34=0,0,IF($AP34="X",0,IF($AP34="S",$H34/$AO34*(MIN($AO34,MAX(0,INT((Lists!L$21-N($J34))/7)+1))-MIN($AO34,MAX(0,INT((Lists!L$22-N($J34))/7)+1))),IF($AP34="D",$H34*MAX(0,MIN(Lists!L$21,N($J34)+$AO34)-MAX(Lists!L$22,N($J34)))/$AO34,IF($AP34="M",$H34/$AO34*(IF(Lists!L$21&lt;$J34,0,MIN($AO34,(((YEAR(Lists!L$21)-YEAR($J34))*12+MONTH(Lists!L$21)-MONTH($J34))-(EDATE($J34,((YEAR(Lists!L$21)-YEAR($J34))*12+MONTH(Lists!L$21)-MONTH($J34)))&gt;Lists!L$21)+1)))-IF(Lists!L$22&lt;$J34,0,MIN($AO34,(((YEAR(Lists!L$22)-YEAR($J34))*12+MONTH(Lists!L$22)-MONTH($J34))-(EDATE($J34,((YEAR(Lists!L$22)-YEAR($J34))*12+MONTH(Lists!L$22)-MONTH($J34)))&gt;Lists!L$22)+1)))),IF($AP34="F",IF(N($K34)&lt;=0,0,MIN(MAX(0,$H34),N($K34)*IF(Lists!L$21&lt;$J34,0,(((YEAR(Lists!L$21)-YEAR($J34))*12+MONTH(Lists!L$21)-MONTH($J34))-(EDATE($J34,((YEAR(Lists!L$21)-YEAR($J34))*12+MONTH(Lists!L$21)-MONTH($J34)))&gt;Lists!L$21)+1)))-MIN(MAX(0,$H34),N($K34)*IF(Lists!L$22&lt;$J34,0,(((YEAR(Lists!L$22)-YEAR($J34))*12+MONTH(Lists!L$22)-MONTH($J34))-(EDATE($J34,((YEAR(Lists!L$22)-YEAR($J34))*12+MONTH(Lists!L$22)-MONTH($J34)))&gt;Lists!L$22)+1)))),N($C34)*IF($AE34-$AD34&lt;1,($AD34&gt;Lists!L$22)*($AD34&lt;=Lists!L$21),MAX(0,MIN(Lists!L$21,$AE34)-MAX(Lists!L$22,$AD34))/($AE34-$AD34))+N($D34)*IF($AG34-$AF34&lt;1,($AF34&gt;Lists!L$22)*($AF34&lt;=Lists!L$21),MAX(0,MIN(Lists!L$21,$AG34)-MAX(Lists!L$22,$AF34))/($AG34-$AF34))+N($E34)*IF($AI34-$AH34&lt;1,($AH34&gt;Lists!L$22)*($AH34&lt;=Lists!L$21),MAX(0,MIN(Lists!L$21,$AI34)-MAX(Lists!L$22,$AH34))/($AI34-$AH34))+N($F34)*IF($AK34-$AJ34&lt;1,($AJ34&gt;Lists!L$22)*($AJ34&lt;=Lists!L$21),MAX(0,MIN(Lists!L$21,$AK34)-MAX(Lists!L$22,$AJ34))/($AK34-$AJ34))+N($G34)*IF($AM34-$AL34&lt;1,($AL34&gt;Lists!L$22)*($AL34&lt;=Lists!L$21),MAX(0,MIN(Lists!L$21,$AM34)-MAX(Lists!L$22,$AL34))/($AM34-$AL34))))))))</f>
        <v>0</v>
      </c>
      <c r="W34" s="53" t="n">
        <f aca="false">IF($H34=0,0,IF($AP34="X",0,IF($AP34="S",$H34/$AO34*(MIN($AO34,MAX(0,INT((Lists!M$21-N($J34))/7)+1))-MIN($AO34,MAX(0,INT((Lists!M$22-N($J34))/7)+1))),IF($AP34="D",$H34*MAX(0,MIN(Lists!M$21,N($J34)+$AO34)-MAX(Lists!M$22,N($J34)))/$AO34,IF($AP34="M",$H34/$AO34*(IF(Lists!M$21&lt;$J34,0,MIN($AO34,(((YEAR(Lists!M$21)-YEAR($J34))*12+MONTH(Lists!M$21)-MONTH($J34))-(EDATE($J34,((YEAR(Lists!M$21)-YEAR($J34))*12+MONTH(Lists!M$21)-MONTH($J34)))&gt;Lists!M$21)+1)))-IF(Lists!M$22&lt;$J34,0,MIN($AO34,(((YEAR(Lists!M$22)-YEAR($J34))*12+MONTH(Lists!M$22)-MONTH($J34))-(EDATE($J34,((YEAR(Lists!M$22)-YEAR($J34))*12+MONTH(Lists!M$22)-MONTH($J34)))&gt;Lists!M$22)+1)))),IF($AP34="F",IF(N($K34)&lt;=0,0,MIN(MAX(0,$H34),N($K34)*IF(Lists!M$21&lt;$J34,0,(((YEAR(Lists!M$21)-YEAR($J34))*12+MONTH(Lists!M$21)-MONTH($J34))-(EDATE($J34,((YEAR(Lists!M$21)-YEAR($J34))*12+MONTH(Lists!M$21)-MONTH($J34)))&gt;Lists!M$21)+1)))-MIN(MAX(0,$H34),N($K34)*IF(Lists!M$22&lt;$J34,0,(((YEAR(Lists!M$22)-YEAR($J34))*12+MONTH(Lists!M$22)-MONTH($J34))-(EDATE($J34,((YEAR(Lists!M$22)-YEAR($J34))*12+MONTH(Lists!M$22)-MONTH($J34)))&gt;Lists!M$22)+1)))),N($C34)*IF($AE34-$AD34&lt;1,($AD34&gt;Lists!M$22)*($AD34&lt;=Lists!M$21),MAX(0,MIN(Lists!M$21,$AE34)-MAX(Lists!M$22,$AD34))/($AE34-$AD34))+N($D34)*IF($AG34-$AF34&lt;1,($AF34&gt;Lists!M$22)*($AF34&lt;=Lists!M$21),MAX(0,MIN(Lists!M$21,$AG34)-MAX(Lists!M$22,$AF34))/($AG34-$AF34))+N($E34)*IF($AI34-$AH34&lt;1,($AH34&gt;Lists!M$22)*($AH34&lt;=Lists!M$21),MAX(0,MIN(Lists!M$21,$AI34)-MAX(Lists!M$22,$AH34))/($AI34-$AH34))+N($F34)*IF($AK34-$AJ34&lt;1,($AJ34&gt;Lists!M$22)*($AJ34&lt;=Lists!M$21),MAX(0,MIN(Lists!M$21,$AK34)-MAX(Lists!M$22,$AJ34))/($AK34-$AJ34))+N($G34)*IF($AM34-$AL34&lt;1,($AL34&gt;Lists!M$22)*($AL34&lt;=Lists!M$21),MAX(0,MIN(Lists!M$21,$AM34)-MAX(Lists!M$22,$AL34))/($AM34-$AL34))))))))</f>
        <v>0</v>
      </c>
      <c r="X34" s="53" t="n">
        <f aca="false">IF($H34=0,0,IF($AP34="X",0,IF($AP34="S",$H34/$AO34*(MIN($AO34,MAX(0,INT((Lists!N$21-N($J34))/7)+1))-MIN($AO34,MAX(0,INT((Lists!N$22-N($J34))/7)+1))),IF($AP34="D",$H34*MAX(0,MIN(Lists!N$21,N($J34)+$AO34)-MAX(Lists!N$22,N($J34)))/$AO34,IF($AP34="M",$H34/$AO34*(IF(Lists!N$21&lt;$J34,0,MIN($AO34,(((YEAR(Lists!N$21)-YEAR($J34))*12+MONTH(Lists!N$21)-MONTH($J34))-(EDATE($J34,((YEAR(Lists!N$21)-YEAR($J34))*12+MONTH(Lists!N$21)-MONTH($J34)))&gt;Lists!N$21)+1)))-IF(Lists!N$22&lt;$J34,0,MIN($AO34,(((YEAR(Lists!N$22)-YEAR($J34))*12+MONTH(Lists!N$22)-MONTH($J34))-(EDATE($J34,((YEAR(Lists!N$22)-YEAR($J34))*12+MONTH(Lists!N$22)-MONTH($J34)))&gt;Lists!N$22)+1)))),IF($AP34="F",IF(N($K34)&lt;=0,0,MIN(MAX(0,$H34),N($K34)*IF(Lists!N$21&lt;$J34,0,(((YEAR(Lists!N$21)-YEAR($J34))*12+MONTH(Lists!N$21)-MONTH($J34))-(EDATE($J34,((YEAR(Lists!N$21)-YEAR($J34))*12+MONTH(Lists!N$21)-MONTH($J34)))&gt;Lists!N$21)+1)))-MIN(MAX(0,$H34),N($K34)*IF(Lists!N$22&lt;$J34,0,(((YEAR(Lists!N$22)-YEAR($J34))*12+MONTH(Lists!N$22)-MONTH($J34))-(EDATE($J34,((YEAR(Lists!N$22)-YEAR($J34))*12+MONTH(Lists!N$22)-MONTH($J34)))&gt;Lists!N$22)+1)))),N($C34)*IF($AE34-$AD34&lt;1,($AD34&gt;Lists!N$22)*($AD34&lt;=Lists!N$21),MAX(0,MIN(Lists!N$21,$AE34)-MAX(Lists!N$22,$AD34))/($AE34-$AD34))+N($D34)*IF($AG34-$AF34&lt;1,($AF34&gt;Lists!N$22)*($AF34&lt;=Lists!N$21),MAX(0,MIN(Lists!N$21,$AG34)-MAX(Lists!N$22,$AF34))/($AG34-$AF34))+N($E34)*IF($AI34-$AH34&lt;1,($AH34&gt;Lists!N$22)*($AH34&lt;=Lists!N$21),MAX(0,MIN(Lists!N$21,$AI34)-MAX(Lists!N$22,$AH34))/($AI34-$AH34))+N($F34)*IF($AK34-$AJ34&lt;1,($AJ34&gt;Lists!N$22)*($AJ34&lt;=Lists!N$21),MAX(0,MIN(Lists!N$21,$AK34)-MAX(Lists!N$22,$AJ34))/($AK34-$AJ34))+N($G34)*IF($AM34-$AL34&lt;1,($AL34&gt;Lists!N$22)*($AL34&lt;=Lists!N$21),MAX(0,MIN(Lists!N$21,$AM34)-MAX(Lists!N$22,$AL34))/($AM34-$AL34))))))))</f>
        <v>0</v>
      </c>
      <c r="Y34" s="53" t="n">
        <f aca="false">IF($H34=0,0,IF($AP34="X",0,IF($AP34="S",$H34/$AO34*(MIN($AO34,MAX(0,INT((Lists!O$21-N($J34))/7)+1))-MIN($AO34,MAX(0,INT((Lists!O$22-N($J34))/7)+1))),IF($AP34="D",$H34*MAX(0,MIN(Lists!O$21,N($J34)+$AO34)-MAX(Lists!O$22,N($J34)))/$AO34,IF($AP34="M",$H34/$AO34*(IF(Lists!O$21&lt;$J34,0,MIN($AO34,(((YEAR(Lists!O$21)-YEAR($J34))*12+MONTH(Lists!O$21)-MONTH($J34))-(EDATE($J34,((YEAR(Lists!O$21)-YEAR($J34))*12+MONTH(Lists!O$21)-MONTH($J34)))&gt;Lists!O$21)+1)))-IF(Lists!O$22&lt;$J34,0,MIN($AO34,(((YEAR(Lists!O$22)-YEAR($J34))*12+MONTH(Lists!O$22)-MONTH($J34))-(EDATE($J34,((YEAR(Lists!O$22)-YEAR($J34))*12+MONTH(Lists!O$22)-MONTH($J34)))&gt;Lists!O$22)+1)))),IF($AP34="F",IF(N($K34)&lt;=0,0,MIN(MAX(0,$H34),N($K34)*IF(Lists!O$21&lt;$J34,0,(((YEAR(Lists!O$21)-YEAR($J34))*12+MONTH(Lists!O$21)-MONTH($J34))-(EDATE($J34,((YEAR(Lists!O$21)-YEAR($J34))*12+MONTH(Lists!O$21)-MONTH($J34)))&gt;Lists!O$21)+1)))-MIN(MAX(0,$H34),N($K34)*IF(Lists!O$22&lt;$J34,0,(((YEAR(Lists!O$22)-YEAR($J34))*12+MONTH(Lists!O$22)-MONTH($J34))-(EDATE($J34,((YEAR(Lists!O$22)-YEAR($J34))*12+MONTH(Lists!O$22)-MONTH($J34)))&gt;Lists!O$22)+1)))),N($C34)*IF($AE34-$AD34&lt;1,($AD34&gt;Lists!O$22)*($AD34&lt;=Lists!O$21),MAX(0,MIN(Lists!O$21,$AE34)-MAX(Lists!O$22,$AD34))/($AE34-$AD34))+N($D34)*IF($AG34-$AF34&lt;1,($AF34&gt;Lists!O$22)*($AF34&lt;=Lists!O$21),MAX(0,MIN(Lists!O$21,$AG34)-MAX(Lists!O$22,$AF34))/($AG34-$AF34))+N($E34)*IF($AI34-$AH34&lt;1,($AH34&gt;Lists!O$22)*($AH34&lt;=Lists!O$21),MAX(0,MIN(Lists!O$21,$AI34)-MAX(Lists!O$22,$AH34))/($AI34-$AH34))+N($F34)*IF($AK34-$AJ34&lt;1,($AJ34&gt;Lists!O$22)*($AJ34&lt;=Lists!O$21),MAX(0,MIN(Lists!O$21,$AK34)-MAX(Lists!O$22,$AJ34))/($AK34-$AJ34))+N($G34)*IF($AM34-$AL34&lt;1,($AL34&gt;Lists!O$22)*($AL34&lt;=Lists!O$21),MAX(0,MIN(Lists!O$21,$AM34)-MAX(Lists!O$22,$AL34))/($AM34-$AL34))))))))</f>
        <v>0</v>
      </c>
      <c r="Z34" s="46" t="n">
        <f aca="false">SUM(M34:Y34)</f>
        <v>0</v>
      </c>
      <c r="AA34" s="92" t="n">
        <f aca="false">H34-Z34</f>
        <v>0</v>
      </c>
      <c r="AB34" s="55"/>
      <c r="AC34" s="2"/>
      <c r="AD34" s="93" t="n">
        <f aca="false">Setup!$D$10+MAX(0,$AN34-30)</f>
        <v>46365</v>
      </c>
      <c r="AE34" s="93" t="n">
        <f aca="false">Setup!$D$10+IF($AN34-30&lt;0,MAX(Setup!$D$22,$AN34-0),$AN34-0)</f>
        <v>46395</v>
      </c>
      <c r="AF34" s="93" t="n">
        <f aca="false">Setup!$D$10+MAX(0,$AN34-60)</f>
        <v>46335</v>
      </c>
      <c r="AG34" s="93" t="n">
        <f aca="false">Setup!$D$10+IF($AN34-60&lt;0,MAX(Setup!$D$22,$AN34-31),$AN34-31)</f>
        <v>46364</v>
      </c>
      <c r="AH34" s="93" t="n">
        <f aca="false">Setup!$D$10+MAX(0,$AN34-90)</f>
        <v>46335</v>
      </c>
      <c r="AI34" s="93" t="n">
        <f aca="false">Setup!$D$10+IF($AN34-90&lt;0,MAX(Setup!$D$22,$AN34-61),$AN34-61)</f>
        <v>46363</v>
      </c>
      <c r="AJ34" s="93" t="n">
        <f aca="false">Setup!$D$10+MAX(0,$AN34-120)</f>
        <v>46335</v>
      </c>
      <c r="AK34" s="93" t="n">
        <f aca="false">Setup!$D$10+IF($AN34-120&lt;0,MAX(Setup!$D$22,$AN34-91),$AN34-91)</f>
        <v>46363</v>
      </c>
      <c r="AL34" s="93" t="n">
        <f aca="false">IF(Setup!$D$23="Yes",2958465,Setup!$D$10)</f>
        <v>2958465</v>
      </c>
      <c r="AM34" s="93" t="n">
        <f aca="false">IF(AL34=2958465,AL34,Setup!$D$10+Setup!$D$22)</f>
        <v>2958465</v>
      </c>
      <c r="AN34" s="94" t="n">
        <f aca="false">IF(N(L34)=0,Setup!$D$20,L34)</f>
        <v>60</v>
      </c>
      <c r="AO34" s="94" t="n">
        <f aca="false">MAX(1,ROUND(N(K34),0))</f>
        <v>1</v>
      </c>
      <c r="AP34" s="95" t="str">
        <f aca="false">IF(I34="Doubtful","X",IF(N(J34)=0,"A",IF(I34="Specific date","S",IF(I34="Spread over days","D",IF(I34="Monthly on set day","M",IF(I34="Monthly fixed amount","F","A"))))))</f>
        <v>A</v>
      </c>
    </row>
    <row r="35" customFormat="false" ht="15" hidden="false" customHeight="false" outlineLevel="0" collapsed="false">
      <c r="A35" s="87" t="n">
        <v>27</v>
      </c>
      <c r="B35" s="55"/>
      <c r="C35" s="88"/>
      <c r="D35" s="88"/>
      <c r="E35" s="88"/>
      <c r="F35" s="88"/>
      <c r="G35" s="88"/>
      <c r="H35" s="89" t="n">
        <f aca="false">SUM(C35:G35)</f>
        <v>0</v>
      </c>
      <c r="I35" s="58"/>
      <c r="J35" s="90"/>
      <c r="K35" s="91"/>
      <c r="L35" s="80"/>
      <c r="M35" s="53" t="n">
        <f aca="false">IF($H35=0,0,IF($AP35="X",0,IF($AP35="S",$H35/$AO35*(MIN($AO35,MAX(0,INT((Lists!C$21-N($J35))/7)+1))-MIN($AO35,MAX(0,INT((Lists!C$22-N($J35))/7)+1))),IF($AP35="D",$H35*MAX(0,MIN(Lists!C$21,N($J35)+$AO35)-MAX(Lists!C$22,N($J35)))/$AO35,IF($AP35="M",$H35/$AO35*(IF(Lists!C$21&lt;$J35,0,MIN($AO35,(((YEAR(Lists!C$21)-YEAR($J35))*12+MONTH(Lists!C$21)-MONTH($J35))-(EDATE($J35,((YEAR(Lists!C$21)-YEAR($J35))*12+MONTH(Lists!C$21)-MONTH($J35)))&gt;Lists!C$21)+1)))-IF(Lists!C$22&lt;$J35,0,MIN($AO35,(((YEAR(Lists!C$22)-YEAR($J35))*12+MONTH(Lists!C$22)-MONTH($J35))-(EDATE($J35,((YEAR(Lists!C$22)-YEAR($J35))*12+MONTH(Lists!C$22)-MONTH($J35)))&gt;Lists!C$22)+1)))),IF($AP35="F",IF(N($K35)&lt;=0,0,MIN(MAX(0,$H35),N($K35)*IF(Lists!C$21&lt;$J35,0,(((YEAR(Lists!C$21)-YEAR($J35))*12+MONTH(Lists!C$21)-MONTH($J35))-(EDATE($J35,((YEAR(Lists!C$21)-YEAR($J35))*12+MONTH(Lists!C$21)-MONTH($J35)))&gt;Lists!C$21)+1)))-MIN(MAX(0,$H35),N($K35)*IF(Lists!C$22&lt;$J35,0,(((YEAR(Lists!C$22)-YEAR($J35))*12+MONTH(Lists!C$22)-MONTH($J35))-(EDATE($J35,((YEAR(Lists!C$22)-YEAR($J35))*12+MONTH(Lists!C$22)-MONTH($J35)))&gt;Lists!C$22)+1)))),N($C35)*IF($AE35-$AD35&lt;1,($AD35&gt;Lists!C$22)*($AD35&lt;=Lists!C$21),MAX(0,MIN(Lists!C$21,$AE35)-MAX(Lists!C$22,$AD35))/($AE35-$AD35))+N($D35)*IF($AG35-$AF35&lt;1,($AF35&gt;Lists!C$22)*($AF35&lt;=Lists!C$21),MAX(0,MIN(Lists!C$21,$AG35)-MAX(Lists!C$22,$AF35))/($AG35-$AF35))+N($E35)*IF($AI35-$AH35&lt;1,($AH35&gt;Lists!C$22)*($AH35&lt;=Lists!C$21),MAX(0,MIN(Lists!C$21,$AI35)-MAX(Lists!C$22,$AH35))/($AI35-$AH35))+N($F35)*IF($AK35-$AJ35&lt;1,($AJ35&gt;Lists!C$22)*($AJ35&lt;=Lists!C$21),MAX(0,MIN(Lists!C$21,$AK35)-MAX(Lists!C$22,$AJ35))/($AK35-$AJ35))+N($G35)*IF($AM35-$AL35&lt;1,($AL35&gt;Lists!C$22)*($AL35&lt;=Lists!C$21),MAX(0,MIN(Lists!C$21,$AM35)-MAX(Lists!C$22,$AL35))/($AM35-$AL35))))))))</f>
        <v>0</v>
      </c>
      <c r="N35" s="53" t="n">
        <f aca="false">IF($H35=0,0,IF($AP35="X",0,IF($AP35="S",$H35/$AO35*(MIN($AO35,MAX(0,INT((Lists!D$21-N($J35))/7)+1))-MIN($AO35,MAX(0,INT((Lists!D$22-N($J35))/7)+1))),IF($AP35="D",$H35*MAX(0,MIN(Lists!D$21,N($J35)+$AO35)-MAX(Lists!D$22,N($J35)))/$AO35,IF($AP35="M",$H35/$AO35*(IF(Lists!D$21&lt;$J35,0,MIN($AO35,(((YEAR(Lists!D$21)-YEAR($J35))*12+MONTH(Lists!D$21)-MONTH($J35))-(EDATE($J35,((YEAR(Lists!D$21)-YEAR($J35))*12+MONTH(Lists!D$21)-MONTH($J35)))&gt;Lists!D$21)+1)))-IF(Lists!D$22&lt;$J35,0,MIN($AO35,(((YEAR(Lists!D$22)-YEAR($J35))*12+MONTH(Lists!D$22)-MONTH($J35))-(EDATE($J35,((YEAR(Lists!D$22)-YEAR($J35))*12+MONTH(Lists!D$22)-MONTH($J35)))&gt;Lists!D$22)+1)))),IF($AP35="F",IF(N($K35)&lt;=0,0,MIN(MAX(0,$H35),N($K35)*IF(Lists!D$21&lt;$J35,0,(((YEAR(Lists!D$21)-YEAR($J35))*12+MONTH(Lists!D$21)-MONTH($J35))-(EDATE($J35,((YEAR(Lists!D$21)-YEAR($J35))*12+MONTH(Lists!D$21)-MONTH($J35)))&gt;Lists!D$21)+1)))-MIN(MAX(0,$H35),N($K35)*IF(Lists!D$22&lt;$J35,0,(((YEAR(Lists!D$22)-YEAR($J35))*12+MONTH(Lists!D$22)-MONTH($J35))-(EDATE($J35,((YEAR(Lists!D$22)-YEAR($J35))*12+MONTH(Lists!D$22)-MONTH($J35)))&gt;Lists!D$22)+1)))),N($C35)*IF($AE35-$AD35&lt;1,($AD35&gt;Lists!D$22)*($AD35&lt;=Lists!D$21),MAX(0,MIN(Lists!D$21,$AE35)-MAX(Lists!D$22,$AD35))/($AE35-$AD35))+N($D35)*IF($AG35-$AF35&lt;1,($AF35&gt;Lists!D$22)*($AF35&lt;=Lists!D$21),MAX(0,MIN(Lists!D$21,$AG35)-MAX(Lists!D$22,$AF35))/($AG35-$AF35))+N($E35)*IF($AI35-$AH35&lt;1,($AH35&gt;Lists!D$22)*($AH35&lt;=Lists!D$21),MAX(0,MIN(Lists!D$21,$AI35)-MAX(Lists!D$22,$AH35))/($AI35-$AH35))+N($F35)*IF($AK35-$AJ35&lt;1,($AJ35&gt;Lists!D$22)*($AJ35&lt;=Lists!D$21),MAX(0,MIN(Lists!D$21,$AK35)-MAX(Lists!D$22,$AJ35))/($AK35-$AJ35))+N($G35)*IF($AM35-$AL35&lt;1,($AL35&gt;Lists!D$22)*($AL35&lt;=Lists!D$21),MAX(0,MIN(Lists!D$21,$AM35)-MAX(Lists!D$22,$AL35))/($AM35-$AL35))))))))</f>
        <v>0</v>
      </c>
      <c r="O35" s="53" t="n">
        <f aca="false">IF($H35=0,0,IF($AP35="X",0,IF($AP35="S",$H35/$AO35*(MIN($AO35,MAX(0,INT((Lists!E$21-N($J35))/7)+1))-MIN($AO35,MAX(0,INT((Lists!E$22-N($J35))/7)+1))),IF($AP35="D",$H35*MAX(0,MIN(Lists!E$21,N($J35)+$AO35)-MAX(Lists!E$22,N($J35)))/$AO35,IF($AP35="M",$H35/$AO35*(IF(Lists!E$21&lt;$J35,0,MIN($AO35,(((YEAR(Lists!E$21)-YEAR($J35))*12+MONTH(Lists!E$21)-MONTH($J35))-(EDATE($J35,((YEAR(Lists!E$21)-YEAR($J35))*12+MONTH(Lists!E$21)-MONTH($J35)))&gt;Lists!E$21)+1)))-IF(Lists!E$22&lt;$J35,0,MIN($AO35,(((YEAR(Lists!E$22)-YEAR($J35))*12+MONTH(Lists!E$22)-MONTH($J35))-(EDATE($J35,((YEAR(Lists!E$22)-YEAR($J35))*12+MONTH(Lists!E$22)-MONTH($J35)))&gt;Lists!E$22)+1)))),IF($AP35="F",IF(N($K35)&lt;=0,0,MIN(MAX(0,$H35),N($K35)*IF(Lists!E$21&lt;$J35,0,(((YEAR(Lists!E$21)-YEAR($J35))*12+MONTH(Lists!E$21)-MONTH($J35))-(EDATE($J35,((YEAR(Lists!E$21)-YEAR($J35))*12+MONTH(Lists!E$21)-MONTH($J35)))&gt;Lists!E$21)+1)))-MIN(MAX(0,$H35),N($K35)*IF(Lists!E$22&lt;$J35,0,(((YEAR(Lists!E$22)-YEAR($J35))*12+MONTH(Lists!E$22)-MONTH($J35))-(EDATE($J35,((YEAR(Lists!E$22)-YEAR($J35))*12+MONTH(Lists!E$22)-MONTH($J35)))&gt;Lists!E$22)+1)))),N($C35)*IF($AE35-$AD35&lt;1,($AD35&gt;Lists!E$22)*($AD35&lt;=Lists!E$21),MAX(0,MIN(Lists!E$21,$AE35)-MAX(Lists!E$22,$AD35))/($AE35-$AD35))+N($D35)*IF($AG35-$AF35&lt;1,($AF35&gt;Lists!E$22)*($AF35&lt;=Lists!E$21),MAX(0,MIN(Lists!E$21,$AG35)-MAX(Lists!E$22,$AF35))/($AG35-$AF35))+N($E35)*IF($AI35-$AH35&lt;1,($AH35&gt;Lists!E$22)*($AH35&lt;=Lists!E$21),MAX(0,MIN(Lists!E$21,$AI35)-MAX(Lists!E$22,$AH35))/($AI35-$AH35))+N($F35)*IF($AK35-$AJ35&lt;1,($AJ35&gt;Lists!E$22)*($AJ35&lt;=Lists!E$21),MAX(0,MIN(Lists!E$21,$AK35)-MAX(Lists!E$22,$AJ35))/($AK35-$AJ35))+N($G35)*IF($AM35-$AL35&lt;1,($AL35&gt;Lists!E$22)*($AL35&lt;=Lists!E$21),MAX(0,MIN(Lists!E$21,$AM35)-MAX(Lists!E$22,$AL35))/($AM35-$AL35))))))))</f>
        <v>0</v>
      </c>
      <c r="P35" s="53" t="n">
        <f aca="false">IF($H35=0,0,IF($AP35="X",0,IF($AP35="S",$H35/$AO35*(MIN($AO35,MAX(0,INT((Lists!F$21-N($J35))/7)+1))-MIN($AO35,MAX(0,INT((Lists!F$22-N($J35))/7)+1))),IF($AP35="D",$H35*MAX(0,MIN(Lists!F$21,N($J35)+$AO35)-MAX(Lists!F$22,N($J35)))/$AO35,IF($AP35="M",$H35/$AO35*(IF(Lists!F$21&lt;$J35,0,MIN($AO35,(((YEAR(Lists!F$21)-YEAR($J35))*12+MONTH(Lists!F$21)-MONTH($J35))-(EDATE($J35,((YEAR(Lists!F$21)-YEAR($J35))*12+MONTH(Lists!F$21)-MONTH($J35)))&gt;Lists!F$21)+1)))-IF(Lists!F$22&lt;$J35,0,MIN($AO35,(((YEAR(Lists!F$22)-YEAR($J35))*12+MONTH(Lists!F$22)-MONTH($J35))-(EDATE($J35,((YEAR(Lists!F$22)-YEAR($J35))*12+MONTH(Lists!F$22)-MONTH($J35)))&gt;Lists!F$22)+1)))),IF($AP35="F",IF(N($K35)&lt;=0,0,MIN(MAX(0,$H35),N($K35)*IF(Lists!F$21&lt;$J35,0,(((YEAR(Lists!F$21)-YEAR($J35))*12+MONTH(Lists!F$21)-MONTH($J35))-(EDATE($J35,((YEAR(Lists!F$21)-YEAR($J35))*12+MONTH(Lists!F$21)-MONTH($J35)))&gt;Lists!F$21)+1)))-MIN(MAX(0,$H35),N($K35)*IF(Lists!F$22&lt;$J35,0,(((YEAR(Lists!F$22)-YEAR($J35))*12+MONTH(Lists!F$22)-MONTH($J35))-(EDATE($J35,((YEAR(Lists!F$22)-YEAR($J35))*12+MONTH(Lists!F$22)-MONTH($J35)))&gt;Lists!F$22)+1)))),N($C35)*IF($AE35-$AD35&lt;1,($AD35&gt;Lists!F$22)*($AD35&lt;=Lists!F$21),MAX(0,MIN(Lists!F$21,$AE35)-MAX(Lists!F$22,$AD35))/($AE35-$AD35))+N($D35)*IF($AG35-$AF35&lt;1,($AF35&gt;Lists!F$22)*($AF35&lt;=Lists!F$21),MAX(0,MIN(Lists!F$21,$AG35)-MAX(Lists!F$22,$AF35))/($AG35-$AF35))+N($E35)*IF($AI35-$AH35&lt;1,($AH35&gt;Lists!F$22)*($AH35&lt;=Lists!F$21),MAX(0,MIN(Lists!F$21,$AI35)-MAX(Lists!F$22,$AH35))/($AI35-$AH35))+N($F35)*IF($AK35-$AJ35&lt;1,($AJ35&gt;Lists!F$22)*($AJ35&lt;=Lists!F$21),MAX(0,MIN(Lists!F$21,$AK35)-MAX(Lists!F$22,$AJ35))/($AK35-$AJ35))+N($G35)*IF($AM35-$AL35&lt;1,($AL35&gt;Lists!F$22)*($AL35&lt;=Lists!F$21),MAX(0,MIN(Lists!F$21,$AM35)-MAX(Lists!F$22,$AL35))/($AM35-$AL35))))))))</f>
        <v>0</v>
      </c>
      <c r="Q35" s="53" t="n">
        <f aca="false">IF($H35=0,0,IF($AP35="X",0,IF($AP35="S",$H35/$AO35*(MIN($AO35,MAX(0,INT((Lists!G$21-N($J35))/7)+1))-MIN($AO35,MAX(0,INT((Lists!G$22-N($J35))/7)+1))),IF($AP35="D",$H35*MAX(0,MIN(Lists!G$21,N($J35)+$AO35)-MAX(Lists!G$22,N($J35)))/$AO35,IF($AP35="M",$H35/$AO35*(IF(Lists!G$21&lt;$J35,0,MIN($AO35,(((YEAR(Lists!G$21)-YEAR($J35))*12+MONTH(Lists!G$21)-MONTH($J35))-(EDATE($J35,((YEAR(Lists!G$21)-YEAR($J35))*12+MONTH(Lists!G$21)-MONTH($J35)))&gt;Lists!G$21)+1)))-IF(Lists!G$22&lt;$J35,0,MIN($AO35,(((YEAR(Lists!G$22)-YEAR($J35))*12+MONTH(Lists!G$22)-MONTH($J35))-(EDATE($J35,((YEAR(Lists!G$22)-YEAR($J35))*12+MONTH(Lists!G$22)-MONTH($J35)))&gt;Lists!G$22)+1)))),IF($AP35="F",IF(N($K35)&lt;=0,0,MIN(MAX(0,$H35),N($K35)*IF(Lists!G$21&lt;$J35,0,(((YEAR(Lists!G$21)-YEAR($J35))*12+MONTH(Lists!G$21)-MONTH($J35))-(EDATE($J35,((YEAR(Lists!G$21)-YEAR($J35))*12+MONTH(Lists!G$21)-MONTH($J35)))&gt;Lists!G$21)+1)))-MIN(MAX(0,$H35),N($K35)*IF(Lists!G$22&lt;$J35,0,(((YEAR(Lists!G$22)-YEAR($J35))*12+MONTH(Lists!G$22)-MONTH($J35))-(EDATE($J35,((YEAR(Lists!G$22)-YEAR($J35))*12+MONTH(Lists!G$22)-MONTH($J35)))&gt;Lists!G$22)+1)))),N($C35)*IF($AE35-$AD35&lt;1,($AD35&gt;Lists!G$22)*($AD35&lt;=Lists!G$21),MAX(0,MIN(Lists!G$21,$AE35)-MAX(Lists!G$22,$AD35))/($AE35-$AD35))+N($D35)*IF($AG35-$AF35&lt;1,($AF35&gt;Lists!G$22)*($AF35&lt;=Lists!G$21),MAX(0,MIN(Lists!G$21,$AG35)-MAX(Lists!G$22,$AF35))/($AG35-$AF35))+N($E35)*IF($AI35-$AH35&lt;1,($AH35&gt;Lists!G$22)*($AH35&lt;=Lists!G$21),MAX(0,MIN(Lists!G$21,$AI35)-MAX(Lists!G$22,$AH35))/($AI35-$AH35))+N($F35)*IF($AK35-$AJ35&lt;1,($AJ35&gt;Lists!G$22)*($AJ35&lt;=Lists!G$21),MAX(0,MIN(Lists!G$21,$AK35)-MAX(Lists!G$22,$AJ35))/($AK35-$AJ35))+N($G35)*IF($AM35-$AL35&lt;1,($AL35&gt;Lists!G$22)*($AL35&lt;=Lists!G$21),MAX(0,MIN(Lists!G$21,$AM35)-MAX(Lists!G$22,$AL35))/($AM35-$AL35))))))))</f>
        <v>0</v>
      </c>
      <c r="R35" s="53" t="n">
        <f aca="false">IF($H35=0,0,IF($AP35="X",0,IF($AP35="S",$H35/$AO35*(MIN($AO35,MAX(0,INT((Lists!H$21-N($J35))/7)+1))-MIN($AO35,MAX(0,INT((Lists!H$22-N($J35))/7)+1))),IF($AP35="D",$H35*MAX(0,MIN(Lists!H$21,N($J35)+$AO35)-MAX(Lists!H$22,N($J35)))/$AO35,IF($AP35="M",$H35/$AO35*(IF(Lists!H$21&lt;$J35,0,MIN($AO35,(((YEAR(Lists!H$21)-YEAR($J35))*12+MONTH(Lists!H$21)-MONTH($J35))-(EDATE($J35,((YEAR(Lists!H$21)-YEAR($J35))*12+MONTH(Lists!H$21)-MONTH($J35)))&gt;Lists!H$21)+1)))-IF(Lists!H$22&lt;$J35,0,MIN($AO35,(((YEAR(Lists!H$22)-YEAR($J35))*12+MONTH(Lists!H$22)-MONTH($J35))-(EDATE($J35,((YEAR(Lists!H$22)-YEAR($J35))*12+MONTH(Lists!H$22)-MONTH($J35)))&gt;Lists!H$22)+1)))),IF($AP35="F",IF(N($K35)&lt;=0,0,MIN(MAX(0,$H35),N($K35)*IF(Lists!H$21&lt;$J35,0,(((YEAR(Lists!H$21)-YEAR($J35))*12+MONTH(Lists!H$21)-MONTH($J35))-(EDATE($J35,((YEAR(Lists!H$21)-YEAR($J35))*12+MONTH(Lists!H$21)-MONTH($J35)))&gt;Lists!H$21)+1)))-MIN(MAX(0,$H35),N($K35)*IF(Lists!H$22&lt;$J35,0,(((YEAR(Lists!H$22)-YEAR($J35))*12+MONTH(Lists!H$22)-MONTH($J35))-(EDATE($J35,((YEAR(Lists!H$22)-YEAR($J35))*12+MONTH(Lists!H$22)-MONTH($J35)))&gt;Lists!H$22)+1)))),N($C35)*IF($AE35-$AD35&lt;1,($AD35&gt;Lists!H$22)*($AD35&lt;=Lists!H$21),MAX(0,MIN(Lists!H$21,$AE35)-MAX(Lists!H$22,$AD35))/($AE35-$AD35))+N($D35)*IF($AG35-$AF35&lt;1,($AF35&gt;Lists!H$22)*($AF35&lt;=Lists!H$21),MAX(0,MIN(Lists!H$21,$AG35)-MAX(Lists!H$22,$AF35))/($AG35-$AF35))+N($E35)*IF($AI35-$AH35&lt;1,($AH35&gt;Lists!H$22)*($AH35&lt;=Lists!H$21),MAX(0,MIN(Lists!H$21,$AI35)-MAX(Lists!H$22,$AH35))/($AI35-$AH35))+N($F35)*IF($AK35-$AJ35&lt;1,($AJ35&gt;Lists!H$22)*($AJ35&lt;=Lists!H$21),MAX(0,MIN(Lists!H$21,$AK35)-MAX(Lists!H$22,$AJ35))/($AK35-$AJ35))+N($G35)*IF($AM35-$AL35&lt;1,($AL35&gt;Lists!H$22)*($AL35&lt;=Lists!H$21),MAX(0,MIN(Lists!H$21,$AM35)-MAX(Lists!H$22,$AL35))/($AM35-$AL35))))))))</f>
        <v>0</v>
      </c>
      <c r="S35" s="53" t="n">
        <f aca="false">IF($H35=0,0,IF($AP35="X",0,IF($AP35="S",$H35/$AO35*(MIN($AO35,MAX(0,INT((Lists!I$21-N($J35))/7)+1))-MIN($AO35,MAX(0,INT((Lists!I$22-N($J35))/7)+1))),IF($AP35="D",$H35*MAX(0,MIN(Lists!I$21,N($J35)+$AO35)-MAX(Lists!I$22,N($J35)))/$AO35,IF($AP35="M",$H35/$AO35*(IF(Lists!I$21&lt;$J35,0,MIN($AO35,(((YEAR(Lists!I$21)-YEAR($J35))*12+MONTH(Lists!I$21)-MONTH($J35))-(EDATE($J35,((YEAR(Lists!I$21)-YEAR($J35))*12+MONTH(Lists!I$21)-MONTH($J35)))&gt;Lists!I$21)+1)))-IF(Lists!I$22&lt;$J35,0,MIN($AO35,(((YEAR(Lists!I$22)-YEAR($J35))*12+MONTH(Lists!I$22)-MONTH($J35))-(EDATE($J35,((YEAR(Lists!I$22)-YEAR($J35))*12+MONTH(Lists!I$22)-MONTH($J35)))&gt;Lists!I$22)+1)))),IF($AP35="F",IF(N($K35)&lt;=0,0,MIN(MAX(0,$H35),N($K35)*IF(Lists!I$21&lt;$J35,0,(((YEAR(Lists!I$21)-YEAR($J35))*12+MONTH(Lists!I$21)-MONTH($J35))-(EDATE($J35,((YEAR(Lists!I$21)-YEAR($J35))*12+MONTH(Lists!I$21)-MONTH($J35)))&gt;Lists!I$21)+1)))-MIN(MAX(0,$H35),N($K35)*IF(Lists!I$22&lt;$J35,0,(((YEAR(Lists!I$22)-YEAR($J35))*12+MONTH(Lists!I$22)-MONTH($J35))-(EDATE($J35,((YEAR(Lists!I$22)-YEAR($J35))*12+MONTH(Lists!I$22)-MONTH($J35)))&gt;Lists!I$22)+1)))),N($C35)*IF($AE35-$AD35&lt;1,($AD35&gt;Lists!I$22)*($AD35&lt;=Lists!I$21),MAX(0,MIN(Lists!I$21,$AE35)-MAX(Lists!I$22,$AD35))/($AE35-$AD35))+N($D35)*IF($AG35-$AF35&lt;1,($AF35&gt;Lists!I$22)*($AF35&lt;=Lists!I$21),MAX(0,MIN(Lists!I$21,$AG35)-MAX(Lists!I$22,$AF35))/($AG35-$AF35))+N($E35)*IF($AI35-$AH35&lt;1,($AH35&gt;Lists!I$22)*($AH35&lt;=Lists!I$21),MAX(0,MIN(Lists!I$21,$AI35)-MAX(Lists!I$22,$AH35))/($AI35-$AH35))+N($F35)*IF($AK35-$AJ35&lt;1,($AJ35&gt;Lists!I$22)*($AJ35&lt;=Lists!I$21),MAX(0,MIN(Lists!I$21,$AK35)-MAX(Lists!I$22,$AJ35))/($AK35-$AJ35))+N($G35)*IF($AM35-$AL35&lt;1,($AL35&gt;Lists!I$22)*($AL35&lt;=Lists!I$21),MAX(0,MIN(Lists!I$21,$AM35)-MAX(Lists!I$22,$AL35))/($AM35-$AL35))))))))</f>
        <v>0</v>
      </c>
      <c r="T35" s="53" t="n">
        <f aca="false">IF($H35=0,0,IF($AP35="X",0,IF($AP35="S",$H35/$AO35*(MIN($AO35,MAX(0,INT((Lists!J$21-N($J35))/7)+1))-MIN($AO35,MAX(0,INT((Lists!J$22-N($J35))/7)+1))),IF($AP35="D",$H35*MAX(0,MIN(Lists!J$21,N($J35)+$AO35)-MAX(Lists!J$22,N($J35)))/$AO35,IF($AP35="M",$H35/$AO35*(IF(Lists!J$21&lt;$J35,0,MIN($AO35,(((YEAR(Lists!J$21)-YEAR($J35))*12+MONTH(Lists!J$21)-MONTH($J35))-(EDATE($J35,((YEAR(Lists!J$21)-YEAR($J35))*12+MONTH(Lists!J$21)-MONTH($J35)))&gt;Lists!J$21)+1)))-IF(Lists!J$22&lt;$J35,0,MIN($AO35,(((YEAR(Lists!J$22)-YEAR($J35))*12+MONTH(Lists!J$22)-MONTH($J35))-(EDATE($J35,((YEAR(Lists!J$22)-YEAR($J35))*12+MONTH(Lists!J$22)-MONTH($J35)))&gt;Lists!J$22)+1)))),IF($AP35="F",IF(N($K35)&lt;=0,0,MIN(MAX(0,$H35),N($K35)*IF(Lists!J$21&lt;$J35,0,(((YEAR(Lists!J$21)-YEAR($J35))*12+MONTH(Lists!J$21)-MONTH($J35))-(EDATE($J35,((YEAR(Lists!J$21)-YEAR($J35))*12+MONTH(Lists!J$21)-MONTH($J35)))&gt;Lists!J$21)+1)))-MIN(MAX(0,$H35),N($K35)*IF(Lists!J$22&lt;$J35,0,(((YEAR(Lists!J$22)-YEAR($J35))*12+MONTH(Lists!J$22)-MONTH($J35))-(EDATE($J35,((YEAR(Lists!J$22)-YEAR($J35))*12+MONTH(Lists!J$22)-MONTH($J35)))&gt;Lists!J$22)+1)))),N($C35)*IF($AE35-$AD35&lt;1,($AD35&gt;Lists!J$22)*($AD35&lt;=Lists!J$21),MAX(0,MIN(Lists!J$21,$AE35)-MAX(Lists!J$22,$AD35))/($AE35-$AD35))+N($D35)*IF($AG35-$AF35&lt;1,($AF35&gt;Lists!J$22)*($AF35&lt;=Lists!J$21),MAX(0,MIN(Lists!J$21,$AG35)-MAX(Lists!J$22,$AF35))/($AG35-$AF35))+N($E35)*IF($AI35-$AH35&lt;1,($AH35&gt;Lists!J$22)*($AH35&lt;=Lists!J$21),MAX(0,MIN(Lists!J$21,$AI35)-MAX(Lists!J$22,$AH35))/($AI35-$AH35))+N($F35)*IF($AK35-$AJ35&lt;1,($AJ35&gt;Lists!J$22)*($AJ35&lt;=Lists!J$21),MAX(0,MIN(Lists!J$21,$AK35)-MAX(Lists!J$22,$AJ35))/($AK35-$AJ35))+N($G35)*IF($AM35-$AL35&lt;1,($AL35&gt;Lists!J$22)*($AL35&lt;=Lists!J$21),MAX(0,MIN(Lists!J$21,$AM35)-MAX(Lists!J$22,$AL35))/($AM35-$AL35))))))))</f>
        <v>0</v>
      </c>
      <c r="U35" s="53" t="n">
        <f aca="false">IF($H35=0,0,IF($AP35="X",0,IF($AP35="S",$H35/$AO35*(MIN($AO35,MAX(0,INT((Lists!K$21-N($J35))/7)+1))-MIN($AO35,MAX(0,INT((Lists!K$22-N($J35))/7)+1))),IF($AP35="D",$H35*MAX(0,MIN(Lists!K$21,N($J35)+$AO35)-MAX(Lists!K$22,N($J35)))/$AO35,IF($AP35="M",$H35/$AO35*(IF(Lists!K$21&lt;$J35,0,MIN($AO35,(((YEAR(Lists!K$21)-YEAR($J35))*12+MONTH(Lists!K$21)-MONTH($J35))-(EDATE($J35,((YEAR(Lists!K$21)-YEAR($J35))*12+MONTH(Lists!K$21)-MONTH($J35)))&gt;Lists!K$21)+1)))-IF(Lists!K$22&lt;$J35,0,MIN($AO35,(((YEAR(Lists!K$22)-YEAR($J35))*12+MONTH(Lists!K$22)-MONTH($J35))-(EDATE($J35,((YEAR(Lists!K$22)-YEAR($J35))*12+MONTH(Lists!K$22)-MONTH($J35)))&gt;Lists!K$22)+1)))),IF($AP35="F",IF(N($K35)&lt;=0,0,MIN(MAX(0,$H35),N($K35)*IF(Lists!K$21&lt;$J35,0,(((YEAR(Lists!K$21)-YEAR($J35))*12+MONTH(Lists!K$21)-MONTH($J35))-(EDATE($J35,((YEAR(Lists!K$21)-YEAR($J35))*12+MONTH(Lists!K$21)-MONTH($J35)))&gt;Lists!K$21)+1)))-MIN(MAX(0,$H35),N($K35)*IF(Lists!K$22&lt;$J35,0,(((YEAR(Lists!K$22)-YEAR($J35))*12+MONTH(Lists!K$22)-MONTH($J35))-(EDATE($J35,((YEAR(Lists!K$22)-YEAR($J35))*12+MONTH(Lists!K$22)-MONTH($J35)))&gt;Lists!K$22)+1)))),N($C35)*IF($AE35-$AD35&lt;1,($AD35&gt;Lists!K$22)*($AD35&lt;=Lists!K$21),MAX(0,MIN(Lists!K$21,$AE35)-MAX(Lists!K$22,$AD35))/($AE35-$AD35))+N($D35)*IF($AG35-$AF35&lt;1,($AF35&gt;Lists!K$22)*($AF35&lt;=Lists!K$21),MAX(0,MIN(Lists!K$21,$AG35)-MAX(Lists!K$22,$AF35))/($AG35-$AF35))+N($E35)*IF($AI35-$AH35&lt;1,($AH35&gt;Lists!K$22)*($AH35&lt;=Lists!K$21),MAX(0,MIN(Lists!K$21,$AI35)-MAX(Lists!K$22,$AH35))/($AI35-$AH35))+N($F35)*IF($AK35-$AJ35&lt;1,($AJ35&gt;Lists!K$22)*($AJ35&lt;=Lists!K$21),MAX(0,MIN(Lists!K$21,$AK35)-MAX(Lists!K$22,$AJ35))/($AK35-$AJ35))+N($G35)*IF($AM35-$AL35&lt;1,($AL35&gt;Lists!K$22)*($AL35&lt;=Lists!K$21),MAX(0,MIN(Lists!K$21,$AM35)-MAX(Lists!K$22,$AL35))/($AM35-$AL35))))))))</f>
        <v>0</v>
      </c>
      <c r="V35" s="53" t="n">
        <f aca="false">IF($H35=0,0,IF($AP35="X",0,IF($AP35="S",$H35/$AO35*(MIN($AO35,MAX(0,INT((Lists!L$21-N($J35))/7)+1))-MIN($AO35,MAX(0,INT((Lists!L$22-N($J35))/7)+1))),IF($AP35="D",$H35*MAX(0,MIN(Lists!L$21,N($J35)+$AO35)-MAX(Lists!L$22,N($J35)))/$AO35,IF($AP35="M",$H35/$AO35*(IF(Lists!L$21&lt;$J35,0,MIN($AO35,(((YEAR(Lists!L$21)-YEAR($J35))*12+MONTH(Lists!L$21)-MONTH($J35))-(EDATE($J35,((YEAR(Lists!L$21)-YEAR($J35))*12+MONTH(Lists!L$21)-MONTH($J35)))&gt;Lists!L$21)+1)))-IF(Lists!L$22&lt;$J35,0,MIN($AO35,(((YEAR(Lists!L$22)-YEAR($J35))*12+MONTH(Lists!L$22)-MONTH($J35))-(EDATE($J35,((YEAR(Lists!L$22)-YEAR($J35))*12+MONTH(Lists!L$22)-MONTH($J35)))&gt;Lists!L$22)+1)))),IF($AP35="F",IF(N($K35)&lt;=0,0,MIN(MAX(0,$H35),N($K35)*IF(Lists!L$21&lt;$J35,0,(((YEAR(Lists!L$21)-YEAR($J35))*12+MONTH(Lists!L$21)-MONTH($J35))-(EDATE($J35,((YEAR(Lists!L$21)-YEAR($J35))*12+MONTH(Lists!L$21)-MONTH($J35)))&gt;Lists!L$21)+1)))-MIN(MAX(0,$H35),N($K35)*IF(Lists!L$22&lt;$J35,0,(((YEAR(Lists!L$22)-YEAR($J35))*12+MONTH(Lists!L$22)-MONTH($J35))-(EDATE($J35,((YEAR(Lists!L$22)-YEAR($J35))*12+MONTH(Lists!L$22)-MONTH($J35)))&gt;Lists!L$22)+1)))),N($C35)*IF($AE35-$AD35&lt;1,($AD35&gt;Lists!L$22)*($AD35&lt;=Lists!L$21),MAX(0,MIN(Lists!L$21,$AE35)-MAX(Lists!L$22,$AD35))/($AE35-$AD35))+N($D35)*IF($AG35-$AF35&lt;1,($AF35&gt;Lists!L$22)*($AF35&lt;=Lists!L$21),MAX(0,MIN(Lists!L$21,$AG35)-MAX(Lists!L$22,$AF35))/($AG35-$AF35))+N($E35)*IF($AI35-$AH35&lt;1,($AH35&gt;Lists!L$22)*($AH35&lt;=Lists!L$21),MAX(0,MIN(Lists!L$21,$AI35)-MAX(Lists!L$22,$AH35))/($AI35-$AH35))+N($F35)*IF($AK35-$AJ35&lt;1,($AJ35&gt;Lists!L$22)*($AJ35&lt;=Lists!L$21),MAX(0,MIN(Lists!L$21,$AK35)-MAX(Lists!L$22,$AJ35))/($AK35-$AJ35))+N($G35)*IF($AM35-$AL35&lt;1,($AL35&gt;Lists!L$22)*($AL35&lt;=Lists!L$21),MAX(0,MIN(Lists!L$21,$AM35)-MAX(Lists!L$22,$AL35))/($AM35-$AL35))))))))</f>
        <v>0</v>
      </c>
      <c r="W35" s="53" t="n">
        <f aca="false">IF($H35=0,0,IF($AP35="X",0,IF($AP35="S",$H35/$AO35*(MIN($AO35,MAX(0,INT((Lists!M$21-N($J35))/7)+1))-MIN($AO35,MAX(0,INT((Lists!M$22-N($J35))/7)+1))),IF($AP35="D",$H35*MAX(0,MIN(Lists!M$21,N($J35)+$AO35)-MAX(Lists!M$22,N($J35)))/$AO35,IF($AP35="M",$H35/$AO35*(IF(Lists!M$21&lt;$J35,0,MIN($AO35,(((YEAR(Lists!M$21)-YEAR($J35))*12+MONTH(Lists!M$21)-MONTH($J35))-(EDATE($J35,((YEAR(Lists!M$21)-YEAR($J35))*12+MONTH(Lists!M$21)-MONTH($J35)))&gt;Lists!M$21)+1)))-IF(Lists!M$22&lt;$J35,0,MIN($AO35,(((YEAR(Lists!M$22)-YEAR($J35))*12+MONTH(Lists!M$22)-MONTH($J35))-(EDATE($J35,((YEAR(Lists!M$22)-YEAR($J35))*12+MONTH(Lists!M$22)-MONTH($J35)))&gt;Lists!M$22)+1)))),IF($AP35="F",IF(N($K35)&lt;=0,0,MIN(MAX(0,$H35),N($K35)*IF(Lists!M$21&lt;$J35,0,(((YEAR(Lists!M$21)-YEAR($J35))*12+MONTH(Lists!M$21)-MONTH($J35))-(EDATE($J35,((YEAR(Lists!M$21)-YEAR($J35))*12+MONTH(Lists!M$21)-MONTH($J35)))&gt;Lists!M$21)+1)))-MIN(MAX(0,$H35),N($K35)*IF(Lists!M$22&lt;$J35,0,(((YEAR(Lists!M$22)-YEAR($J35))*12+MONTH(Lists!M$22)-MONTH($J35))-(EDATE($J35,((YEAR(Lists!M$22)-YEAR($J35))*12+MONTH(Lists!M$22)-MONTH($J35)))&gt;Lists!M$22)+1)))),N($C35)*IF($AE35-$AD35&lt;1,($AD35&gt;Lists!M$22)*($AD35&lt;=Lists!M$21),MAX(0,MIN(Lists!M$21,$AE35)-MAX(Lists!M$22,$AD35))/($AE35-$AD35))+N($D35)*IF($AG35-$AF35&lt;1,($AF35&gt;Lists!M$22)*($AF35&lt;=Lists!M$21),MAX(0,MIN(Lists!M$21,$AG35)-MAX(Lists!M$22,$AF35))/($AG35-$AF35))+N($E35)*IF($AI35-$AH35&lt;1,($AH35&gt;Lists!M$22)*($AH35&lt;=Lists!M$21),MAX(0,MIN(Lists!M$21,$AI35)-MAX(Lists!M$22,$AH35))/($AI35-$AH35))+N($F35)*IF($AK35-$AJ35&lt;1,($AJ35&gt;Lists!M$22)*($AJ35&lt;=Lists!M$21),MAX(0,MIN(Lists!M$21,$AK35)-MAX(Lists!M$22,$AJ35))/($AK35-$AJ35))+N($G35)*IF($AM35-$AL35&lt;1,($AL35&gt;Lists!M$22)*($AL35&lt;=Lists!M$21),MAX(0,MIN(Lists!M$21,$AM35)-MAX(Lists!M$22,$AL35))/($AM35-$AL35))))))))</f>
        <v>0</v>
      </c>
      <c r="X35" s="53" t="n">
        <f aca="false">IF($H35=0,0,IF($AP35="X",0,IF($AP35="S",$H35/$AO35*(MIN($AO35,MAX(0,INT((Lists!N$21-N($J35))/7)+1))-MIN($AO35,MAX(0,INT((Lists!N$22-N($J35))/7)+1))),IF($AP35="D",$H35*MAX(0,MIN(Lists!N$21,N($J35)+$AO35)-MAX(Lists!N$22,N($J35)))/$AO35,IF($AP35="M",$H35/$AO35*(IF(Lists!N$21&lt;$J35,0,MIN($AO35,(((YEAR(Lists!N$21)-YEAR($J35))*12+MONTH(Lists!N$21)-MONTH($J35))-(EDATE($J35,((YEAR(Lists!N$21)-YEAR($J35))*12+MONTH(Lists!N$21)-MONTH($J35)))&gt;Lists!N$21)+1)))-IF(Lists!N$22&lt;$J35,0,MIN($AO35,(((YEAR(Lists!N$22)-YEAR($J35))*12+MONTH(Lists!N$22)-MONTH($J35))-(EDATE($J35,((YEAR(Lists!N$22)-YEAR($J35))*12+MONTH(Lists!N$22)-MONTH($J35)))&gt;Lists!N$22)+1)))),IF($AP35="F",IF(N($K35)&lt;=0,0,MIN(MAX(0,$H35),N($K35)*IF(Lists!N$21&lt;$J35,0,(((YEAR(Lists!N$21)-YEAR($J35))*12+MONTH(Lists!N$21)-MONTH($J35))-(EDATE($J35,((YEAR(Lists!N$21)-YEAR($J35))*12+MONTH(Lists!N$21)-MONTH($J35)))&gt;Lists!N$21)+1)))-MIN(MAX(0,$H35),N($K35)*IF(Lists!N$22&lt;$J35,0,(((YEAR(Lists!N$22)-YEAR($J35))*12+MONTH(Lists!N$22)-MONTH($J35))-(EDATE($J35,((YEAR(Lists!N$22)-YEAR($J35))*12+MONTH(Lists!N$22)-MONTH($J35)))&gt;Lists!N$22)+1)))),N($C35)*IF($AE35-$AD35&lt;1,($AD35&gt;Lists!N$22)*($AD35&lt;=Lists!N$21),MAX(0,MIN(Lists!N$21,$AE35)-MAX(Lists!N$22,$AD35))/($AE35-$AD35))+N($D35)*IF($AG35-$AF35&lt;1,($AF35&gt;Lists!N$22)*($AF35&lt;=Lists!N$21),MAX(0,MIN(Lists!N$21,$AG35)-MAX(Lists!N$22,$AF35))/($AG35-$AF35))+N($E35)*IF($AI35-$AH35&lt;1,($AH35&gt;Lists!N$22)*($AH35&lt;=Lists!N$21),MAX(0,MIN(Lists!N$21,$AI35)-MAX(Lists!N$22,$AH35))/($AI35-$AH35))+N($F35)*IF($AK35-$AJ35&lt;1,($AJ35&gt;Lists!N$22)*($AJ35&lt;=Lists!N$21),MAX(0,MIN(Lists!N$21,$AK35)-MAX(Lists!N$22,$AJ35))/($AK35-$AJ35))+N($G35)*IF($AM35-$AL35&lt;1,($AL35&gt;Lists!N$22)*($AL35&lt;=Lists!N$21),MAX(0,MIN(Lists!N$21,$AM35)-MAX(Lists!N$22,$AL35))/($AM35-$AL35))))))))</f>
        <v>0</v>
      </c>
      <c r="Y35" s="53" t="n">
        <f aca="false">IF($H35=0,0,IF($AP35="X",0,IF($AP35="S",$H35/$AO35*(MIN($AO35,MAX(0,INT((Lists!O$21-N($J35))/7)+1))-MIN($AO35,MAX(0,INT((Lists!O$22-N($J35))/7)+1))),IF($AP35="D",$H35*MAX(0,MIN(Lists!O$21,N($J35)+$AO35)-MAX(Lists!O$22,N($J35)))/$AO35,IF($AP35="M",$H35/$AO35*(IF(Lists!O$21&lt;$J35,0,MIN($AO35,(((YEAR(Lists!O$21)-YEAR($J35))*12+MONTH(Lists!O$21)-MONTH($J35))-(EDATE($J35,((YEAR(Lists!O$21)-YEAR($J35))*12+MONTH(Lists!O$21)-MONTH($J35)))&gt;Lists!O$21)+1)))-IF(Lists!O$22&lt;$J35,0,MIN($AO35,(((YEAR(Lists!O$22)-YEAR($J35))*12+MONTH(Lists!O$22)-MONTH($J35))-(EDATE($J35,((YEAR(Lists!O$22)-YEAR($J35))*12+MONTH(Lists!O$22)-MONTH($J35)))&gt;Lists!O$22)+1)))),IF($AP35="F",IF(N($K35)&lt;=0,0,MIN(MAX(0,$H35),N($K35)*IF(Lists!O$21&lt;$J35,0,(((YEAR(Lists!O$21)-YEAR($J35))*12+MONTH(Lists!O$21)-MONTH($J35))-(EDATE($J35,((YEAR(Lists!O$21)-YEAR($J35))*12+MONTH(Lists!O$21)-MONTH($J35)))&gt;Lists!O$21)+1)))-MIN(MAX(0,$H35),N($K35)*IF(Lists!O$22&lt;$J35,0,(((YEAR(Lists!O$22)-YEAR($J35))*12+MONTH(Lists!O$22)-MONTH($J35))-(EDATE($J35,((YEAR(Lists!O$22)-YEAR($J35))*12+MONTH(Lists!O$22)-MONTH($J35)))&gt;Lists!O$22)+1)))),N($C35)*IF($AE35-$AD35&lt;1,($AD35&gt;Lists!O$22)*($AD35&lt;=Lists!O$21),MAX(0,MIN(Lists!O$21,$AE35)-MAX(Lists!O$22,$AD35))/($AE35-$AD35))+N($D35)*IF($AG35-$AF35&lt;1,($AF35&gt;Lists!O$22)*($AF35&lt;=Lists!O$21),MAX(0,MIN(Lists!O$21,$AG35)-MAX(Lists!O$22,$AF35))/($AG35-$AF35))+N($E35)*IF($AI35-$AH35&lt;1,($AH35&gt;Lists!O$22)*($AH35&lt;=Lists!O$21),MAX(0,MIN(Lists!O$21,$AI35)-MAX(Lists!O$22,$AH35))/($AI35-$AH35))+N($F35)*IF($AK35-$AJ35&lt;1,($AJ35&gt;Lists!O$22)*($AJ35&lt;=Lists!O$21),MAX(0,MIN(Lists!O$21,$AK35)-MAX(Lists!O$22,$AJ35))/($AK35-$AJ35))+N($G35)*IF($AM35-$AL35&lt;1,($AL35&gt;Lists!O$22)*($AL35&lt;=Lists!O$21),MAX(0,MIN(Lists!O$21,$AM35)-MAX(Lists!O$22,$AL35))/($AM35-$AL35))))))))</f>
        <v>0</v>
      </c>
      <c r="Z35" s="46" t="n">
        <f aca="false">SUM(M35:Y35)</f>
        <v>0</v>
      </c>
      <c r="AA35" s="92" t="n">
        <f aca="false">H35-Z35</f>
        <v>0</v>
      </c>
      <c r="AB35" s="55"/>
      <c r="AC35" s="2"/>
      <c r="AD35" s="93" t="n">
        <f aca="false">Setup!$D$10+MAX(0,$AN35-30)</f>
        <v>46365</v>
      </c>
      <c r="AE35" s="93" t="n">
        <f aca="false">Setup!$D$10+IF($AN35-30&lt;0,MAX(Setup!$D$22,$AN35-0),$AN35-0)</f>
        <v>46395</v>
      </c>
      <c r="AF35" s="93" t="n">
        <f aca="false">Setup!$D$10+MAX(0,$AN35-60)</f>
        <v>46335</v>
      </c>
      <c r="AG35" s="93" t="n">
        <f aca="false">Setup!$D$10+IF($AN35-60&lt;0,MAX(Setup!$D$22,$AN35-31),$AN35-31)</f>
        <v>46364</v>
      </c>
      <c r="AH35" s="93" t="n">
        <f aca="false">Setup!$D$10+MAX(0,$AN35-90)</f>
        <v>46335</v>
      </c>
      <c r="AI35" s="93" t="n">
        <f aca="false">Setup!$D$10+IF($AN35-90&lt;0,MAX(Setup!$D$22,$AN35-61),$AN35-61)</f>
        <v>46363</v>
      </c>
      <c r="AJ35" s="93" t="n">
        <f aca="false">Setup!$D$10+MAX(0,$AN35-120)</f>
        <v>46335</v>
      </c>
      <c r="AK35" s="93" t="n">
        <f aca="false">Setup!$D$10+IF($AN35-120&lt;0,MAX(Setup!$D$22,$AN35-91),$AN35-91)</f>
        <v>46363</v>
      </c>
      <c r="AL35" s="93" t="n">
        <f aca="false">IF(Setup!$D$23="Yes",2958465,Setup!$D$10)</f>
        <v>2958465</v>
      </c>
      <c r="AM35" s="93" t="n">
        <f aca="false">IF(AL35=2958465,AL35,Setup!$D$10+Setup!$D$22)</f>
        <v>2958465</v>
      </c>
      <c r="AN35" s="94" t="n">
        <f aca="false">IF(N(L35)=0,Setup!$D$20,L35)</f>
        <v>60</v>
      </c>
      <c r="AO35" s="94" t="n">
        <f aca="false">MAX(1,ROUND(N(K35),0))</f>
        <v>1</v>
      </c>
      <c r="AP35" s="95" t="str">
        <f aca="false">IF(I35="Doubtful","X",IF(N(J35)=0,"A",IF(I35="Specific date","S",IF(I35="Spread over days","D",IF(I35="Monthly on set day","M",IF(I35="Monthly fixed amount","F","A"))))))</f>
        <v>A</v>
      </c>
    </row>
    <row r="36" customFormat="false" ht="15" hidden="false" customHeight="false" outlineLevel="0" collapsed="false">
      <c r="A36" s="87" t="n">
        <v>28</v>
      </c>
      <c r="B36" s="55"/>
      <c r="C36" s="88"/>
      <c r="D36" s="88"/>
      <c r="E36" s="88"/>
      <c r="F36" s="88"/>
      <c r="G36" s="88"/>
      <c r="H36" s="89" t="n">
        <f aca="false">SUM(C36:G36)</f>
        <v>0</v>
      </c>
      <c r="I36" s="58"/>
      <c r="J36" s="90"/>
      <c r="K36" s="91"/>
      <c r="L36" s="80"/>
      <c r="M36" s="53" t="n">
        <f aca="false">IF($H36=0,0,IF($AP36="X",0,IF($AP36="S",$H36/$AO36*(MIN($AO36,MAX(0,INT((Lists!C$21-N($J36))/7)+1))-MIN($AO36,MAX(0,INT((Lists!C$22-N($J36))/7)+1))),IF($AP36="D",$H36*MAX(0,MIN(Lists!C$21,N($J36)+$AO36)-MAX(Lists!C$22,N($J36)))/$AO36,IF($AP36="M",$H36/$AO36*(IF(Lists!C$21&lt;$J36,0,MIN($AO36,(((YEAR(Lists!C$21)-YEAR($J36))*12+MONTH(Lists!C$21)-MONTH($J36))-(EDATE($J36,((YEAR(Lists!C$21)-YEAR($J36))*12+MONTH(Lists!C$21)-MONTH($J36)))&gt;Lists!C$21)+1)))-IF(Lists!C$22&lt;$J36,0,MIN($AO36,(((YEAR(Lists!C$22)-YEAR($J36))*12+MONTH(Lists!C$22)-MONTH($J36))-(EDATE($J36,((YEAR(Lists!C$22)-YEAR($J36))*12+MONTH(Lists!C$22)-MONTH($J36)))&gt;Lists!C$22)+1)))),IF($AP36="F",IF(N($K36)&lt;=0,0,MIN(MAX(0,$H36),N($K36)*IF(Lists!C$21&lt;$J36,0,(((YEAR(Lists!C$21)-YEAR($J36))*12+MONTH(Lists!C$21)-MONTH($J36))-(EDATE($J36,((YEAR(Lists!C$21)-YEAR($J36))*12+MONTH(Lists!C$21)-MONTH($J36)))&gt;Lists!C$21)+1)))-MIN(MAX(0,$H36),N($K36)*IF(Lists!C$22&lt;$J36,0,(((YEAR(Lists!C$22)-YEAR($J36))*12+MONTH(Lists!C$22)-MONTH($J36))-(EDATE($J36,((YEAR(Lists!C$22)-YEAR($J36))*12+MONTH(Lists!C$22)-MONTH($J36)))&gt;Lists!C$22)+1)))),N($C36)*IF($AE36-$AD36&lt;1,($AD36&gt;Lists!C$22)*($AD36&lt;=Lists!C$21),MAX(0,MIN(Lists!C$21,$AE36)-MAX(Lists!C$22,$AD36))/($AE36-$AD36))+N($D36)*IF($AG36-$AF36&lt;1,($AF36&gt;Lists!C$22)*($AF36&lt;=Lists!C$21),MAX(0,MIN(Lists!C$21,$AG36)-MAX(Lists!C$22,$AF36))/($AG36-$AF36))+N($E36)*IF($AI36-$AH36&lt;1,($AH36&gt;Lists!C$22)*($AH36&lt;=Lists!C$21),MAX(0,MIN(Lists!C$21,$AI36)-MAX(Lists!C$22,$AH36))/($AI36-$AH36))+N($F36)*IF($AK36-$AJ36&lt;1,($AJ36&gt;Lists!C$22)*($AJ36&lt;=Lists!C$21),MAX(0,MIN(Lists!C$21,$AK36)-MAX(Lists!C$22,$AJ36))/($AK36-$AJ36))+N($G36)*IF($AM36-$AL36&lt;1,($AL36&gt;Lists!C$22)*($AL36&lt;=Lists!C$21),MAX(0,MIN(Lists!C$21,$AM36)-MAX(Lists!C$22,$AL36))/($AM36-$AL36))))))))</f>
        <v>0</v>
      </c>
      <c r="N36" s="53" t="n">
        <f aca="false">IF($H36=0,0,IF($AP36="X",0,IF($AP36="S",$H36/$AO36*(MIN($AO36,MAX(0,INT((Lists!D$21-N($J36))/7)+1))-MIN($AO36,MAX(0,INT((Lists!D$22-N($J36))/7)+1))),IF($AP36="D",$H36*MAX(0,MIN(Lists!D$21,N($J36)+$AO36)-MAX(Lists!D$22,N($J36)))/$AO36,IF($AP36="M",$H36/$AO36*(IF(Lists!D$21&lt;$J36,0,MIN($AO36,(((YEAR(Lists!D$21)-YEAR($J36))*12+MONTH(Lists!D$21)-MONTH($J36))-(EDATE($J36,((YEAR(Lists!D$21)-YEAR($J36))*12+MONTH(Lists!D$21)-MONTH($J36)))&gt;Lists!D$21)+1)))-IF(Lists!D$22&lt;$J36,0,MIN($AO36,(((YEAR(Lists!D$22)-YEAR($J36))*12+MONTH(Lists!D$22)-MONTH($J36))-(EDATE($J36,((YEAR(Lists!D$22)-YEAR($J36))*12+MONTH(Lists!D$22)-MONTH($J36)))&gt;Lists!D$22)+1)))),IF($AP36="F",IF(N($K36)&lt;=0,0,MIN(MAX(0,$H36),N($K36)*IF(Lists!D$21&lt;$J36,0,(((YEAR(Lists!D$21)-YEAR($J36))*12+MONTH(Lists!D$21)-MONTH($J36))-(EDATE($J36,((YEAR(Lists!D$21)-YEAR($J36))*12+MONTH(Lists!D$21)-MONTH($J36)))&gt;Lists!D$21)+1)))-MIN(MAX(0,$H36),N($K36)*IF(Lists!D$22&lt;$J36,0,(((YEAR(Lists!D$22)-YEAR($J36))*12+MONTH(Lists!D$22)-MONTH($J36))-(EDATE($J36,((YEAR(Lists!D$22)-YEAR($J36))*12+MONTH(Lists!D$22)-MONTH($J36)))&gt;Lists!D$22)+1)))),N($C36)*IF($AE36-$AD36&lt;1,($AD36&gt;Lists!D$22)*($AD36&lt;=Lists!D$21),MAX(0,MIN(Lists!D$21,$AE36)-MAX(Lists!D$22,$AD36))/($AE36-$AD36))+N($D36)*IF($AG36-$AF36&lt;1,($AF36&gt;Lists!D$22)*($AF36&lt;=Lists!D$21),MAX(0,MIN(Lists!D$21,$AG36)-MAX(Lists!D$22,$AF36))/($AG36-$AF36))+N($E36)*IF($AI36-$AH36&lt;1,($AH36&gt;Lists!D$22)*($AH36&lt;=Lists!D$21),MAX(0,MIN(Lists!D$21,$AI36)-MAX(Lists!D$22,$AH36))/($AI36-$AH36))+N($F36)*IF($AK36-$AJ36&lt;1,($AJ36&gt;Lists!D$22)*($AJ36&lt;=Lists!D$21),MAX(0,MIN(Lists!D$21,$AK36)-MAX(Lists!D$22,$AJ36))/($AK36-$AJ36))+N($G36)*IF($AM36-$AL36&lt;1,($AL36&gt;Lists!D$22)*($AL36&lt;=Lists!D$21),MAX(0,MIN(Lists!D$21,$AM36)-MAX(Lists!D$22,$AL36))/($AM36-$AL36))))))))</f>
        <v>0</v>
      </c>
      <c r="O36" s="53" t="n">
        <f aca="false">IF($H36=0,0,IF($AP36="X",0,IF($AP36="S",$H36/$AO36*(MIN($AO36,MAX(0,INT((Lists!E$21-N($J36))/7)+1))-MIN($AO36,MAX(0,INT((Lists!E$22-N($J36))/7)+1))),IF($AP36="D",$H36*MAX(0,MIN(Lists!E$21,N($J36)+$AO36)-MAX(Lists!E$22,N($J36)))/$AO36,IF($AP36="M",$H36/$AO36*(IF(Lists!E$21&lt;$J36,0,MIN($AO36,(((YEAR(Lists!E$21)-YEAR($J36))*12+MONTH(Lists!E$21)-MONTH($J36))-(EDATE($J36,((YEAR(Lists!E$21)-YEAR($J36))*12+MONTH(Lists!E$21)-MONTH($J36)))&gt;Lists!E$21)+1)))-IF(Lists!E$22&lt;$J36,0,MIN($AO36,(((YEAR(Lists!E$22)-YEAR($J36))*12+MONTH(Lists!E$22)-MONTH($J36))-(EDATE($J36,((YEAR(Lists!E$22)-YEAR($J36))*12+MONTH(Lists!E$22)-MONTH($J36)))&gt;Lists!E$22)+1)))),IF($AP36="F",IF(N($K36)&lt;=0,0,MIN(MAX(0,$H36),N($K36)*IF(Lists!E$21&lt;$J36,0,(((YEAR(Lists!E$21)-YEAR($J36))*12+MONTH(Lists!E$21)-MONTH($J36))-(EDATE($J36,((YEAR(Lists!E$21)-YEAR($J36))*12+MONTH(Lists!E$21)-MONTH($J36)))&gt;Lists!E$21)+1)))-MIN(MAX(0,$H36),N($K36)*IF(Lists!E$22&lt;$J36,0,(((YEAR(Lists!E$22)-YEAR($J36))*12+MONTH(Lists!E$22)-MONTH($J36))-(EDATE($J36,((YEAR(Lists!E$22)-YEAR($J36))*12+MONTH(Lists!E$22)-MONTH($J36)))&gt;Lists!E$22)+1)))),N($C36)*IF($AE36-$AD36&lt;1,($AD36&gt;Lists!E$22)*($AD36&lt;=Lists!E$21),MAX(0,MIN(Lists!E$21,$AE36)-MAX(Lists!E$22,$AD36))/($AE36-$AD36))+N($D36)*IF($AG36-$AF36&lt;1,($AF36&gt;Lists!E$22)*($AF36&lt;=Lists!E$21),MAX(0,MIN(Lists!E$21,$AG36)-MAX(Lists!E$22,$AF36))/($AG36-$AF36))+N($E36)*IF($AI36-$AH36&lt;1,($AH36&gt;Lists!E$22)*($AH36&lt;=Lists!E$21),MAX(0,MIN(Lists!E$21,$AI36)-MAX(Lists!E$22,$AH36))/($AI36-$AH36))+N($F36)*IF($AK36-$AJ36&lt;1,($AJ36&gt;Lists!E$22)*($AJ36&lt;=Lists!E$21),MAX(0,MIN(Lists!E$21,$AK36)-MAX(Lists!E$22,$AJ36))/($AK36-$AJ36))+N($G36)*IF($AM36-$AL36&lt;1,($AL36&gt;Lists!E$22)*($AL36&lt;=Lists!E$21),MAX(0,MIN(Lists!E$21,$AM36)-MAX(Lists!E$22,$AL36))/($AM36-$AL36))))))))</f>
        <v>0</v>
      </c>
      <c r="P36" s="53" t="n">
        <f aca="false">IF($H36=0,0,IF($AP36="X",0,IF($AP36="S",$H36/$AO36*(MIN($AO36,MAX(0,INT((Lists!F$21-N($J36))/7)+1))-MIN($AO36,MAX(0,INT((Lists!F$22-N($J36))/7)+1))),IF($AP36="D",$H36*MAX(0,MIN(Lists!F$21,N($J36)+$AO36)-MAX(Lists!F$22,N($J36)))/$AO36,IF($AP36="M",$H36/$AO36*(IF(Lists!F$21&lt;$J36,0,MIN($AO36,(((YEAR(Lists!F$21)-YEAR($J36))*12+MONTH(Lists!F$21)-MONTH($J36))-(EDATE($J36,((YEAR(Lists!F$21)-YEAR($J36))*12+MONTH(Lists!F$21)-MONTH($J36)))&gt;Lists!F$21)+1)))-IF(Lists!F$22&lt;$J36,0,MIN($AO36,(((YEAR(Lists!F$22)-YEAR($J36))*12+MONTH(Lists!F$22)-MONTH($J36))-(EDATE($J36,((YEAR(Lists!F$22)-YEAR($J36))*12+MONTH(Lists!F$22)-MONTH($J36)))&gt;Lists!F$22)+1)))),IF($AP36="F",IF(N($K36)&lt;=0,0,MIN(MAX(0,$H36),N($K36)*IF(Lists!F$21&lt;$J36,0,(((YEAR(Lists!F$21)-YEAR($J36))*12+MONTH(Lists!F$21)-MONTH($J36))-(EDATE($J36,((YEAR(Lists!F$21)-YEAR($J36))*12+MONTH(Lists!F$21)-MONTH($J36)))&gt;Lists!F$21)+1)))-MIN(MAX(0,$H36),N($K36)*IF(Lists!F$22&lt;$J36,0,(((YEAR(Lists!F$22)-YEAR($J36))*12+MONTH(Lists!F$22)-MONTH($J36))-(EDATE($J36,((YEAR(Lists!F$22)-YEAR($J36))*12+MONTH(Lists!F$22)-MONTH($J36)))&gt;Lists!F$22)+1)))),N($C36)*IF($AE36-$AD36&lt;1,($AD36&gt;Lists!F$22)*($AD36&lt;=Lists!F$21),MAX(0,MIN(Lists!F$21,$AE36)-MAX(Lists!F$22,$AD36))/($AE36-$AD36))+N($D36)*IF($AG36-$AF36&lt;1,($AF36&gt;Lists!F$22)*($AF36&lt;=Lists!F$21),MAX(0,MIN(Lists!F$21,$AG36)-MAX(Lists!F$22,$AF36))/($AG36-$AF36))+N($E36)*IF($AI36-$AH36&lt;1,($AH36&gt;Lists!F$22)*($AH36&lt;=Lists!F$21),MAX(0,MIN(Lists!F$21,$AI36)-MAX(Lists!F$22,$AH36))/($AI36-$AH36))+N($F36)*IF($AK36-$AJ36&lt;1,($AJ36&gt;Lists!F$22)*($AJ36&lt;=Lists!F$21),MAX(0,MIN(Lists!F$21,$AK36)-MAX(Lists!F$22,$AJ36))/($AK36-$AJ36))+N($G36)*IF($AM36-$AL36&lt;1,($AL36&gt;Lists!F$22)*($AL36&lt;=Lists!F$21),MAX(0,MIN(Lists!F$21,$AM36)-MAX(Lists!F$22,$AL36))/($AM36-$AL36))))))))</f>
        <v>0</v>
      </c>
      <c r="Q36" s="53" t="n">
        <f aca="false">IF($H36=0,0,IF($AP36="X",0,IF($AP36="S",$H36/$AO36*(MIN($AO36,MAX(0,INT((Lists!G$21-N($J36))/7)+1))-MIN($AO36,MAX(0,INT((Lists!G$22-N($J36))/7)+1))),IF($AP36="D",$H36*MAX(0,MIN(Lists!G$21,N($J36)+$AO36)-MAX(Lists!G$22,N($J36)))/$AO36,IF($AP36="M",$H36/$AO36*(IF(Lists!G$21&lt;$J36,0,MIN($AO36,(((YEAR(Lists!G$21)-YEAR($J36))*12+MONTH(Lists!G$21)-MONTH($J36))-(EDATE($J36,((YEAR(Lists!G$21)-YEAR($J36))*12+MONTH(Lists!G$21)-MONTH($J36)))&gt;Lists!G$21)+1)))-IF(Lists!G$22&lt;$J36,0,MIN($AO36,(((YEAR(Lists!G$22)-YEAR($J36))*12+MONTH(Lists!G$22)-MONTH($J36))-(EDATE($J36,((YEAR(Lists!G$22)-YEAR($J36))*12+MONTH(Lists!G$22)-MONTH($J36)))&gt;Lists!G$22)+1)))),IF($AP36="F",IF(N($K36)&lt;=0,0,MIN(MAX(0,$H36),N($K36)*IF(Lists!G$21&lt;$J36,0,(((YEAR(Lists!G$21)-YEAR($J36))*12+MONTH(Lists!G$21)-MONTH($J36))-(EDATE($J36,((YEAR(Lists!G$21)-YEAR($J36))*12+MONTH(Lists!G$21)-MONTH($J36)))&gt;Lists!G$21)+1)))-MIN(MAX(0,$H36),N($K36)*IF(Lists!G$22&lt;$J36,0,(((YEAR(Lists!G$22)-YEAR($J36))*12+MONTH(Lists!G$22)-MONTH($J36))-(EDATE($J36,((YEAR(Lists!G$22)-YEAR($J36))*12+MONTH(Lists!G$22)-MONTH($J36)))&gt;Lists!G$22)+1)))),N($C36)*IF($AE36-$AD36&lt;1,($AD36&gt;Lists!G$22)*($AD36&lt;=Lists!G$21),MAX(0,MIN(Lists!G$21,$AE36)-MAX(Lists!G$22,$AD36))/($AE36-$AD36))+N($D36)*IF($AG36-$AF36&lt;1,($AF36&gt;Lists!G$22)*($AF36&lt;=Lists!G$21),MAX(0,MIN(Lists!G$21,$AG36)-MAX(Lists!G$22,$AF36))/($AG36-$AF36))+N($E36)*IF($AI36-$AH36&lt;1,($AH36&gt;Lists!G$22)*($AH36&lt;=Lists!G$21),MAX(0,MIN(Lists!G$21,$AI36)-MAX(Lists!G$22,$AH36))/($AI36-$AH36))+N($F36)*IF($AK36-$AJ36&lt;1,($AJ36&gt;Lists!G$22)*($AJ36&lt;=Lists!G$21),MAX(0,MIN(Lists!G$21,$AK36)-MAX(Lists!G$22,$AJ36))/($AK36-$AJ36))+N($G36)*IF($AM36-$AL36&lt;1,($AL36&gt;Lists!G$22)*($AL36&lt;=Lists!G$21),MAX(0,MIN(Lists!G$21,$AM36)-MAX(Lists!G$22,$AL36))/($AM36-$AL36))))))))</f>
        <v>0</v>
      </c>
      <c r="R36" s="53" t="n">
        <f aca="false">IF($H36=0,0,IF($AP36="X",0,IF($AP36="S",$H36/$AO36*(MIN($AO36,MAX(0,INT((Lists!H$21-N($J36))/7)+1))-MIN($AO36,MAX(0,INT((Lists!H$22-N($J36))/7)+1))),IF($AP36="D",$H36*MAX(0,MIN(Lists!H$21,N($J36)+$AO36)-MAX(Lists!H$22,N($J36)))/$AO36,IF($AP36="M",$H36/$AO36*(IF(Lists!H$21&lt;$J36,0,MIN($AO36,(((YEAR(Lists!H$21)-YEAR($J36))*12+MONTH(Lists!H$21)-MONTH($J36))-(EDATE($J36,((YEAR(Lists!H$21)-YEAR($J36))*12+MONTH(Lists!H$21)-MONTH($J36)))&gt;Lists!H$21)+1)))-IF(Lists!H$22&lt;$J36,0,MIN($AO36,(((YEAR(Lists!H$22)-YEAR($J36))*12+MONTH(Lists!H$22)-MONTH($J36))-(EDATE($J36,((YEAR(Lists!H$22)-YEAR($J36))*12+MONTH(Lists!H$22)-MONTH($J36)))&gt;Lists!H$22)+1)))),IF($AP36="F",IF(N($K36)&lt;=0,0,MIN(MAX(0,$H36),N($K36)*IF(Lists!H$21&lt;$J36,0,(((YEAR(Lists!H$21)-YEAR($J36))*12+MONTH(Lists!H$21)-MONTH($J36))-(EDATE($J36,((YEAR(Lists!H$21)-YEAR($J36))*12+MONTH(Lists!H$21)-MONTH($J36)))&gt;Lists!H$21)+1)))-MIN(MAX(0,$H36),N($K36)*IF(Lists!H$22&lt;$J36,0,(((YEAR(Lists!H$22)-YEAR($J36))*12+MONTH(Lists!H$22)-MONTH($J36))-(EDATE($J36,((YEAR(Lists!H$22)-YEAR($J36))*12+MONTH(Lists!H$22)-MONTH($J36)))&gt;Lists!H$22)+1)))),N($C36)*IF($AE36-$AD36&lt;1,($AD36&gt;Lists!H$22)*($AD36&lt;=Lists!H$21),MAX(0,MIN(Lists!H$21,$AE36)-MAX(Lists!H$22,$AD36))/($AE36-$AD36))+N($D36)*IF($AG36-$AF36&lt;1,($AF36&gt;Lists!H$22)*($AF36&lt;=Lists!H$21),MAX(0,MIN(Lists!H$21,$AG36)-MAX(Lists!H$22,$AF36))/($AG36-$AF36))+N($E36)*IF($AI36-$AH36&lt;1,($AH36&gt;Lists!H$22)*($AH36&lt;=Lists!H$21),MAX(0,MIN(Lists!H$21,$AI36)-MAX(Lists!H$22,$AH36))/($AI36-$AH36))+N($F36)*IF($AK36-$AJ36&lt;1,($AJ36&gt;Lists!H$22)*($AJ36&lt;=Lists!H$21),MAX(0,MIN(Lists!H$21,$AK36)-MAX(Lists!H$22,$AJ36))/($AK36-$AJ36))+N($G36)*IF($AM36-$AL36&lt;1,($AL36&gt;Lists!H$22)*($AL36&lt;=Lists!H$21),MAX(0,MIN(Lists!H$21,$AM36)-MAX(Lists!H$22,$AL36))/($AM36-$AL36))))))))</f>
        <v>0</v>
      </c>
      <c r="S36" s="53" t="n">
        <f aca="false">IF($H36=0,0,IF($AP36="X",0,IF($AP36="S",$H36/$AO36*(MIN($AO36,MAX(0,INT((Lists!I$21-N($J36))/7)+1))-MIN($AO36,MAX(0,INT((Lists!I$22-N($J36))/7)+1))),IF($AP36="D",$H36*MAX(0,MIN(Lists!I$21,N($J36)+$AO36)-MAX(Lists!I$22,N($J36)))/$AO36,IF($AP36="M",$H36/$AO36*(IF(Lists!I$21&lt;$J36,0,MIN($AO36,(((YEAR(Lists!I$21)-YEAR($J36))*12+MONTH(Lists!I$21)-MONTH($J36))-(EDATE($J36,((YEAR(Lists!I$21)-YEAR($J36))*12+MONTH(Lists!I$21)-MONTH($J36)))&gt;Lists!I$21)+1)))-IF(Lists!I$22&lt;$J36,0,MIN($AO36,(((YEAR(Lists!I$22)-YEAR($J36))*12+MONTH(Lists!I$22)-MONTH($J36))-(EDATE($J36,((YEAR(Lists!I$22)-YEAR($J36))*12+MONTH(Lists!I$22)-MONTH($J36)))&gt;Lists!I$22)+1)))),IF($AP36="F",IF(N($K36)&lt;=0,0,MIN(MAX(0,$H36),N($K36)*IF(Lists!I$21&lt;$J36,0,(((YEAR(Lists!I$21)-YEAR($J36))*12+MONTH(Lists!I$21)-MONTH($J36))-(EDATE($J36,((YEAR(Lists!I$21)-YEAR($J36))*12+MONTH(Lists!I$21)-MONTH($J36)))&gt;Lists!I$21)+1)))-MIN(MAX(0,$H36),N($K36)*IF(Lists!I$22&lt;$J36,0,(((YEAR(Lists!I$22)-YEAR($J36))*12+MONTH(Lists!I$22)-MONTH($J36))-(EDATE($J36,((YEAR(Lists!I$22)-YEAR($J36))*12+MONTH(Lists!I$22)-MONTH($J36)))&gt;Lists!I$22)+1)))),N($C36)*IF($AE36-$AD36&lt;1,($AD36&gt;Lists!I$22)*($AD36&lt;=Lists!I$21),MAX(0,MIN(Lists!I$21,$AE36)-MAX(Lists!I$22,$AD36))/($AE36-$AD36))+N($D36)*IF($AG36-$AF36&lt;1,($AF36&gt;Lists!I$22)*($AF36&lt;=Lists!I$21),MAX(0,MIN(Lists!I$21,$AG36)-MAX(Lists!I$22,$AF36))/($AG36-$AF36))+N($E36)*IF($AI36-$AH36&lt;1,($AH36&gt;Lists!I$22)*($AH36&lt;=Lists!I$21),MAX(0,MIN(Lists!I$21,$AI36)-MAX(Lists!I$22,$AH36))/($AI36-$AH36))+N($F36)*IF($AK36-$AJ36&lt;1,($AJ36&gt;Lists!I$22)*($AJ36&lt;=Lists!I$21),MAX(0,MIN(Lists!I$21,$AK36)-MAX(Lists!I$22,$AJ36))/($AK36-$AJ36))+N($G36)*IF($AM36-$AL36&lt;1,($AL36&gt;Lists!I$22)*($AL36&lt;=Lists!I$21),MAX(0,MIN(Lists!I$21,$AM36)-MAX(Lists!I$22,$AL36))/($AM36-$AL36))))))))</f>
        <v>0</v>
      </c>
      <c r="T36" s="53" t="n">
        <f aca="false">IF($H36=0,0,IF($AP36="X",0,IF($AP36="S",$H36/$AO36*(MIN($AO36,MAX(0,INT((Lists!J$21-N($J36))/7)+1))-MIN($AO36,MAX(0,INT((Lists!J$22-N($J36))/7)+1))),IF($AP36="D",$H36*MAX(0,MIN(Lists!J$21,N($J36)+$AO36)-MAX(Lists!J$22,N($J36)))/$AO36,IF($AP36="M",$H36/$AO36*(IF(Lists!J$21&lt;$J36,0,MIN($AO36,(((YEAR(Lists!J$21)-YEAR($J36))*12+MONTH(Lists!J$21)-MONTH($J36))-(EDATE($J36,((YEAR(Lists!J$21)-YEAR($J36))*12+MONTH(Lists!J$21)-MONTH($J36)))&gt;Lists!J$21)+1)))-IF(Lists!J$22&lt;$J36,0,MIN($AO36,(((YEAR(Lists!J$22)-YEAR($J36))*12+MONTH(Lists!J$22)-MONTH($J36))-(EDATE($J36,((YEAR(Lists!J$22)-YEAR($J36))*12+MONTH(Lists!J$22)-MONTH($J36)))&gt;Lists!J$22)+1)))),IF($AP36="F",IF(N($K36)&lt;=0,0,MIN(MAX(0,$H36),N($K36)*IF(Lists!J$21&lt;$J36,0,(((YEAR(Lists!J$21)-YEAR($J36))*12+MONTH(Lists!J$21)-MONTH($J36))-(EDATE($J36,((YEAR(Lists!J$21)-YEAR($J36))*12+MONTH(Lists!J$21)-MONTH($J36)))&gt;Lists!J$21)+1)))-MIN(MAX(0,$H36),N($K36)*IF(Lists!J$22&lt;$J36,0,(((YEAR(Lists!J$22)-YEAR($J36))*12+MONTH(Lists!J$22)-MONTH($J36))-(EDATE($J36,((YEAR(Lists!J$22)-YEAR($J36))*12+MONTH(Lists!J$22)-MONTH($J36)))&gt;Lists!J$22)+1)))),N($C36)*IF($AE36-$AD36&lt;1,($AD36&gt;Lists!J$22)*($AD36&lt;=Lists!J$21),MAX(0,MIN(Lists!J$21,$AE36)-MAX(Lists!J$22,$AD36))/($AE36-$AD36))+N($D36)*IF($AG36-$AF36&lt;1,($AF36&gt;Lists!J$22)*($AF36&lt;=Lists!J$21),MAX(0,MIN(Lists!J$21,$AG36)-MAX(Lists!J$22,$AF36))/($AG36-$AF36))+N($E36)*IF($AI36-$AH36&lt;1,($AH36&gt;Lists!J$22)*($AH36&lt;=Lists!J$21),MAX(0,MIN(Lists!J$21,$AI36)-MAX(Lists!J$22,$AH36))/($AI36-$AH36))+N($F36)*IF($AK36-$AJ36&lt;1,($AJ36&gt;Lists!J$22)*($AJ36&lt;=Lists!J$21),MAX(0,MIN(Lists!J$21,$AK36)-MAX(Lists!J$22,$AJ36))/($AK36-$AJ36))+N($G36)*IF($AM36-$AL36&lt;1,($AL36&gt;Lists!J$22)*($AL36&lt;=Lists!J$21),MAX(0,MIN(Lists!J$21,$AM36)-MAX(Lists!J$22,$AL36))/($AM36-$AL36))))))))</f>
        <v>0</v>
      </c>
      <c r="U36" s="53" t="n">
        <f aca="false">IF($H36=0,0,IF($AP36="X",0,IF($AP36="S",$H36/$AO36*(MIN($AO36,MAX(0,INT((Lists!K$21-N($J36))/7)+1))-MIN($AO36,MAX(0,INT((Lists!K$22-N($J36))/7)+1))),IF($AP36="D",$H36*MAX(0,MIN(Lists!K$21,N($J36)+$AO36)-MAX(Lists!K$22,N($J36)))/$AO36,IF($AP36="M",$H36/$AO36*(IF(Lists!K$21&lt;$J36,0,MIN($AO36,(((YEAR(Lists!K$21)-YEAR($J36))*12+MONTH(Lists!K$21)-MONTH($J36))-(EDATE($J36,((YEAR(Lists!K$21)-YEAR($J36))*12+MONTH(Lists!K$21)-MONTH($J36)))&gt;Lists!K$21)+1)))-IF(Lists!K$22&lt;$J36,0,MIN($AO36,(((YEAR(Lists!K$22)-YEAR($J36))*12+MONTH(Lists!K$22)-MONTH($J36))-(EDATE($J36,((YEAR(Lists!K$22)-YEAR($J36))*12+MONTH(Lists!K$22)-MONTH($J36)))&gt;Lists!K$22)+1)))),IF($AP36="F",IF(N($K36)&lt;=0,0,MIN(MAX(0,$H36),N($K36)*IF(Lists!K$21&lt;$J36,0,(((YEAR(Lists!K$21)-YEAR($J36))*12+MONTH(Lists!K$21)-MONTH($J36))-(EDATE($J36,((YEAR(Lists!K$21)-YEAR($J36))*12+MONTH(Lists!K$21)-MONTH($J36)))&gt;Lists!K$21)+1)))-MIN(MAX(0,$H36),N($K36)*IF(Lists!K$22&lt;$J36,0,(((YEAR(Lists!K$22)-YEAR($J36))*12+MONTH(Lists!K$22)-MONTH($J36))-(EDATE($J36,((YEAR(Lists!K$22)-YEAR($J36))*12+MONTH(Lists!K$22)-MONTH($J36)))&gt;Lists!K$22)+1)))),N($C36)*IF($AE36-$AD36&lt;1,($AD36&gt;Lists!K$22)*($AD36&lt;=Lists!K$21),MAX(0,MIN(Lists!K$21,$AE36)-MAX(Lists!K$22,$AD36))/($AE36-$AD36))+N($D36)*IF($AG36-$AF36&lt;1,($AF36&gt;Lists!K$22)*($AF36&lt;=Lists!K$21),MAX(0,MIN(Lists!K$21,$AG36)-MAX(Lists!K$22,$AF36))/($AG36-$AF36))+N($E36)*IF($AI36-$AH36&lt;1,($AH36&gt;Lists!K$22)*($AH36&lt;=Lists!K$21),MAX(0,MIN(Lists!K$21,$AI36)-MAX(Lists!K$22,$AH36))/($AI36-$AH36))+N($F36)*IF($AK36-$AJ36&lt;1,($AJ36&gt;Lists!K$22)*($AJ36&lt;=Lists!K$21),MAX(0,MIN(Lists!K$21,$AK36)-MAX(Lists!K$22,$AJ36))/($AK36-$AJ36))+N($G36)*IF($AM36-$AL36&lt;1,($AL36&gt;Lists!K$22)*($AL36&lt;=Lists!K$21),MAX(0,MIN(Lists!K$21,$AM36)-MAX(Lists!K$22,$AL36))/($AM36-$AL36))))))))</f>
        <v>0</v>
      </c>
      <c r="V36" s="53" t="n">
        <f aca="false">IF($H36=0,0,IF($AP36="X",0,IF($AP36="S",$H36/$AO36*(MIN($AO36,MAX(0,INT((Lists!L$21-N($J36))/7)+1))-MIN($AO36,MAX(0,INT((Lists!L$22-N($J36))/7)+1))),IF($AP36="D",$H36*MAX(0,MIN(Lists!L$21,N($J36)+$AO36)-MAX(Lists!L$22,N($J36)))/$AO36,IF($AP36="M",$H36/$AO36*(IF(Lists!L$21&lt;$J36,0,MIN($AO36,(((YEAR(Lists!L$21)-YEAR($J36))*12+MONTH(Lists!L$21)-MONTH($J36))-(EDATE($J36,((YEAR(Lists!L$21)-YEAR($J36))*12+MONTH(Lists!L$21)-MONTH($J36)))&gt;Lists!L$21)+1)))-IF(Lists!L$22&lt;$J36,0,MIN($AO36,(((YEAR(Lists!L$22)-YEAR($J36))*12+MONTH(Lists!L$22)-MONTH($J36))-(EDATE($J36,((YEAR(Lists!L$22)-YEAR($J36))*12+MONTH(Lists!L$22)-MONTH($J36)))&gt;Lists!L$22)+1)))),IF($AP36="F",IF(N($K36)&lt;=0,0,MIN(MAX(0,$H36),N($K36)*IF(Lists!L$21&lt;$J36,0,(((YEAR(Lists!L$21)-YEAR($J36))*12+MONTH(Lists!L$21)-MONTH($J36))-(EDATE($J36,((YEAR(Lists!L$21)-YEAR($J36))*12+MONTH(Lists!L$21)-MONTH($J36)))&gt;Lists!L$21)+1)))-MIN(MAX(0,$H36),N($K36)*IF(Lists!L$22&lt;$J36,0,(((YEAR(Lists!L$22)-YEAR($J36))*12+MONTH(Lists!L$22)-MONTH($J36))-(EDATE($J36,((YEAR(Lists!L$22)-YEAR($J36))*12+MONTH(Lists!L$22)-MONTH($J36)))&gt;Lists!L$22)+1)))),N($C36)*IF($AE36-$AD36&lt;1,($AD36&gt;Lists!L$22)*($AD36&lt;=Lists!L$21),MAX(0,MIN(Lists!L$21,$AE36)-MAX(Lists!L$22,$AD36))/($AE36-$AD36))+N($D36)*IF($AG36-$AF36&lt;1,($AF36&gt;Lists!L$22)*($AF36&lt;=Lists!L$21),MAX(0,MIN(Lists!L$21,$AG36)-MAX(Lists!L$22,$AF36))/($AG36-$AF36))+N($E36)*IF($AI36-$AH36&lt;1,($AH36&gt;Lists!L$22)*($AH36&lt;=Lists!L$21),MAX(0,MIN(Lists!L$21,$AI36)-MAX(Lists!L$22,$AH36))/($AI36-$AH36))+N($F36)*IF($AK36-$AJ36&lt;1,($AJ36&gt;Lists!L$22)*($AJ36&lt;=Lists!L$21),MAX(0,MIN(Lists!L$21,$AK36)-MAX(Lists!L$22,$AJ36))/($AK36-$AJ36))+N($G36)*IF($AM36-$AL36&lt;1,($AL36&gt;Lists!L$22)*($AL36&lt;=Lists!L$21),MAX(0,MIN(Lists!L$21,$AM36)-MAX(Lists!L$22,$AL36))/($AM36-$AL36))))))))</f>
        <v>0</v>
      </c>
      <c r="W36" s="53" t="n">
        <f aca="false">IF($H36=0,0,IF($AP36="X",0,IF($AP36="S",$H36/$AO36*(MIN($AO36,MAX(0,INT((Lists!M$21-N($J36))/7)+1))-MIN($AO36,MAX(0,INT((Lists!M$22-N($J36))/7)+1))),IF($AP36="D",$H36*MAX(0,MIN(Lists!M$21,N($J36)+$AO36)-MAX(Lists!M$22,N($J36)))/$AO36,IF($AP36="M",$H36/$AO36*(IF(Lists!M$21&lt;$J36,0,MIN($AO36,(((YEAR(Lists!M$21)-YEAR($J36))*12+MONTH(Lists!M$21)-MONTH($J36))-(EDATE($J36,((YEAR(Lists!M$21)-YEAR($J36))*12+MONTH(Lists!M$21)-MONTH($J36)))&gt;Lists!M$21)+1)))-IF(Lists!M$22&lt;$J36,0,MIN($AO36,(((YEAR(Lists!M$22)-YEAR($J36))*12+MONTH(Lists!M$22)-MONTH($J36))-(EDATE($J36,((YEAR(Lists!M$22)-YEAR($J36))*12+MONTH(Lists!M$22)-MONTH($J36)))&gt;Lists!M$22)+1)))),IF($AP36="F",IF(N($K36)&lt;=0,0,MIN(MAX(0,$H36),N($K36)*IF(Lists!M$21&lt;$J36,0,(((YEAR(Lists!M$21)-YEAR($J36))*12+MONTH(Lists!M$21)-MONTH($J36))-(EDATE($J36,((YEAR(Lists!M$21)-YEAR($J36))*12+MONTH(Lists!M$21)-MONTH($J36)))&gt;Lists!M$21)+1)))-MIN(MAX(0,$H36),N($K36)*IF(Lists!M$22&lt;$J36,0,(((YEAR(Lists!M$22)-YEAR($J36))*12+MONTH(Lists!M$22)-MONTH($J36))-(EDATE($J36,((YEAR(Lists!M$22)-YEAR($J36))*12+MONTH(Lists!M$22)-MONTH($J36)))&gt;Lists!M$22)+1)))),N($C36)*IF($AE36-$AD36&lt;1,($AD36&gt;Lists!M$22)*($AD36&lt;=Lists!M$21),MAX(0,MIN(Lists!M$21,$AE36)-MAX(Lists!M$22,$AD36))/($AE36-$AD36))+N($D36)*IF($AG36-$AF36&lt;1,($AF36&gt;Lists!M$22)*($AF36&lt;=Lists!M$21),MAX(0,MIN(Lists!M$21,$AG36)-MAX(Lists!M$22,$AF36))/($AG36-$AF36))+N($E36)*IF($AI36-$AH36&lt;1,($AH36&gt;Lists!M$22)*($AH36&lt;=Lists!M$21),MAX(0,MIN(Lists!M$21,$AI36)-MAX(Lists!M$22,$AH36))/($AI36-$AH36))+N($F36)*IF($AK36-$AJ36&lt;1,($AJ36&gt;Lists!M$22)*($AJ36&lt;=Lists!M$21),MAX(0,MIN(Lists!M$21,$AK36)-MAX(Lists!M$22,$AJ36))/($AK36-$AJ36))+N($G36)*IF($AM36-$AL36&lt;1,($AL36&gt;Lists!M$22)*($AL36&lt;=Lists!M$21),MAX(0,MIN(Lists!M$21,$AM36)-MAX(Lists!M$22,$AL36))/($AM36-$AL36))))))))</f>
        <v>0</v>
      </c>
      <c r="X36" s="53" t="n">
        <f aca="false">IF($H36=0,0,IF($AP36="X",0,IF($AP36="S",$H36/$AO36*(MIN($AO36,MAX(0,INT((Lists!N$21-N($J36))/7)+1))-MIN($AO36,MAX(0,INT((Lists!N$22-N($J36))/7)+1))),IF($AP36="D",$H36*MAX(0,MIN(Lists!N$21,N($J36)+$AO36)-MAX(Lists!N$22,N($J36)))/$AO36,IF($AP36="M",$H36/$AO36*(IF(Lists!N$21&lt;$J36,0,MIN($AO36,(((YEAR(Lists!N$21)-YEAR($J36))*12+MONTH(Lists!N$21)-MONTH($J36))-(EDATE($J36,((YEAR(Lists!N$21)-YEAR($J36))*12+MONTH(Lists!N$21)-MONTH($J36)))&gt;Lists!N$21)+1)))-IF(Lists!N$22&lt;$J36,0,MIN($AO36,(((YEAR(Lists!N$22)-YEAR($J36))*12+MONTH(Lists!N$22)-MONTH($J36))-(EDATE($J36,((YEAR(Lists!N$22)-YEAR($J36))*12+MONTH(Lists!N$22)-MONTH($J36)))&gt;Lists!N$22)+1)))),IF($AP36="F",IF(N($K36)&lt;=0,0,MIN(MAX(0,$H36),N($K36)*IF(Lists!N$21&lt;$J36,0,(((YEAR(Lists!N$21)-YEAR($J36))*12+MONTH(Lists!N$21)-MONTH($J36))-(EDATE($J36,((YEAR(Lists!N$21)-YEAR($J36))*12+MONTH(Lists!N$21)-MONTH($J36)))&gt;Lists!N$21)+1)))-MIN(MAX(0,$H36),N($K36)*IF(Lists!N$22&lt;$J36,0,(((YEAR(Lists!N$22)-YEAR($J36))*12+MONTH(Lists!N$22)-MONTH($J36))-(EDATE($J36,((YEAR(Lists!N$22)-YEAR($J36))*12+MONTH(Lists!N$22)-MONTH($J36)))&gt;Lists!N$22)+1)))),N($C36)*IF($AE36-$AD36&lt;1,($AD36&gt;Lists!N$22)*($AD36&lt;=Lists!N$21),MAX(0,MIN(Lists!N$21,$AE36)-MAX(Lists!N$22,$AD36))/($AE36-$AD36))+N($D36)*IF($AG36-$AF36&lt;1,($AF36&gt;Lists!N$22)*($AF36&lt;=Lists!N$21),MAX(0,MIN(Lists!N$21,$AG36)-MAX(Lists!N$22,$AF36))/($AG36-$AF36))+N($E36)*IF($AI36-$AH36&lt;1,($AH36&gt;Lists!N$22)*($AH36&lt;=Lists!N$21),MAX(0,MIN(Lists!N$21,$AI36)-MAX(Lists!N$22,$AH36))/($AI36-$AH36))+N($F36)*IF($AK36-$AJ36&lt;1,($AJ36&gt;Lists!N$22)*($AJ36&lt;=Lists!N$21),MAX(0,MIN(Lists!N$21,$AK36)-MAX(Lists!N$22,$AJ36))/($AK36-$AJ36))+N($G36)*IF($AM36-$AL36&lt;1,($AL36&gt;Lists!N$22)*($AL36&lt;=Lists!N$21),MAX(0,MIN(Lists!N$21,$AM36)-MAX(Lists!N$22,$AL36))/($AM36-$AL36))))))))</f>
        <v>0</v>
      </c>
      <c r="Y36" s="53" t="n">
        <f aca="false">IF($H36=0,0,IF($AP36="X",0,IF($AP36="S",$H36/$AO36*(MIN($AO36,MAX(0,INT((Lists!O$21-N($J36))/7)+1))-MIN($AO36,MAX(0,INT((Lists!O$22-N($J36))/7)+1))),IF($AP36="D",$H36*MAX(0,MIN(Lists!O$21,N($J36)+$AO36)-MAX(Lists!O$22,N($J36)))/$AO36,IF($AP36="M",$H36/$AO36*(IF(Lists!O$21&lt;$J36,0,MIN($AO36,(((YEAR(Lists!O$21)-YEAR($J36))*12+MONTH(Lists!O$21)-MONTH($J36))-(EDATE($J36,((YEAR(Lists!O$21)-YEAR($J36))*12+MONTH(Lists!O$21)-MONTH($J36)))&gt;Lists!O$21)+1)))-IF(Lists!O$22&lt;$J36,0,MIN($AO36,(((YEAR(Lists!O$22)-YEAR($J36))*12+MONTH(Lists!O$22)-MONTH($J36))-(EDATE($J36,((YEAR(Lists!O$22)-YEAR($J36))*12+MONTH(Lists!O$22)-MONTH($J36)))&gt;Lists!O$22)+1)))),IF($AP36="F",IF(N($K36)&lt;=0,0,MIN(MAX(0,$H36),N($K36)*IF(Lists!O$21&lt;$J36,0,(((YEAR(Lists!O$21)-YEAR($J36))*12+MONTH(Lists!O$21)-MONTH($J36))-(EDATE($J36,((YEAR(Lists!O$21)-YEAR($J36))*12+MONTH(Lists!O$21)-MONTH($J36)))&gt;Lists!O$21)+1)))-MIN(MAX(0,$H36),N($K36)*IF(Lists!O$22&lt;$J36,0,(((YEAR(Lists!O$22)-YEAR($J36))*12+MONTH(Lists!O$22)-MONTH($J36))-(EDATE($J36,((YEAR(Lists!O$22)-YEAR($J36))*12+MONTH(Lists!O$22)-MONTH($J36)))&gt;Lists!O$22)+1)))),N($C36)*IF($AE36-$AD36&lt;1,($AD36&gt;Lists!O$22)*($AD36&lt;=Lists!O$21),MAX(0,MIN(Lists!O$21,$AE36)-MAX(Lists!O$22,$AD36))/($AE36-$AD36))+N($D36)*IF($AG36-$AF36&lt;1,($AF36&gt;Lists!O$22)*($AF36&lt;=Lists!O$21),MAX(0,MIN(Lists!O$21,$AG36)-MAX(Lists!O$22,$AF36))/($AG36-$AF36))+N($E36)*IF($AI36-$AH36&lt;1,($AH36&gt;Lists!O$22)*($AH36&lt;=Lists!O$21),MAX(0,MIN(Lists!O$21,$AI36)-MAX(Lists!O$22,$AH36))/($AI36-$AH36))+N($F36)*IF($AK36-$AJ36&lt;1,($AJ36&gt;Lists!O$22)*($AJ36&lt;=Lists!O$21),MAX(0,MIN(Lists!O$21,$AK36)-MAX(Lists!O$22,$AJ36))/($AK36-$AJ36))+N($G36)*IF($AM36-$AL36&lt;1,($AL36&gt;Lists!O$22)*($AL36&lt;=Lists!O$21),MAX(0,MIN(Lists!O$21,$AM36)-MAX(Lists!O$22,$AL36))/($AM36-$AL36))))))))</f>
        <v>0</v>
      </c>
      <c r="Z36" s="46" t="n">
        <f aca="false">SUM(M36:Y36)</f>
        <v>0</v>
      </c>
      <c r="AA36" s="92" t="n">
        <f aca="false">H36-Z36</f>
        <v>0</v>
      </c>
      <c r="AB36" s="55"/>
      <c r="AC36" s="2"/>
      <c r="AD36" s="93" t="n">
        <f aca="false">Setup!$D$10+MAX(0,$AN36-30)</f>
        <v>46365</v>
      </c>
      <c r="AE36" s="93" t="n">
        <f aca="false">Setup!$D$10+IF($AN36-30&lt;0,MAX(Setup!$D$22,$AN36-0),$AN36-0)</f>
        <v>46395</v>
      </c>
      <c r="AF36" s="93" t="n">
        <f aca="false">Setup!$D$10+MAX(0,$AN36-60)</f>
        <v>46335</v>
      </c>
      <c r="AG36" s="93" t="n">
        <f aca="false">Setup!$D$10+IF($AN36-60&lt;0,MAX(Setup!$D$22,$AN36-31),$AN36-31)</f>
        <v>46364</v>
      </c>
      <c r="AH36" s="93" t="n">
        <f aca="false">Setup!$D$10+MAX(0,$AN36-90)</f>
        <v>46335</v>
      </c>
      <c r="AI36" s="93" t="n">
        <f aca="false">Setup!$D$10+IF($AN36-90&lt;0,MAX(Setup!$D$22,$AN36-61),$AN36-61)</f>
        <v>46363</v>
      </c>
      <c r="AJ36" s="93" t="n">
        <f aca="false">Setup!$D$10+MAX(0,$AN36-120)</f>
        <v>46335</v>
      </c>
      <c r="AK36" s="93" t="n">
        <f aca="false">Setup!$D$10+IF($AN36-120&lt;0,MAX(Setup!$D$22,$AN36-91),$AN36-91)</f>
        <v>46363</v>
      </c>
      <c r="AL36" s="93" t="n">
        <f aca="false">IF(Setup!$D$23="Yes",2958465,Setup!$D$10)</f>
        <v>2958465</v>
      </c>
      <c r="AM36" s="93" t="n">
        <f aca="false">IF(AL36=2958465,AL36,Setup!$D$10+Setup!$D$22)</f>
        <v>2958465</v>
      </c>
      <c r="AN36" s="94" t="n">
        <f aca="false">IF(N(L36)=0,Setup!$D$20,L36)</f>
        <v>60</v>
      </c>
      <c r="AO36" s="94" t="n">
        <f aca="false">MAX(1,ROUND(N(K36),0))</f>
        <v>1</v>
      </c>
      <c r="AP36" s="95" t="str">
        <f aca="false">IF(I36="Doubtful","X",IF(N(J36)=0,"A",IF(I36="Specific date","S",IF(I36="Spread over days","D",IF(I36="Monthly on set day","M",IF(I36="Monthly fixed amount","F","A"))))))</f>
        <v>A</v>
      </c>
    </row>
    <row r="37" customFormat="false" ht="15" hidden="false" customHeight="false" outlineLevel="0" collapsed="false">
      <c r="A37" s="87" t="n">
        <v>29</v>
      </c>
      <c r="B37" s="55"/>
      <c r="C37" s="88"/>
      <c r="D37" s="88"/>
      <c r="E37" s="88"/>
      <c r="F37" s="88"/>
      <c r="G37" s="88"/>
      <c r="H37" s="89" t="n">
        <f aca="false">SUM(C37:G37)</f>
        <v>0</v>
      </c>
      <c r="I37" s="58"/>
      <c r="J37" s="90"/>
      <c r="K37" s="91"/>
      <c r="L37" s="80"/>
      <c r="M37" s="53" t="n">
        <f aca="false">IF($H37=0,0,IF($AP37="X",0,IF($AP37="S",$H37/$AO37*(MIN($AO37,MAX(0,INT((Lists!C$21-N($J37))/7)+1))-MIN($AO37,MAX(0,INT((Lists!C$22-N($J37))/7)+1))),IF($AP37="D",$H37*MAX(0,MIN(Lists!C$21,N($J37)+$AO37)-MAX(Lists!C$22,N($J37)))/$AO37,IF($AP37="M",$H37/$AO37*(IF(Lists!C$21&lt;$J37,0,MIN($AO37,(((YEAR(Lists!C$21)-YEAR($J37))*12+MONTH(Lists!C$21)-MONTH($J37))-(EDATE($J37,((YEAR(Lists!C$21)-YEAR($J37))*12+MONTH(Lists!C$21)-MONTH($J37)))&gt;Lists!C$21)+1)))-IF(Lists!C$22&lt;$J37,0,MIN($AO37,(((YEAR(Lists!C$22)-YEAR($J37))*12+MONTH(Lists!C$22)-MONTH($J37))-(EDATE($J37,((YEAR(Lists!C$22)-YEAR($J37))*12+MONTH(Lists!C$22)-MONTH($J37)))&gt;Lists!C$22)+1)))),IF($AP37="F",IF(N($K37)&lt;=0,0,MIN(MAX(0,$H37),N($K37)*IF(Lists!C$21&lt;$J37,0,(((YEAR(Lists!C$21)-YEAR($J37))*12+MONTH(Lists!C$21)-MONTH($J37))-(EDATE($J37,((YEAR(Lists!C$21)-YEAR($J37))*12+MONTH(Lists!C$21)-MONTH($J37)))&gt;Lists!C$21)+1)))-MIN(MAX(0,$H37),N($K37)*IF(Lists!C$22&lt;$J37,0,(((YEAR(Lists!C$22)-YEAR($J37))*12+MONTH(Lists!C$22)-MONTH($J37))-(EDATE($J37,((YEAR(Lists!C$22)-YEAR($J37))*12+MONTH(Lists!C$22)-MONTH($J37)))&gt;Lists!C$22)+1)))),N($C37)*IF($AE37-$AD37&lt;1,($AD37&gt;Lists!C$22)*($AD37&lt;=Lists!C$21),MAX(0,MIN(Lists!C$21,$AE37)-MAX(Lists!C$22,$AD37))/($AE37-$AD37))+N($D37)*IF($AG37-$AF37&lt;1,($AF37&gt;Lists!C$22)*($AF37&lt;=Lists!C$21),MAX(0,MIN(Lists!C$21,$AG37)-MAX(Lists!C$22,$AF37))/($AG37-$AF37))+N($E37)*IF($AI37-$AH37&lt;1,($AH37&gt;Lists!C$22)*($AH37&lt;=Lists!C$21),MAX(0,MIN(Lists!C$21,$AI37)-MAX(Lists!C$22,$AH37))/($AI37-$AH37))+N($F37)*IF($AK37-$AJ37&lt;1,($AJ37&gt;Lists!C$22)*($AJ37&lt;=Lists!C$21),MAX(0,MIN(Lists!C$21,$AK37)-MAX(Lists!C$22,$AJ37))/($AK37-$AJ37))+N($G37)*IF($AM37-$AL37&lt;1,($AL37&gt;Lists!C$22)*($AL37&lt;=Lists!C$21),MAX(0,MIN(Lists!C$21,$AM37)-MAX(Lists!C$22,$AL37))/($AM37-$AL37))))))))</f>
        <v>0</v>
      </c>
      <c r="N37" s="53" t="n">
        <f aca="false">IF($H37=0,0,IF($AP37="X",0,IF($AP37="S",$H37/$AO37*(MIN($AO37,MAX(0,INT((Lists!D$21-N($J37))/7)+1))-MIN($AO37,MAX(0,INT((Lists!D$22-N($J37))/7)+1))),IF($AP37="D",$H37*MAX(0,MIN(Lists!D$21,N($J37)+$AO37)-MAX(Lists!D$22,N($J37)))/$AO37,IF($AP37="M",$H37/$AO37*(IF(Lists!D$21&lt;$J37,0,MIN($AO37,(((YEAR(Lists!D$21)-YEAR($J37))*12+MONTH(Lists!D$21)-MONTH($J37))-(EDATE($J37,((YEAR(Lists!D$21)-YEAR($J37))*12+MONTH(Lists!D$21)-MONTH($J37)))&gt;Lists!D$21)+1)))-IF(Lists!D$22&lt;$J37,0,MIN($AO37,(((YEAR(Lists!D$22)-YEAR($J37))*12+MONTH(Lists!D$22)-MONTH($J37))-(EDATE($J37,((YEAR(Lists!D$22)-YEAR($J37))*12+MONTH(Lists!D$22)-MONTH($J37)))&gt;Lists!D$22)+1)))),IF($AP37="F",IF(N($K37)&lt;=0,0,MIN(MAX(0,$H37),N($K37)*IF(Lists!D$21&lt;$J37,0,(((YEAR(Lists!D$21)-YEAR($J37))*12+MONTH(Lists!D$21)-MONTH($J37))-(EDATE($J37,((YEAR(Lists!D$21)-YEAR($J37))*12+MONTH(Lists!D$21)-MONTH($J37)))&gt;Lists!D$21)+1)))-MIN(MAX(0,$H37),N($K37)*IF(Lists!D$22&lt;$J37,0,(((YEAR(Lists!D$22)-YEAR($J37))*12+MONTH(Lists!D$22)-MONTH($J37))-(EDATE($J37,((YEAR(Lists!D$22)-YEAR($J37))*12+MONTH(Lists!D$22)-MONTH($J37)))&gt;Lists!D$22)+1)))),N($C37)*IF($AE37-$AD37&lt;1,($AD37&gt;Lists!D$22)*($AD37&lt;=Lists!D$21),MAX(0,MIN(Lists!D$21,$AE37)-MAX(Lists!D$22,$AD37))/($AE37-$AD37))+N($D37)*IF($AG37-$AF37&lt;1,($AF37&gt;Lists!D$22)*($AF37&lt;=Lists!D$21),MAX(0,MIN(Lists!D$21,$AG37)-MAX(Lists!D$22,$AF37))/($AG37-$AF37))+N($E37)*IF($AI37-$AH37&lt;1,($AH37&gt;Lists!D$22)*($AH37&lt;=Lists!D$21),MAX(0,MIN(Lists!D$21,$AI37)-MAX(Lists!D$22,$AH37))/($AI37-$AH37))+N($F37)*IF($AK37-$AJ37&lt;1,($AJ37&gt;Lists!D$22)*($AJ37&lt;=Lists!D$21),MAX(0,MIN(Lists!D$21,$AK37)-MAX(Lists!D$22,$AJ37))/($AK37-$AJ37))+N($G37)*IF($AM37-$AL37&lt;1,($AL37&gt;Lists!D$22)*($AL37&lt;=Lists!D$21),MAX(0,MIN(Lists!D$21,$AM37)-MAX(Lists!D$22,$AL37))/($AM37-$AL37))))))))</f>
        <v>0</v>
      </c>
      <c r="O37" s="53" t="n">
        <f aca="false">IF($H37=0,0,IF($AP37="X",0,IF($AP37="S",$H37/$AO37*(MIN($AO37,MAX(0,INT((Lists!E$21-N($J37))/7)+1))-MIN($AO37,MAX(0,INT((Lists!E$22-N($J37))/7)+1))),IF($AP37="D",$H37*MAX(0,MIN(Lists!E$21,N($J37)+$AO37)-MAX(Lists!E$22,N($J37)))/$AO37,IF($AP37="M",$H37/$AO37*(IF(Lists!E$21&lt;$J37,0,MIN($AO37,(((YEAR(Lists!E$21)-YEAR($J37))*12+MONTH(Lists!E$21)-MONTH($J37))-(EDATE($J37,((YEAR(Lists!E$21)-YEAR($J37))*12+MONTH(Lists!E$21)-MONTH($J37)))&gt;Lists!E$21)+1)))-IF(Lists!E$22&lt;$J37,0,MIN($AO37,(((YEAR(Lists!E$22)-YEAR($J37))*12+MONTH(Lists!E$22)-MONTH($J37))-(EDATE($J37,((YEAR(Lists!E$22)-YEAR($J37))*12+MONTH(Lists!E$22)-MONTH($J37)))&gt;Lists!E$22)+1)))),IF($AP37="F",IF(N($K37)&lt;=0,0,MIN(MAX(0,$H37),N($K37)*IF(Lists!E$21&lt;$J37,0,(((YEAR(Lists!E$21)-YEAR($J37))*12+MONTH(Lists!E$21)-MONTH($J37))-(EDATE($J37,((YEAR(Lists!E$21)-YEAR($J37))*12+MONTH(Lists!E$21)-MONTH($J37)))&gt;Lists!E$21)+1)))-MIN(MAX(0,$H37),N($K37)*IF(Lists!E$22&lt;$J37,0,(((YEAR(Lists!E$22)-YEAR($J37))*12+MONTH(Lists!E$22)-MONTH($J37))-(EDATE($J37,((YEAR(Lists!E$22)-YEAR($J37))*12+MONTH(Lists!E$22)-MONTH($J37)))&gt;Lists!E$22)+1)))),N($C37)*IF($AE37-$AD37&lt;1,($AD37&gt;Lists!E$22)*($AD37&lt;=Lists!E$21),MAX(0,MIN(Lists!E$21,$AE37)-MAX(Lists!E$22,$AD37))/($AE37-$AD37))+N($D37)*IF($AG37-$AF37&lt;1,($AF37&gt;Lists!E$22)*($AF37&lt;=Lists!E$21),MAX(0,MIN(Lists!E$21,$AG37)-MAX(Lists!E$22,$AF37))/($AG37-$AF37))+N($E37)*IF($AI37-$AH37&lt;1,($AH37&gt;Lists!E$22)*($AH37&lt;=Lists!E$21),MAX(0,MIN(Lists!E$21,$AI37)-MAX(Lists!E$22,$AH37))/($AI37-$AH37))+N($F37)*IF($AK37-$AJ37&lt;1,($AJ37&gt;Lists!E$22)*($AJ37&lt;=Lists!E$21),MAX(0,MIN(Lists!E$21,$AK37)-MAX(Lists!E$22,$AJ37))/($AK37-$AJ37))+N($G37)*IF($AM37-$AL37&lt;1,($AL37&gt;Lists!E$22)*($AL37&lt;=Lists!E$21),MAX(0,MIN(Lists!E$21,$AM37)-MAX(Lists!E$22,$AL37))/($AM37-$AL37))))))))</f>
        <v>0</v>
      </c>
      <c r="P37" s="53" t="n">
        <f aca="false">IF($H37=0,0,IF($AP37="X",0,IF($AP37="S",$H37/$AO37*(MIN($AO37,MAX(0,INT((Lists!F$21-N($J37))/7)+1))-MIN($AO37,MAX(0,INT((Lists!F$22-N($J37))/7)+1))),IF($AP37="D",$H37*MAX(0,MIN(Lists!F$21,N($J37)+$AO37)-MAX(Lists!F$22,N($J37)))/$AO37,IF($AP37="M",$H37/$AO37*(IF(Lists!F$21&lt;$J37,0,MIN($AO37,(((YEAR(Lists!F$21)-YEAR($J37))*12+MONTH(Lists!F$21)-MONTH($J37))-(EDATE($J37,((YEAR(Lists!F$21)-YEAR($J37))*12+MONTH(Lists!F$21)-MONTH($J37)))&gt;Lists!F$21)+1)))-IF(Lists!F$22&lt;$J37,0,MIN($AO37,(((YEAR(Lists!F$22)-YEAR($J37))*12+MONTH(Lists!F$22)-MONTH($J37))-(EDATE($J37,((YEAR(Lists!F$22)-YEAR($J37))*12+MONTH(Lists!F$22)-MONTH($J37)))&gt;Lists!F$22)+1)))),IF($AP37="F",IF(N($K37)&lt;=0,0,MIN(MAX(0,$H37),N($K37)*IF(Lists!F$21&lt;$J37,0,(((YEAR(Lists!F$21)-YEAR($J37))*12+MONTH(Lists!F$21)-MONTH($J37))-(EDATE($J37,((YEAR(Lists!F$21)-YEAR($J37))*12+MONTH(Lists!F$21)-MONTH($J37)))&gt;Lists!F$21)+1)))-MIN(MAX(0,$H37),N($K37)*IF(Lists!F$22&lt;$J37,0,(((YEAR(Lists!F$22)-YEAR($J37))*12+MONTH(Lists!F$22)-MONTH($J37))-(EDATE($J37,((YEAR(Lists!F$22)-YEAR($J37))*12+MONTH(Lists!F$22)-MONTH($J37)))&gt;Lists!F$22)+1)))),N($C37)*IF($AE37-$AD37&lt;1,($AD37&gt;Lists!F$22)*($AD37&lt;=Lists!F$21),MAX(0,MIN(Lists!F$21,$AE37)-MAX(Lists!F$22,$AD37))/($AE37-$AD37))+N($D37)*IF($AG37-$AF37&lt;1,($AF37&gt;Lists!F$22)*($AF37&lt;=Lists!F$21),MAX(0,MIN(Lists!F$21,$AG37)-MAX(Lists!F$22,$AF37))/($AG37-$AF37))+N($E37)*IF($AI37-$AH37&lt;1,($AH37&gt;Lists!F$22)*($AH37&lt;=Lists!F$21),MAX(0,MIN(Lists!F$21,$AI37)-MAX(Lists!F$22,$AH37))/($AI37-$AH37))+N($F37)*IF($AK37-$AJ37&lt;1,($AJ37&gt;Lists!F$22)*($AJ37&lt;=Lists!F$21),MAX(0,MIN(Lists!F$21,$AK37)-MAX(Lists!F$22,$AJ37))/($AK37-$AJ37))+N($G37)*IF($AM37-$AL37&lt;1,($AL37&gt;Lists!F$22)*($AL37&lt;=Lists!F$21),MAX(0,MIN(Lists!F$21,$AM37)-MAX(Lists!F$22,$AL37))/($AM37-$AL37))))))))</f>
        <v>0</v>
      </c>
      <c r="Q37" s="53" t="n">
        <f aca="false">IF($H37=0,0,IF($AP37="X",0,IF($AP37="S",$H37/$AO37*(MIN($AO37,MAX(0,INT((Lists!G$21-N($J37))/7)+1))-MIN($AO37,MAX(0,INT((Lists!G$22-N($J37))/7)+1))),IF($AP37="D",$H37*MAX(0,MIN(Lists!G$21,N($J37)+$AO37)-MAX(Lists!G$22,N($J37)))/$AO37,IF($AP37="M",$H37/$AO37*(IF(Lists!G$21&lt;$J37,0,MIN($AO37,(((YEAR(Lists!G$21)-YEAR($J37))*12+MONTH(Lists!G$21)-MONTH($J37))-(EDATE($J37,((YEAR(Lists!G$21)-YEAR($J37))*12+MONTH(Lists!G$21)-MONTH($J37)))&gt;Lists!G$21)+1)))-IF(Lists!G$22&lt;$J37,0,MIN($AO37,(((YEAR(Lists!G$22)-YEAR($J37))*12+MONTH(Lists!G$22)-MONTH($J37))-(EDATE($J37,((YEAR(Lists!G$22)-YEAR($J37))*12+MONTH(Lists!G$22)-MONTH($J37)))&gt;Lists!G$22)+1)))),IF($AP37="F",IF(N($K37)&lt;=0,0,MIN(MAX(0,$H37),N($K37)*IF(Lists!G$21&lt;$J37,0,(((YEAR(Lists!G$21)-YEAR($J37))*12+MONTH(Lists!G$21)-MONTH($J37))-(EDATE($J37,((YEAR(Lists!G$21)-YEAR($J37))*12+MONTH(Lists!G$21)-MONTH($J37)))&gt;Lists!G$21)+1)))-MIN(MAX(0,$H37),N($K37)*IF(Lists!G$22&lt;$J37,0,(((YEAR(Lists!G$22)-YEAR($J37))*12+MONTH(Lists!G$22)-MONTH($J37))-(EDATE($J37,((YEAR(Lists!G$22)-YEAR($J37))*12+MONTH(Lists!G$22)-MONTH($J37)))&gt;Lists!G$22)+1)))),N($C37)*IF($AE37-$AD37&lt;1,($AD37&gt;Lists!G$22)*($AD37&lt;=Lists!G$21),MAX(0,MIN(Lists!G$21,$AE37)-MAX(Lists!G$22,$AD37))/($AE37-$AD37))+N($D37)*IF($AG37-$AF37&lt;1,($AF37&gt;Lists!G$22)*($AF37&lt;=Lists!G$21),MAX(0,MIN(Lists!G$21,$AG37)-MAX(Lists!G$22,$AF37))/($AG37-$AF37))+N($E37)*IF($AI37-$AH37&lt;1,($AH37&gt;Lists!G$22)*($AH37&lt;=Lists!G$21),MAX(0,MIN(Lists!G$21,$AI37)-MAX(Lists!G$22,$AH37))/($AI37-$AH37))+N($F37)*IF($AK37-$AJ37&lt;1,($AJ37&gt;Lists!G$22)*($AJ37&lt;=Lists!G$21),MAX(0,MIN(Lists!G$21,$AK37)-MAX(Lists!G$22,$AJ37))/($AK37-$AJ37))+N($G37)*IF($AM37-$AL37&lt;1,($AL37&gt;Lists!G$22)*($AL37&lt;=Lists!G$21),MAX(0,MIN(Lists!G$21,$AM37)-MAX(Lists!G$22,$AL37))/($AM37-$AL37))))))))</f>
        <v>0</v>
      </c>
      <c r="R37" s="53" t="n">
        <f aca="false">IF($H37=0,0,IF($AP37="X",0,IF($AP37="S",$H37/$AO37*(MIN($AO37,MAX(0,INT((Lists!H$21-N($J37))/7)+1))-MIN($AO37,MAX(0,INT((Lists!H$22-N($J37))/7)+1))),IF($AP37="D",$H37*MAX(0,MIN(Lists!H$21,N($J37)+$AO37)-MAX(Lists!H$22,N($J37)))/$AO37,IF($AP37="M",$H37/$AO37*(IF(Lists!H$21&lt;$J37,0,MIN($AO37,(((YEAR(Lists!H$21)-YEAR($J37))*12+MONTH(Lists!H$21)-MONTH($J37))-(EDATE($J37,((YEAR(Lists!H$21)-YEAR($J37))*12+MONTH(Lists!H$21)-MONTH($J37)))&gt;Lists!H$21)+1)))-IF(Lists!H$22&lt;$J37,0,MIN($AO37,(((YEAR(Lists!H$22)-YEAR($J37))*12+MONTH(Lists!H$22)-MONTH($J37))-(EDATE($J37,((YEAR(Lists!H$22)-YEAR($J37))*12+MONTH(Lists!H$22)-MONTH($J37)))&gt;Lists!H$22)+1)))),IF($AP37="F",IF(N($K37)&lt;=0,0,MIN(MAX(0,$H37),N($K37)*IF(Lists!H$21&lt;$J37,0,(((YEAR(Lists!H$21)-YEAR($J37))*12+MONTH(Lists!H$21)-MONTH($J37))-(EDATE($J37,((YEAR(Lists!H$21)-YEAR($J37))*12+MONTH(Lists!H$21)-MONTH($J37)))&gt;Lists!H$21)+1)))-MIN(MAX(0,$H37),N($K37)*IF(Lists!H$22&lt;$J37,0,(((YEAR(Lists!H$22)-YEAR($J37))*12+MONTH(Lists!H$22)-MONTH($J37))-(EDATE($J37,((YEAR(Lists!H$22)-YEAR($J37))*12+MONTH(Lists!H$22)-MONTH($J37)))&gt;Lists!H$22)+1)))),N($C37)*IF($AE37-$AD37&lt;1,($AD37&gt;Lists!H$22)*($AD37&lt;=Lists!H$21),MAX(0,MIN(Lists!H$21,$AE37)-MAX(Lists!H$22,$AD37))/($AE37-$AD37))+N($D37)*IF($AG37-$AF37&lt;1,($AF37&gt;Lists!H$22)*($AF37&lt;=Lists!H$21),MAX(0,MIN(Lists!H$21,$AG37)-MAX(Lists!H$22,$AF37))/($AG37-$AF37))+N($E37)*IF($AI37-$AH37&lt;1,($AH37&gt;Lists!H$22)*($AH37&lt;=Lists!H$21),MAX(0,MIN(Lists!H$21,$AI37)-MAX(Lists!H$22,$AH37))/($AI37-$AH37))+N($F37)*IF($AK37-$AJ37&lt;1,($AJ37&gt;Lists!H$22)*($AJ37&lt;=Lists!H$21),MAX(0,MIN(Lists!H$21,$AK37)-MAX(Lists!H$22,$AJ37))/($AK37-$AJ37))+N($G37)*IF($AM37-$AL37&lt;1,($AL37&gt;Lists!H$22)*($AL37&lt;=Lists!H$21),MAX(0,MIN(Lists!H$21,$AM37)-MAX(Lists!H$22,$AL37))/($AM37-$AL37))))))))</f>
        <v>0</v>
      </c>
      <c r="S37" s="53" t="n">
        <f aca="false">IF($H37=0,0,IF($AP37="X",0,IF($AP37="S",$H37/$AO37*(MIN($AO37,MAX(0,INT((Lists!I$21-N($J37))/7)+1))-MIN($AO37,MAX(0,INT((Lists!I$22-N($J37))/7)+1))),IF($AP37="D",$H37*MAX(0,MIN(Lists!I$21,N($J37)+$AO37)-MAX(Lists!I$22,N($J37)))/$AO37,IF($AP37="M",$H37/$AO37*(IF(Lists!I$21&lt;$J37,0,MIN($AO37,(((YEAR(Lists!I$21)-YEAR($J37))*12+MONTH(Lists!I$21)-MONTH($J37))-(EDATE($J37,((YEAR(Lists!I$21)-YEAR($J37))*12+MONTH(Lists!I$21)-MONTH($J37)))&gt;Lists!I$21)+1)))-IF(Lists!I$22&lt;$J37,0,MIN($AO37,(((YEAR(Lists!I$22)-YEAR($J37))*12+MONTH(Lists!I$22)-MONTH($J37))-(EDATE($J37,((YEAR(Lists!I$22)-YEAR($J37))*12+MONTH(Lists!I$22)-MONTH($J37)))&gt;Lists!I$22)+1)))),IF($AP37="F",IF(N($K37)&lt;=0,0,MIN(MAX(0,$H37),N($K37)*IF(Lists!I$21&lt;$J37,0,(((YEAR(Lists!I$21)-YEAR($J37))*12+MONTH(Lists!I$21)-MONTH($J37))-(EDATE($J37,((YEAR(Lists!I$21)-YEAR($J37))*12+MONTH(Lists!I$21)-MONTH($J37)))&gt;Lists!I$21)+1)))-MIN(MAX(0,$H37),N($K37)*IF(Lists!I$22&lt;$J37,0,(((YEAR(Lists!I$22)-YEAR($J37))*12+MONTH(Lists!I$22)-MONTH($J37))-(EDATE($J37,((YEAR(Lists!I$22)-YEAR($J37))*12+MONTH(Lists!I$22)-MONTH($J37)))&gt;Lists!I$22)+1)))),N($C37)*IF($AE37-$AD37&lt;1,($AD37&gt;Lists!I$22)*($AD37&lt;=Lists!I$21),MAX(0,MIN(Lists!I$21,$AE37)-MAX(Lists!I$22,$AD37))/($AE37-$AD37))+N($D37)*IF($AG37-$AF37&lt;1,($AF37&gt;Lists!I$22)*($AF37&lt;=Lists!I$21),MAX(0,MIN(Lists!I$21,$AG37)-MAX(Lists!I$22,$AF37))/($AG37-$AF37))+N($E37)*IF($AI37-$AH37&lt;1,($AH37&gt;Lists!I$22)*($AH37&lt;=Lists!I$21),MAX(0,MIN(Lists!I$21,$AI37)-MAX(Lists!I$22,$AH37))/($AI37-$AH37))+N($F37)*IF($AK37-$AJ37&lt;1,($AJ37&gt;Lists!I$22)*($AJ37&lt;=Lists!I$21),MAX(0,MIN(Lists!I$21,$AK37)-MAX(Lists!I$22,$AJ37))/($AK37-$AJ37))+N($G37)*IF($AM37-$AL37&lt;1,($AL37&gt;Lists!I$22)*($AL37&lt;=Lists!I$21),MAX(0,MIN(Lists!I$21,$AM37)-MAX(Lists!I$22,$AL37))/($AM37-$AL37))))))))</f>
        <v>0</v>
      </c>
      <c r="T37" s="53" t="n">
        <f aca="false">IF($H37=0,0,IF($AP37="X",0,IF($AP37="S",$H37/$AO37*(MIN($AO37,MAX(0,INT((Lists!J$21-N($J37))/7)+1))-MIN($AO37,MAX(0,INT((Lists!J$22-N($J37))/7)+1))),IF($AP37="D",$H37*MAX(0,MIN(Lists!J$21,N($J37)+$AO37)-MAX(Lists!J$22,N($J37)))/$AO37,IF($AP37="M",$H37/$AO37*(IF(Lists!J$21&lt;$J37,0,MIN($AO37,(((YEAR(Lists!J$21)-YEAR($J37))*12+MONTH(Lists!J$21)-MONTH($J37))-(EDATE($J37,((YEAR(Lists!J$21)-YEAR($J37))*12+MONTH(Lists!J$21)-MONTH($J37)))&gt;Lists!J$21)+1)))-IF(Lists!J$22&lt;$J37,0,MIN($AO37,(((YEAR(Lists!J$22)-YEAR($J37))*12+MONTH(Lists!J$22)-MONTH($J37))-(EDATE($J37,((YEAR(Lists!J$22)-YEAR($J37))*12+MONTH(Lists!J$22)-MONTH($J37)))&gt;Lists!J$22)+1)))),IF($AP37="F",IF(N($K37)&lt;=0,0,MIN(MAX(0,$H37),N($K37)*IF(Lists!J$21&lt;$J37,0,(((YEAR(Lists!J$21)-YEAR($J37))*12+MONTH(Lists!J$21)-MONTH($J37))-(EDATE($J37,((YEAR(Lists!J$21)-YEAR($J37))*12+MONTH(Lists!J$21)-MONTH($J37)))&gt;Lists!J$21)+1)))-MIN(MAX(0,$H37),N($K37)*IF(Lists!J$22&lt;$J37,0,(((YEAR(Lists!J$22)-YEAR($J37))*12+MONTH(Lists!J$22)-MONTH($J37))-(EDATE($J37,((YEAR(Lists!J$22)-YEAR($J37))*12+MONTH(Lists!J$22)-MONTH($J37)))&gt;Lists!J$22)+1)))),N($C37)*IF($AE37-$AD37&lt;1,($AD37&gt;Lists!J$22)*($AD37&lt;=Lists!J$21),MAX(0,MIN(Lists!J$21,$AE37)-MAX(Lists!J$22,$AD37))/($AE37-$AD37))+N($D37)*IF($AG37-$AF37&lt;1,($AF37&gt;Lists!J$22)*($AF37&lt;=Lists!J$21),MAX(0,MIN(Lists!J$21,$AG37)-MAX(Lists!J$22,$AF37))/($AG37-$AF37))+N($E37)*IF($AI37-$AH37&lt;1,($AH37&gt;Lists!J$22)*($AH37&lt;=Lists!J$21),MAX(0,MIN(Lists!J$21,$AI37)-MAX(Lists!J$22,$AH37))/($AI37-$AH37))+N($F37)*IF($AK37-$AJ37&lt;1,($AJ37&gt;Lists!J$22)*($AJ37&lt;=Lists!J$21),MAX(0,MIN(Lists!J$21,$AK37)-MAX(Lists!J$22,$AJ37))/($AK37-$AJ37))+N($G37)*IF($AM37-$AL37&lt;1,($AL37&gt;Lists!J$22)*($AL37&lt;=Lists!J$21),MAX(0,MIN(Lists!J$21,$AM37)-MAX(Lists!J$22,$AL37))/($AM37-$AL37))))))))</f>
        <v>0</v>
      </c>
      <c r="U37" s="53" t="n">
        <f aca="false">IF($H37=0,0,IF($AP37="X",0,IF($AP37="S",$H37/$AO37*(MIN($AO37,MAX(0,INT((Lists!K$21-N($J37))/7)+1))-MIN($AO37,MAX(0,INT((Lists!K$22-N($J37))/7)+1))),IF($AP37="D",$H37*MAX(0,MIN(Lists!K$21,N($J37)+$AO37)-MAX(Lists!K$22,N($J37)))/$AO37,IF($AP37="M",$H37/$AO37*(IF(Lists!K$21&lt;$J37,0,MIN($AO37,(((YEAR(Lists!K$21)-YEAR($J37))*12+MONTH(Lists!K$21)-MONTH($J37))-(EDATE($J37,((YEAR(Lists!K$21)-YEAR($J37))*12+MONTH(Lists!K$21)-MONTH($J37)))&gt;Lists!K$21)+1)))-IF(Lists!K$22&lt;$J37,0,MIN($AO37,(((YEAR(Lists!K$22)-YEAR($J37))*12+MONTH(Lists!K$22)-MONTH($J37))-(EDATE($J37,((YEAR(Lists!K$22)-YEAR($J37))*12+MONTH(Lists!K$22)-MONTH($J37)))&gt;Lists!K$22)+1)))),IF($AP37="F",IF(N($K37)&lt;=0,0,MIN(MAX(0,$H37),N($K37)*IF(Lists!K$21&lt;$J37,0,(((YEAR(Lists!K$21)-YEAR($J37))*12+MONTH(Lists!K$21)-MONTH($J37))-(EDATE($J37,((YEAR(Lists!K$21)-YEAR($J37))*12+MONTH(Lists!K$21)-MONTH($J37)))&gt;Lists!K$21)+1)))-MIN(MAX(0,$H37),N($K37)*IF(Lists!K$22&lt;$J37,0,(((YEAR(Lists!K$22)-YEAR($J37))*12+MONTH(Lists!K$22)-MONTH($J37))-(EDATE($J37,((YEAR(Lists!K$22)-YEAR($J37))*12+MONTH(Lists!K$22)-MONTH($J37)))&gt;Lists!K$22)+1)))),N($C37)*IF($AE37-$AD37&lt;1,($AD37&gt;Lists!K$22)*($AD37&lt;=Lists!K$21),MAX(0,MIN(Lists!K$21,$AE37)-MAX(Lists!K$22,$AD37))/($AE37-$AD37))+N($D37)*IF($AG37-$AF37&lt;1,($AF37&gt;Lists!K$22)*($AF37&lt;=Lists!K$21),MAX(0,MIN(Lists!K$21,$AG37)-MAX(Lists!K$22,$AF37))/($AG37-$AF37))+N($E37)*IF($AI37-$AH37&lt;1,($AH37&gt;Lists!K$22)*($AH37&lt;=Lists!K$21),MAX(0,MIN(Lists!K$21,$AI37)-MAX(Lists!K$22,$AH37))/($AI37-$AH37))+N($F37)*IF($AK37-$AJ37&lt;1,($AJ37&gt;Lists!K$22)*($AJ37&lt;=Lists!K$21),MAX(0,MIN(Lists!K$21,$AK37)-MAX(Lists!K$22,$AJ37))/($AK37-$AJ37))+N($G37)*IF($AM37-$AL37&lt;1,($AL37&gt;Lists!K$22)*($AL37&lt;=Lists!K$21),MAX(0,MIN(Lists!K$21,$AM37)-MAX(Lists!K$22,$AL37))/($AM37-$AL37))))))))</f>
        <v>0</v>
      </c>
      <c r="V37" s="53" t="n">
        <f aca="false">IF($H37=0,0,IF($AP37="X",0,IF($AP37="S",$H37/$AO37*(MIN($AO37,MAX(0,INT((Lists!L$21-N($J37))/7)+1))-MIN($AO37,MAX(0,INT((Lists!L$22-N($J37))/7)+1))),IF($AP37="D",$H37*MAX(0,MIN(Lists!L$21,N($J37)+$AO37)-MAX(Lists!L$22,N($J37)))/$AO37,IF($AP37="M",$H37/$AO37*(IF(Lists!L$21&lt;$J37,0,MIN($AO37,(((YEAR(Lists!L$21)-YEAR($J37))*12+MONTH(Lists!L$21)-MONTH($J37))-(EDATE($J37,((YEAR(Lists!L$21)-YEAR($J37))*12+MONTH(Lists!L$21)-MONTH($J37)))&gt;Lists!L$21)+1)))-IF(Lists!L$22&lt;$J37,0,MIN($AO37,(((YEAR(Lists!L$22)-YEAR($J37))*12+MONTH(Lists!L$22)-MONTH($J37))-(EDATE($J37,((YEAR(Lists!L$22)-YEAR($J37))*12+MONTH(Lists!L$22)-MONTH($J37)))&gt;Lists!L$22)+1)))),IF($AP37="F",IF(N($K37)&lt;=0,0,MIN(MAX(0,$H37),N($K37)*IF(Lists!L$21&lt;$J37,0,(((YEAR(Lists!L$21)-YEAR($J37))*12+MONTH(Lists!L$21)-MONTH($J37))-(EDATE($J37,((YEAR(Lists!L$21)-YEAR($J37))*12+MONTH(Lists!L$21)-MONTH($J37)))&gt;Lists!L$21)+1)))-MIN(MAX(0,$H37),N($K37)*IF(Lists!L$22&lt;$J37,0,(((YEAR(Lists!L$22)-YEAR($J37))*12+MONTH(Lists!L$22)-MONTH($J37))-(EDATE($J37,((YEAR(Lists!L$22)-YEAR($J37))*12+MONTH(Lists!L$22)-MONTH($J37)))&gt;Lists!L$22)+1)))),N($C37)*IF($AE37-$AD37&lt;1,($AD37&gt;Lists!L$22)*($AD37&lt;=Lists!L$21),MAX(0,MIN(Lists!L$21,$AE37)-MAX(Lists!L$22,$AD37))/($AE37-$AD37))+N($D37)*IF($AG37-$AF37&lt;1,($AF37&gt;Lists!L$22)*($AF37&lt;=Lists!L$21),MAX(0,MIN(Lists!L$21,$AG37)-MAX(Lists!L$22,$AF37))/($AG37-$AF37))+N($E37)*IF($AI37-$AH37&lt;1,($AH37&gt;Lists!L$22)*($AH37&lt;=Lists!L$21),MAX(0,MIN(Lists!L$21,$AI37)-MAX(Lists!L$22,$AH37))/($AI37-$AH37))+N($F37)*IF($AK37-$AJ37&lt;1,($AJ37&gt;Lists!L$22)*($AJ37&lt;=Lists!L$21),MAX(0,MIN(Lists!L$21,$AK37)-MAX(Lists!L$22,$AJ37))/($AK37-$AJ37))+N($G37)*IF($AM37-$AL37&lt;1,($AL37&gt;Lists!L$22)*($AL37&lt;=Lists!L$21),MAX(0,MIN(Lists!L$21,$AM37)-MAX(Lists!L$22,$AL37))/($AM37-$AL37))))))))</f>
        <v>0</v>
      </c>
      <c r="W37" s="53" t="n">
        <f aca="false">IF($H37=0,0,IF($AP37="X",0,IF($AP37="S",$H37/$AO37*(MIN($AO37,MAX(0,INT((Lists!M$21-N($J37))/7)+1))-MIN($AO37,MAX(0,INT((Lists!M$22-N($J37))/7)+1))),IF($AP37="D",$H37*MAX(0,MIN(Lists!M$21,N($J37)+$AO37)-MAX(Lists!M$22,N($J37)))/$AO37,IF($AP37="M",$H37/$AO37*(IF(Lists!M$21&lt;$J37,0,MIN($AO37,(((YEAR(Lists!M$21)-YEAR($J37))*12+MONTH(Lists!M$21)-MONTH($J37))-(EDATE($J37,((YEAR(Lists!M$21)-YEAR($J37))*12+MONTH(Lists!M$21)-MONTH($J37)))&gt;Lists!M$21)+1)))-IF(Lists!M$22&lt;$J37,0,MIN($AO37,(((YEAR(Lists!M$22)-YEAR($J37))*12+MONTH(Lists!M$22)-MONTH($J37))-(EDATE($J37,((YEAR(Lists!M$22)-YEAR($J37))*12+MONTH(Lists!M$22)-MONTH($J37)))&gt;Lists!M$22)+1)))),IF($AP37="F",IF(N($K37)&lt;=0,0,MIN(MAX(0,$H37),N($K37)*IF(Lists!M$21&lt;$J37,0,(((YEAR(Lists!M$21)-YEAR($J37))*12+MONTH(Lists!M$21)-MONTH($J37))-(EDATE($J37,((YEAR(Lists!M$21)-YEAR($J37))*12+MONTH(Lists!M$21)-MONTH($J37)))&gt;Lists!M$21)+1)))-MIN(MAX(0,$H37),N($K37)*IF(Lists!M$22&lt;$J37,0,(((YEAR(Lists!M$22)-YEAR($J37))*12+MONTH(Lists!M$22)-MONTH($J37))-(EDATE($J37,((YEAR(Lists!M$22)-YEAR($J37))*12+MONTH(Lists!M$22)-MONTH($J37)))&gt;Lists!M$22)+1)))),N($C37)*IF($AE37-$AD37&lt;1,($AD37&gt;Lists!M$22)*($AD37&lt;=Lists!M$21),MAX(0,MIN(Lists!M$21,$AE37)-MAX(Lists!M$22,$AD37))/($AE37-$AD37))+N($D37)*IF($AG37-$AF37&lt;1,($AF37&gt;Lists!M$22)*($AF37&lt;=Lists!M$21),MAX(0,MIN(Lists!M$21,$AG37)-MAX(Lists!M$22,$AF37))/($AG37-$AF37))+N($E37)*IF($AI37-$AH37&lt;1,($AH37&gt;Lists!M$22)*($AH37&lt;=Lists!M$21),MAX(0,MIN(Lists!M$21,$AI37)-MAX(Lists!M$22,$AH37))/($AI37-$AH37))+N($F37)*IF($AK37-$AJ37&lt;1,($AJ37&gt;Lists!M$22)*($AJ37&lt;=Lists!M$21),MAX(0,MIN(Lists!M$21,$AK37)-MAX(Lists!M$22,$AJ37))/($AK37-$AJ37))+N($G37)*IF($AM37-$AL37&lt;1,($AL37&gt;Lists!M$22)*($AL37&lt;=Lists!M$21),MAX(0,MIN(Lists!M$21,$AM37)-MAX(Lists!M$22,$AL37))/($AM37-$AL37))))))))</f>
        <v>0</v>
      </c>
      <c r="X37" s="53" t="n">
        <f aca="false">IF($H37=0,0,IF($AP37="X",0,IF($AP37="S",$H37/$AO37*(MIN($AO37,MAX(0,INT((Lists!N$21-N($J37))/7)+1))-MIN($AO37,MAX(0,INT((Lists!N$22-N($J37))/7)+1))),IF($AP37="D",$H37*MAX(0,MIN(Lists!N$21,N($J37)+$AO37)-MAX(Lists!N$22,N($J37)))/$AO37,IF($AP37="M",$H37/$AO37*(IF(Lists!N$21&lt;$J37,0,MIN($AO37,(((YEAR(Lists!N$21)-YEAR($J37))*12+MONTH(Lists!N$21)-MONTH($J37))-(EDATE($J37,((YEAR(Lists!N$21)-YEAR($J37))*12+MONTH(Lists!N$21)-MONTH($J37)))&gt;Lists!N$21)+1)))-IF(Lists!N$22&lt;$J37,0,MIN($AO37,(((YEAR(Lists!N$22)-YEAR($J37))*12+MONTH(Lists!N$22)-MONTH($J37))-(EDATE($J37,((YEAR(Lists!N$22)-YEAR($J37))*12+MONTH(Lists!N$22)-MONTH($J37)))&gt;Lists!N$22)+1)))),IF($AP37="F",IF(N($K37)&lt;=0,0,MIN(MAX(0,$H37),N($K37)*IF(Lists!N$21&lt;$J37,0,(((YEAR(Lists!N$21)-YEAR($J37))*12+MONTH(Lists!N$21)-MONTH($J37))-(EDATE($J37,((YEAR(Lists!N$21)-YEAR($J37))*12+MONTH(Lists!N$21)-MONTH($J37)))&gt;Lists!N$21)+1)))-MIN(MAX(0,$H37),N($K37)*IF(Lists!N$22&lt;$J37,0,(((YEAR(Lists!N$22)-YEAR($J37))*12+MONTH(Lists!N$22)-MONTH($J37))-(EDATE($J37,((YEAR(Lists!N$22)-YEAR($J37))*12+MONTH(Lists!N$22)-MONTH($J37)))&gt;Lists!N$22)+1)))),N($C37)*IF($AE37-$AD37&lt;1,($AD37&gt;Lists!N$22)*($AD37&lt;=Lists!N$21),MAX(0,MIN(Lists!N$21,$AE37)-MAX(Lists!N$22,$AD37))/($AE37-$AD37))+N($D37)*IF($AG37-$AF37&lt;1,($AF37&gt;Lists!N$22)*($AF37&lt;=Lists!N$21),MAX(0,MIN(Lists!N$21,$AG37)-MAX(Lists!N$22,$AF37))/($AG37-$AF37))+N($E37)*IF($AI37-$AH37&lt;1,($AH37&gt;Lists!N$22)*($AH37&lt;=Lists!N$21),MAX(0,MIN(Lists!N$21,$AI37)-MAX(Lists!N$22,$AH37))/($AI37-$AH37))+N($F37)*IF($AK37-$AJ37&lt;1,($AJ37&gt;Lists!N$22)*($AJ37&lt;=Lists!N$21),MAX(0,MIN(Lists!N$21,$AK37)-MAX(Lists!N$22,$AJ37))/($AK37-$AJ37))+N($G37)*IF($AM37-$AL37&lt;1,($AL37&gt;Lists!N$22)*($AL37&lt;=Lists!N$21),MAX(0,MIN(Lists!N$21,$AM37)-MAX(Lists!N$22,$AL37))/($AM37-$AL37))))))))</f>
        <v>0</v>
      </c>
      <c r="Y37" s="53" t="n">
        <f aca="false">IF($H37=0,0,IF($AP37="X",0,IF($AP37="S",$H37/$AO37*(MIN($AO37,MAX(0,INT((Lists!O$21-N($J37))/7)+1))-MIN($AO37,MAX(0,INT((Lists!O$22-N($J37))/7)+1))),IF($AP37="D",$H37*MAX(0,MIN(Lists!O$21,N($J37)+$AO37)-MAX(Lists!O$22,N($J37)))/$AO37,IF($AP37="M",$H37/$AO37*(IF(Lists!O$21&lt;$J37,0,MIN($AO37,(((YEAR(Lists!O$21)-YEAR($J37))*12+MONTH(Lists!O$21)-MONTH($J37))-(EDATE($J37,((YEAR(Lists!O$21)-YEAR($J37))*12+MONTH(Lists!O$21)-MONTH($J37)))&gt;Lists!O$21)+1)))-IF(Lists!O$22&lt;$J37,0,MIN($AO37,(((YEAR(Lists!O$22)-YEAR($J37))*12+MONTH(Lists!O$22)-MONTH($J37))-(EDATE($J37,((YEAR(Lists!O$22)-YEAR($J37))*12+MONTH(Lists!O$22)-MONTH($J37)))&gt;Lists!O$22)+1)))),IF($AP37="F",IF(N($K37)&lt;=0,0,MIN(MAX(0,$H37),N($K37)*IF(Lists!O$21&lt;$J37,0,(((YEAR(Lists!O$21)-YEAR($J37))*12+MONTH(Lists!O$21)-MONTH($J37))-(EDATE($J37,((YEAR(Lists!O$21)-YEAR($J37))*12+MONTH(Lists!O$21)-MONTH($J37)))&gt;Lists!O$21)+1)))-MIN(MAX(0,$H37),N($K37)*IF(Lists!O$22&lt;$J37,0,(((YEAR(Lists!O$22)-YEAR($J37))*12+MONTH(Lists!O$22)-MONTH($J37))-(EDATE($J37,((YEAR(Lists!O$22)-YEAR($J37))*12+MONTH(Lists!O$22)-MONTH($J37)))&gt;Lists!O$22)+1)))),N($C37)*IF($AE37-$AD37&lt;1,($AD37&gt;Lists!O$22)*($AD37&lt;=Lists!O$21),MAX(0,MIN(Lists!O$21,$AE37)-MAX(Lists!O$22,$AD37))/($AE37-$AD37))+N($D37)*IF($AG37-$AF37&lt;1,($AF37&gt;Lists!O$22)*($AF37&lt;=Lists!O$21),MAX(0,MIN(Lists!O$21,$AG37)-MAX(Lists!O$22,$AF37))/($AG37-$AF37))+N($E37)*IF($AI37-$AH37&lt;1,($AH37&gt;Lists!O$22)*($AH37&lt;=Lists!O$21),MAX(0,MIN(Lists!O$21,$AI37)-MAX(Lists!O$22,$AH37))/($AI37-$AH37))+N($F37)*IF($AK37-$AJ37&lt;1,($AJ37&gt;Lists!O$22)*($AJ37&lt;=Lists!O$21),MAX(0,MIN(Lists!O$21,$AK37)-MAX(Lists!O$22,$AJ37))/($AK37-$AJ37))+N($G37)*IF($AM37-$AL37&lt;1,($AL37&gt;Lists!O$22)*($AL37&lt;=Lists!O$21),MAX(0,MIN(Lists!O$21,$AM37)-MAX(Lists!O$22,$AL37))/($AM37-$AL37))))))))</f>
        <v>0</v>
      </c>
      <c r="Z37" s="46" t="n">
        <f aca="false">SUM(M37:Y37)</f>
        <v>0</v>
      </c>
      <c r="AA37" s="92" t="n">
        <f aca="false">H37-Z37</f>
        <v>0</v>
      </c>
      <c r="AB37" s="55"/>
      <c r="AC37" s="2"/>
      <c r="AD37" s="93" t="n">
        <f aca="false">Setup!$D$10+MAX(0,$AN37-30)</f>
        <v>46365</v>
      </c>
      <c r="AE37" s="93" t="n">
        <f aca="false">Setup!$D$10+IF($AN37-30&lt;0,MAX(Setup!$D$22,$AN37-0),$AN37-0)</f>
        <v>46395</v>
      </c>
      <c r="AF37" s="93" t="n">
        <f aca="false">Setup!$D$10+MAX(0,$AN37-60)</f>
        <v>46335</v>
      </c>
      <c r="AG37" s="93" t="n">
        <f aca="false">Setup!$D$10+IF($AN37-60&lt;0,MAX(Setup!$D$22,$AN37-31),$AN37-31)</f>
        <v>46364</v>
      </c>
      <c r="AH37" s="93" t="n">
        <f aca="false">Setup!$D$10+MAX(0,$AN37-90)</f>
        <v>46335</v>
      </c>
      <c r="AI37" s="93" t="n">
        <f aca="false">Setup!$D$10+IF($AN37-90&lt;0,MAX(Setup!$D$22,$AN37-61),$AN37-61)</f>
        <v>46363</v>
      </c>
      <c r="AJ37" s="93" t="n">
        <f aca="false">Setup!$D$10+MAX(0,$AN37-120)</f>
        <v>46335</v>
      </c>
      <c r="AK37" s="93" t="n">
        <f aca="false">Setup!$D$10+IF($AN37-120&lt;0,MAX(Setup!$D$22,$AN37-91),$AN37-91)</f>
        <v>46363</v>
      </c>
      <c r="AL37" s="93" t="n">
        <f aca="false">IF(Setup!$D$23="Yes",2958465,Setup!$D$10)</f>
        <v>2958465</v>
      </c>
      <c r="AM37" s="93" t="n">
        <f aca="false">IF(AL37=2958465,AL37,Setup!$D$10+Setup!$D$22)</f>
        <v>2958465</v>
      </c>
      <c r="AN37" s="94" t="n">
        <f aca="false">IF(N(L37)=0,Setup!$D$20,L37)</f>
        <v>60</v>
      </c>
      <c r="AO37" s="94" t="n">
        <f aca="false">MAX(1,ROUND(N(K37),0))</f>
        <v>1</v>
      </c>
      <c r="AP37" s="95" t="str">
        <f aca="false">IF(I37="Doubtful","X",IF(N(J37)=0,"A",IF(I37="Specific date","S",IF(I37="Spread over days","D",IF(I37="Monthly on set day","M",IF(I37="Monthly fixed amount","F","A"))))))</f>
        <v>A</v>
      </c>
    </row>
    <row r="38" customFormat="false" ht="15" hidden="false" customHeight="false" outlineLevel="0" collapsed="false">
      <c r="A38" s="87" t="n">
        <v>30</v>
      </c>
      <c r="B38" s="55"/>
      <c r="C38" s="88"/>
      <c r="D38" s="88"/>
      <c r="E38" s="88"/>
      <c r="F38" s="88"/>
      <c r="G38" s="88"/>
      <c r="H38" s="89" t="n">
        <f aca="false">SUM(C38:G38)</f>
        <v>0</v>
      </c>
      <c r="I38" s="58"/>
      <c r="J38" s="90"/>
      <c r="K38" s="91"/>
      <c r="L38" s="80"/>
      <c r="M38" s="53" t="n">
        <f aca="false">IF($H38=0,0,IF($AP38="X",0,IF($AP38="S",$H38/$AO38*(MIN($AO38,MAX(0,INT((Lists!C$21-N($J38))/7)+1))-MIN($AO38,MAX(0,INT((Lists!C$22-N($J38))/7)+1))),IF($AP38="D",$H38*MAX(0,MIN(Lists!C$21,N($J38)+$AO38)-MAX(Lists!C$22,N($J38)))/$AO38,IF($AP38="M",$H38/$AO38*(IF(Lists!C$21&lt;$J38,0,MIN($AO38,(((YEAR(Lists!C$21)-YEAR($J38))*12+MONTH(Lists!C$21)-MONTH($J38))-(EDATE($J38,((YEAR(Lists!C$21)-YEAR($J38))*12+MONTH(Lists!C$21)-MONTH($J38)))&gt;Lists!C$21)+1)))-IF(Lists!C$22&lt;$J38,0,MIN($AO38,(((YEAR(Lists!C$22)-YEAR($J38))*12+MONTH(Lists!C$22)-MONTH($J38))-(EDATE($J38,((YEAR(Lists!C$22)-YEAR($J38))*12+MONTH(Lists!C$22)-MONTH($J38)))&gt;Lists!C$22)+1)))),IF($AP38="F",IF(N($K38)&lt;=0,0,MIN(MAX(0,$H38),N($K38)*IF(Lists!C$21&lt;$J38,0,(((YEAR(Lists!C$21)-YEAR($J38))*12+MONTH(Lists!C$21)-MONTH($J38))-(EDATE($J38,((YEAR(Lists!C$21)-YEAR($J38))*12+MONTH(Lists!C$21)-MONTH($J38)))&gt;Lists!C$21)+1)))-MIN(MAX(0,$H38),N($K38)*IF(Lists!C$22&lt;$J38,0,(((YEAR(Lists!C$22)-YEAR($J38))*12+MONTH(Lists!C$22)-MONTH($J38))-(EDATE($J38,((YEAR(Lists!C$22)-YEAR($J38))*12+MONTH(Lists!C$22)-MONTH($J38)))&gt;Lists!C$22)+1)))),N($C38)*IF($AE38-$AD38&lt;1,($AD38&gt;Lists!C$22)*($AD38&lt;=Lists!C$21),MAX(0,MIN(Lists!C$21,$AE38)-MAX(Lists!C$22,$AD38))/($AE38-$AD38))+N($D38)*IF($AG38-$AF38&lt;1,($AF38&gt;Lists!C$22)*($AF38&lt;=Lists!C$21),MAX(0,MIN(Lists!C$21,$AG38)-MAX(Lists!C$22,$AF38))/($AG38-$AF38))+N($E38)*IF($AI38-$AH38&lt;1,($AH38&gt;Lists!C$22)*($AH38&lt;=Lists!C$21),MAX(0,MIN(Lists!C$21,$AI38)-MAX(Lists!C$22,$AH38))/($AI38-$AH38))+N($F38)*IF($AK38-$AJ38&lt;1,($AJ38&gt;Lists!C$22)*($AJ38&lt;=Lists!C$21),MAX(0,MIN(Lists!C$21,$AK38)-MAX(Lists!C$22,$AJ38))/($AK38-$AJ38))+N($G38)*IF($AM38-$AL38&lt;1,($AL38&gt;Lists!C$22)*($AL38&lt;=Lists!C$21),MAX(0,MIN(Lists!C$21,$AM38)-MAX(Lists!C$22,$AL38))/($AM38-$AL38))))))))</f>
        <v>0</v>
      </c>
      <c r="N38" s="53" t="n">
        <f aca="false">IF($H38=0,0,IF($AP38="X",0,IF($AP38="S",$H38/$AO38*(MIN($AO38,MAX(0,INT((Lists!D$21-N($J38))/7)+1))-MIN($AO38,MAX(0,INT((Lists!D$22-N($J38))/7)+1))),IF($AP38="D",$H38*MAX(0,MIN(Lists!D$21,N($J38)+$AO38)-MAX(Lists!D$22,N($J38)))/$AO38,IF($AP38="M",$H38/$AO38*(IF(Lists!D$21&lt;$J38,0,MIN($AO38,(((YEAR(Lists!D$21)-YEAR($J38))*12+MONTH(Lists!D$21)-MONTH($J38))-(EDATE($J38,((YEAR(Lists!D$21)-YEAR($J38))*12+MONTH(Lists!D$21)-MONTH($J38)))&gt;Lists!D$21)+1)))-IF(Lists!D$22&lt;$J38,0,MIN($AO38,(((YEAR(Lists!D$22)-YEAR($J38))*12+MONTH(Lists!D$22)-MONTH($J38))-(EDATE($J38,((YEAR(Lists!D$22)-YEAR($J38))*12+MONTH(Lists!D$22)-MONTH($J38)))&gt;Lists!D$22)+1)))),IF($AP38="F",IF(N($K38)&lt;=0,0,MIN(MAX(0,$H38),N($K38)*IF(Lists!D$21&lt;$J38,0,(((YEAR(Lists!D$21)-YEAR($J38))*12+MONTH(Lists!D$21)-MONTH($J38))-(EDATE($J38,((YEAR(Lists!D$21)-YEAR($J38))*12+MONTH(Lists!D$21)-MONTH($J38)))&gt;Lists!D$21)+1)))-MIN(MAX(0,$H38),N($K38)*IF(Lists!D$22&lt;$J38,0,(((YEAR(Lists!D$22)-YEAR($J38))*12+MONTH(Lists!D$22)-MONTH($J38))-(EDATE($J38,((YEAR(Lists!D$22)-YEAR($J38))*12+MONTH(Lists!D$22)-MONTH($J38)))&gt;Lists!D$22)+1)))),N($C38)*IF($AE38-$AD38&lt;1,($AD38&gt;Lists!D$22)*($AD38&lt;=Lists!D$21),MAX(0,MIN(Lists!D$21,$AE38)-MAX(Lists!D$22,$AD38))/($AE38-$AD38))+N($D38)*IF($AG38-$AF38&lt;1,($AF38&gt;Lists!D$22)*($AF38&lt;=Lists!D$21),MAX(0,MIN(Lists!D$21,$AG38)-MAX(Lists!D$22,$AF38))/($AG38-$AF38))+N($E38)*IF($AI38-$AH38&lt;1,($AH38&gt;Lists!D$22)*($AH38&lt;=Lists!D$21),MAX(0,MIN(Lists!D$21,$AI38)-MAX(Lists!D$22,$AH38))/($AI38-$AH38))+N($F38)*IF($AK38-$AJ38&lt;1,($AJ38&gt;Lists!D$22)*($AJ38&lt;=Lists!D$21),MAX(0,MIN(Lists!D$21,$AK38)-MAX(Lists!D$22,$AJ38))/($AK38-$AJ38))+N($G38)*IF($AM38-$AL38&lt;1,($AL38&gt;Lists!D$22)*($AL38&lt;=Lists!D$21),MAX(0,MIN(Lists!D$21,$AM38)-MAX(Lists!D$22,$AL38))/($AM38-$AL38))))))))</f>
        <v>0</v>
      </c>
      <c r="O38" s="53" t="n">
        <f aca="false">IF($H38=0,0,IF($AP38="X",0,IF($AP38="S",$H38/$AO38*(MIN($AO38,MAX(0,INT((Lists!E$21-N($J38))/7)+1))-MIN($AO38,MAX(0,INT((Lists!E$22-N($J38))/7)+1))),IF($AP38="D",$H38*MAX(0,MIN(Lists!E$21,N($J38)+$AO38)-MAX(Lists!E$22,N($J38)))/$AO38,IF($AP38="M",$H38/$AO38*(IF(Lists!E$21&lt;$J38,0,MIN($AO38,(((YEAR(Lists!E$21)-YEAR($J38))*12+MONTH(Lists!E$21)-MONTH($J38))-(EDATE($J38,((YEAR(Lists!E$21)-YEAR($J38))*12+MONTH(Lists!E$21)-MONTH($J38)))&gt;Lists!E$21)+1)))-IF(Lists!E$22&lt;$J38,0,MIN($AO38,(((YEAR(Lists!E$22)-YEAR($J38))*12+MONTH(Lists!E$22)-MONTH($J38))-(EDATE($J38,((YEAR(Lists!E$22)-YEAR($J38))*12+MONTH(Lists!E$22)-MONTH($J38)))&gt;Lists!E$22)+1)))),IF($AP38="F",IF(N($K38)&lt;=0,0,MIN(MAX(0,$H38),N($K38)*IF(Lists!E$21&lt;$J38,0,(((YEAR(Lists!E$21)-YEAR($J38))*12+MONTH(Lists!E$21)-MONTH($J38))-(EDATE($J38,((YEAR(Lists!E$21)-YEAR($J38))*12+MONTH(Lists!E$21)-MONTH($J38)))&gt;Lists!E$21)+1)))-MIN(MAX(0,$H38),N($K38)*IF(Lists!E$22&lt;$J38,0,(((YEAR(Lists!E$22)-YEAR($J38))*12+MONTH(Lists!E$22)-MONTH($J38))-(EDATE($J38,((YEAR(Lists!E$22)-YEAR($J38))*12+MONTH(Lists!E$22)-MONTH($J38)))&gt;Lists!E$22)+1)))),N($C38)*IF($AE38-$AD38&lt;1,($AD38&gt;Lists!E$22)*($AD38&lt;=Lists!E$21),MAX(0,MIN(Lists!E$21,$AE38)-MAX(Lists!E$22,$AD38))/($AE38-$AD38))+N($D38)*IF($AG38-$AF38&lt;1,($AF38&gt;Lists!E$22)*($AF38&lt;=Lists!E$21),MAX(0,MIN(Lists!E$21,$AG38)-MAX(Lists!E$22,$AF38))/($AG38-$AF38))+N($E38)*IF($AI38-$AH38&lt;1,($AH38&gt;Lists!E$22)*($AH38&lt;=Lists!E$21),MAX(0,MIN(Lists!E$21,$AI38)-MAX(Lists!E$22,$AH38))/($AI38-$AH38))+N($F38)*IF($AK38-$AJ38&lt;1,($AJ38&gt;Lists!E$22)*($AJ38&lt;=Lists!E$21),MAX(0,MIN(Lists!E$21,$AK38)-MAX(Lists!E$22,$AJ38))/($AK38-$AJ38))+N($G38)*IF($AM38-$AL38&lt;1,($AL38&gt;Lists!E$22)*($AL38&lt;=Lists!E$21),MAX(0,MIN(Lists!E$21,$AM38)-MAX(Lists!E$22,$AL38))/($AM38-$AL38))))))))</f>
        <v>0</v>
      </c>
      <c r="P38" s="53" t="n">
        <f aca="false">IF($H38=0,0,IF($AP38="X",0,IF($AP38="S",$H38/$AO38*(MIN($AO38,MAX(0,INT((Lists!F$21-N($J38))/7)+1))-MIN($AO38,MAX(0,INT((Lists!F$22-N($J38))/7)+1))),IF($AP38="D",$H38*MAX(0,MIN(Lists!F$21,N($J38)+$AO38)-MAX(Lists!F$22,N($J38)))/$AO38,IF($AP38="M",$H38/$AO38*(IF(Lists!F$21&lt;$J38,0,MIN($AO38,(((YEAR(Lists!F$21)-YEAR($J38))*12+MONTH(Lists!F$21)-MONTH($J38))-(EDATE($J38,((YEAR(Lists!F$21)-YEAR($J38))*12+MONTH(Lists!F$21)-MONTH($J38)))&gt;Lists!F$21)+1)))-IF(Lists!F$22&lt;$J38,0,MIN($AO38,(((YEAR(Lists!F$22)-YEAR($J38))*12+MONTH(Lists!F$22)-MONTH($J38))-(EDATE($J38,((YEAR(Lists!F$22)-YEAR($J38))*12+MONTH(Lists!F$22)-MONTH($J38)))&gt;Lists!F$22)+1)))),IF($AP38="F",IF(N($K38)&lt;=0,0,MIN(MAX(0,$H38),N($K38)*IF(Lists!F$21&lt;$J38,0,(((YEAR(Lists!F$21)-YEAR($J38))*12+MONTH(Lists!F$21)-MONTH($J38))-(EDATE($J38,((YEAR(Lists!F$21)-YEAR($J38))*12+MONTH(Lists!F$21)-MONTH($J38)))&gt;Lists!F$21)+1)))-MIN(MAX(0,$H38),N($K38)*IF(Lists!F$22&lt;$J38,0,(((YEAR(Lists!F$22)-YEAR($J38))*12+MONTH(Lists!F$22)-MONTH($J38))-(EDATE($J38,((YEAR(Lists!F$22)-YEAR($J38))*12+MONTH(Lists!F$22)-MONTH($J38)))&gt;Lists!F$22)+1)))),N($C38)*IF($AE38-$AD38&lt;1,($AD38&gt;Lists!F$22)*($AD38&lt;=Lists!F$21),MAX(0,MIN(Lists!F$21,$AE38)-MAX(Lists!F$22,$AD38))/($AE38-$AD38))+N($D38)*IF($AG38-$AF38&lt;1,($AF38&gt;Lists!F$22)*($AF38&lt;=Lists!F$21),MAX(0,MIN(Lists!F$21,$AG38)-MAX(Lists!F$22,$AF38))/($AG38-$AF38))+N($E38)*IF($AI38-$AH38&lt;1,($AH38&gt;Lists!F$22)*($AH38&lt;=Lists!F$21),MAX(0,MIN(Lists!F$21,$AI38)-MAX(Lists!F$22,$AH38))/($AI38-$AH38))+N($F38)*IF($AK38-$AJ38&lt;1,($AJ38&gt;Lists!F$22)*($AJ38&lt;=Lists!F$21),MAX(0,MIN(Lists!F$21,$AK38)-MAX(Lists!F$22,$AJ38))/($AK38-$AJ38))+N($G38)*IF($AM38-$AL38&lt;1,($AL38&gt;Lists!F$22)*($AL38&lt;=Lists!F$21),MAX(0,MIN(Lists!F$21,$AM38)-MAX(Lists!F$22,$AL38))/($AM38-$AL38))))))))</f>
        <v>0</v>
      </c>
      <c r="Q38" s="53" t="n">
        <f aca="false">IF($H38=0,0,IF($AP38="X",0,IF($AP38="S",$H38/$AO38*(MIN($AO38,MAX(0,INT((Lists!G$21-N($J38))/7)+1))-MIN($AO38,MAX(0,INT((Lists!G$22-N($J38))/7)+1))),IF($AP38="D",$H38*MAX(0,MIN(Lists!G$21,N($J38)+$AO38)-MAX(Lists!G$22,N($J38)))/$AO38,IF($AP38="M",$H38/$AO38*(IF(Lists!G$21&lt;$J38,0,MIN($AO38,(((YEAR(Lists!G$21)-YEAR($J38))*12+MONTH(Lists!G$21)-MONTH($J38))-(EDATE($J38,((YEAR(Lists!G$21)-YEAR($J38))*12+MONTH(Lists!G$21)-MONTH($J38)))&gt;Lists!G$21)+1)))-IF(Lists!G$22&lt;$J38,0,MIN($AO38,(((YEAR(Lists!G$22)-YEAR($J38))*12+MONTH(Lists!G$22)-MONTH($J38))-(EDATE($J38,((YEAR(Lists!G$22)-YEAR($J38))*12+MONTH(Lists!G$22)-MONTH($J38)))&gt;Lists!G$22)+1)))),IF($AP38="F",IF(N($K38)&lt;=0,0,MIN(MAX(0,$H38),N($K38)*IF(Lists!G$21&lt;$J38,0,(((YEAR(Lists!G$21)-YEAR($J38))*12+MONTH(Lists!G$21)-MONTH($J38))-(EDATE($J38,((YEAR(Lists!G$21)-YEAR($J38))*12+MONTH(Lists!G$21)-MONTH($J38)))&gt;Lists!G$21)+1)))-MIN(MAX(0,$H38),N($K38)*IF(Lists!G$22&lt;$J38,0,(((YEAR(Lists!G$22)-YEAR($J38))*12+MONTH(Lists!G$22)-MONTH($J38))-(EDATE($J38,((YEAR(Lists!G$22)-YEAR($J38))*12+MONTH(Lists!G$22)-MONTH($J38)))&gt;Lists!G$22)+1)))),N($C38)*IF($AE38-$AD38&lt;1,($AD38&gt;Lists!G$22)*($AD38&lt;=Lists!G$21),MAX(0,MIN(Lists!G$21,$AE38)-MAX(Lists!G$22,$AD38))/($AE38-$AD38))+N($D38)*IF($AG38-$AF38&lt;1,($AF38&gt;Lists!G$22)*($AF38&lt;=Lists!G$21),MAX(0,MIN(Lists!G$21,$AG38)-MAX(Lists!G$22,$AF38))/($AG38-$AF38))+N($E38)*IF($AI38-$AH38&lt;1,($AH38&gt;Lists!G$22)*($AH38&lt;=Lists!G$21),MAX(0,MIN(Lists!G$21,$AI38)-MAX(Lists!G$22,$AH38))/($AI38-$AH38))+N($F38)*IF($AK38-$AJ38&lt;1,($AJ38&gt;Lists!G$22)*($AJ38&lt;=Lists!G$21),MAX(0,MIN(Lists!G$21,$AK38)-MAX(Lists!G$22,$AJ38))/($AK38-$AJ38))+N($G38)*IF($AM38-$AL38&lt;1,($AL38&gt;Lists!G$22)*($AL38&lt;=Lists!G$21),MAX(0,MIN(Lists!G$21,$AM38)-MAX(Lists!G$22,$AL38))/($AM38-$AL38))))))))</f>
        <v>0</v>
      </c>
      <c r="R38" s="53" t="n">
        <f aca="false">IF($H38=0,0,IF($AP38="X",0,IF($AP38="S",$H38/$AO38*(MIN($AO38,MAX(0,INT((Lists!H$21-N($J38))/7)+1))-MIN($AO38,MAX(0,INT((Lists!H$22-N($J38))/7)+1))),IF($AP38="D",$H38*MAX(0,MIN(Lists!H$21,N($J38)+$AO38)-MAX(Lists!H$22,N($J38)))/$AO38,IF($AP38="M",$H38/$AO38*(IF(Lists!H$21&lt;$J38,0,MIN($AO38,(((YEAR(Lists!H$21)-YEAR($J38))*12+MONTH(Lists!H$21)-MONTH($J38))-(EDATE($J38,((YEAR(Lists!H$21)-YEAR($J38))*12+MONTH(Lists!H$21)-MONTH($J38)))&gt;Lists!H$21)+1)))-IF(Lists!H$22&lt;$J38,0,MIN($AO38,(((YEAR(Lists!H$22)-YEAR($J38))*12+MONTH(Lists!H$22)-MONTH($J38))-(EDATE($J38,((YEAR(Lists!H$22)-YEAR($J38))*12+MONTH(Lists!H$22)-MONTH($J38)))&gt;Lists!H$22)+1)))),IF($AP38="F",IF(N($K38)&lt;=0,0,MIN(MAX(0,$H38),N($K38)*IF(Lists!H$21&lt;$J38,0,(((YEAR(Lists!H$21)-YEAR($J38))*12+MONTH(Lists!H$21)-MONTH($J38))-(EDATE($J38,((YEAR(Lists!H$21)-YEAR($J38))*12+MONTH(Lists!H$21)-MONTH($J38)))&gt;Lists!H$21)+1)))-MIN(MAX(0,$H38),N($K38)*IF(Lists!H$22&lt;$J38,0,(((YEAR(Lists!H$22)-YEAR($J38))*12+MONTH(Lists!H$22)-MONTH($J38))-(EDATE($J38,((YEAR(Lists!H$22)-YEAR($J38))*12+MONTH(Lists!H$22)-MONTH($J38)))&gt;Lists!H$22)+1)))),N($C38)*IF($AE38-$AD38&lt;1,($AD38&gt;Lists!H$22)*($AD38&lt;=Lists!H$21),MAX(0,MIN(Lists!H$21,$AE38)-MAX(Lists!H$22,$AD38))/($AE38-$AD38))+N($D38)*IF($AG38-$AF38&lt;1,($AF38&gt;Lists!H$22)*($AF38&lt;=Lists!H$21),MAX(0,MIN(Lists!H$21,$AG38)-MAX(Lists!H$22,$AF38))/($AG38-$AF38))+N($E38)*IF($AI38-$AH38&lt;1,($AH38&gt;Lists!H$22)*($AH38&lt;=Lists!H$21),MAX(0,MIN(Lists!H$21,$AI38)-MAX(Lists!H$22,$AH38))/($AI38-$AH38))+N($F38)*IF($AK38-$AJ38&lt;1,($AJ38&gt;Lists!H$22)*($AJ38&lt;=Lists!H$21),MAX(0,MIN(Lists!H$21,$AK38)-MAX(Lists!H$22,$AJ38))/($AK38-$AJ38))+N($G38)*IF($AM38-$AL38&lt;1,($AL38&gt;Lists!H$22)*($AL38&lt;=Lists!H$21),MAX(0,MIN(Lists!H$21,$AM38)-MAX(Lists!H$22,$AL38))/($AM38-$AL38))))))))</f>
        <v>0</v>
      </c>
      <c r="S38" s="53" t="n">
        <f aca="false">IF($H38=0,0,IF($AP38="X",0,IF($AP38="S",$H38/$AO38*(MIN($AO38,MAX(0,INT((Lists!I$21-N($J38))/7)+1))-MIN($AO38,MAX(0,INT((Lists!I$22-N($J38))/7)+1))),IF($AP38="D",$H38*MAX(0,MIN(Lists!I$21,N($J38)+$AO38)-MAX(Lists!I$22,N($J38)))/$AO38,IF($AP38="M",$H38/$AO38*(IF(Lists!I$21&lt;$J38,0,MIN($AO38,(((YEAR(Lists!I$21)-YEAR($J38))*12+MONTH(Lists!I$21)-MONTH($J38))-(EDATE($J38,((YEAR(Lists!I$21)-YEAR($J38))*12+MONTH(Lists!I$21)-MONTH($J38)))&gt;Lists!I$21)+1)))-IF(Lists!I$22&lt;$J38,0,MIN($AO38,(((YEAR(Lists!I$22)-YEAR($J38))*12+MONTH(Lists!I$22)-MONTH($J38))-(EDATE($J38,((YEAR(Lists!I$22)-YEAR($J38))*12+MONTH(Lists!I$22)-MONTH($J38)))&gt;Lists!I$22)+1)))),IF($AP38="F",IF(N($K38)&lt;=0,0,MIN(MAX(0,$H38),N($K38)*IF(Lists!I$21&lt;$J38,0,(((YEAR(Lists!I$21)-YEAR($J38))*12+MONTH(Lists!I$21)-MONTH($J38))-(EDATE($J38,((YEAR(Lists!I$21)-YEAR($J38))*12+MONTH(Lists!I$21)-MONTH($J38)))&gt;Lists!I$21)+1)))-MIN(MAX(0,$H38),N($K38)*IF(Lists!I$22&lt;$J38,0,(((YEAR(Lists!I$22)-YEAR($J38))*12+MONTH(Lists!I$22)-MONTH($J38))-(EDATE($J38,((YEAR(Lists!I$22)-YEAR($J38))*12+MONTH(Lists!I$22)-MONTH($J38)))&gt;Lists!I$22)+1)))),N($C38)*IF($AE38-$AD38&lt;1,($AD38&gt;Lists!I$22)*($AD38&lt;=Lists!I$21),MAX(0,MIN(Lists!I$21,$AE38)-MAX(Lists!I$22,$AD38))/($AE38-$AD38))+N($D38)*IF($AG38-$AF38&lt;1,($AF38&gt;Lists!I$22)*($AF38&lt;=Lists!I$21),MAX(0,MIN(Lists!I$21,$AG38)-MAX(Lists!I$22,$AF38))/($AG38-$AF38))+N($E38)*IF($AI38-$AH38&lt;1,($AH38&gt;Lists!I$22)*($AH38&lt;=Lists!I$21),MAX(0,MIN(Lists!I$21,$AI38)-MAX(Lists!I$22,$AH38))/($AI38-$AH38))+N($F38)*IF($AK38-$AJ38&lt;1,($AJ38&gt;Lists!I$22)*($AJ38&lt;=Lists!I$21),MAX(0,MIN(Lists!I$21,$AK38)-MAX(Lists!I$22,$AJ38))/($AK38-$AJ38))+N($G38)*IF($AM38-$AL38&lt;1,($AL38&gt;Lists!I$22)*($AL38&lt;=Lists!I$21),MAX(0,MIN(Lists!I$21,$AM38)-MAX(Lists!I$22,$AL38))/($AM38-$AL38))))))))</f>
        <v>0</v>
      </c>
      <c r="T38" s="53" t="n">
        <f aca="false">IF($H38=0,0,IF($AP38="X",0,IF($AP38="S",$H38/$AO38*(MIN($AO38,MAX(0,INT((Lists!J$21-N($J38))/7)+1))-MIN($AO38,MAX(0,INT((Lists!J$22-N($J38))/7)+1))),IF($AP38="D",$H38*MAX(0,MIN(Lists!J$21,N($J38)+$AO38)-MAX(Lists!J$22,N($J38)))/$AO38,IF($AP38="M",$H38/$AO38*(IF(Lists!J$21&lt;$J38,0,MIN($AO38,(((YEAR(Lists!J$21)-YEAR($J38))*12+MONTH(Lists!J$21)-MONTH($J38))-(EDATE($J38,((YEAR(Lists!J$21)-YEAR($J38))*12+MONTH(Lists!J$21)-MONTH($J38)))&gt;Lists!J$21)+1)))-IF(Lists!J$22&lt;$J38,0,MIN($AO38,(((YEAR(Lists!J$22)-YEAR($J38))*12+MONTH(Lists!J$22)-MONTH($J38))-(EDATE($J38,((YEAR(Lists!J$22)-YEAR($J38))*12+MONTH(Lists!J$22)-MONTH($J38)))&gt;Lists!J$22)+1)))),IF($AP38="F",IF(N($K38)&lt;=0,0,MIN(MAX(0,$H38),N($K38)*IF(Lists!J$21&lt;$J38,0,(((YEAR(Lists!J$21)-YEAR($J38))*12+MONTH(Lists!J$21)-MONTH($J38))-(EDATE($J38,((YEAR(Lists!J$21)-YEAR($J38))*12+MONTH(Lists!J$21)-MONTH($J38)))&gt;Lists!J$21)+1)))-MIN(MAX(0,$H38),N($K38)*IF(Lists!J$22&lt;$J38,0,(((YEAR(Lists!J$22)-YEAR($J38))*12+MONTH(Lists!J$22)-MONTH($J38))-(EDATE($J38,((YEAR(Lists!J$22)-YEAR($J38))*12+MONTH(Lists!J$22)-MONTH($J38)))&gt;Lists!J$22)+1)))),N($C38)*IF($AE38-$AD38&lt;1,($AD38&gt;Lists!J$22)*($AD38&lt;=Lists!J$21),MAX(0,MIN(Lists!J$21,$AE38)-MAX(Lists!J$22,$AD38))/($AE38-$AD38))+N($D38)*IF($AG38-$AF38&lt;1,($AF38&gt;Lists!J$22)*($AF38&lt;=Lists!J$21),MAX(0,MIN(Lists!J$21,$AG38)-MAX(Lists!J$22,$AF38))/($AG38-$AF38))+N($E38)*IF($AI38-$AH38&lt;1,($AH38&gt;Lists!J$22)*($AH38&lt;=Lists!J$21),MAX(0,MIN(Lists!J$21,$AI38)-MAX(Lists!J$22,$AH38))/($AI38-$AH38))+N($F38)*IF($AK38-$AJ38&lt;1,($AJ38&gt;Lists!J$22)*($AJ38&lt;=Lists!J$21),MAX(0,MIN(Lists!J$21,$AK38)-MAX(Lists!J$22,$AJ38))/($AK38-$AJ38))+N($G38)*IF($AM38-$AL38&lt;1,($AL38&gt;Lists!J$22)*($AL38&lt;=Lists!J$21),MAX(0,MIN(Lists!J$21,$AM38)-MAX(Lists!J$22,$AL38))/($AM38-$AL38))))))))</f>
        <v>0</v>
      </c>
      <c r="U38" s="53" t="n">
        <f aca="false">IF($H38=0,0,IF($AP38="X",0,IF($AP38="S",$H38/$AO38*(MIN($AO38,MAX(0,INT((Lists!K$21-N($J38))/7)+1))-MIN($AO38,MAX(0,INT((Lists!K$22-N($J38))/7)+1))),IF($AP38="D",$H38*MAX(0,MIN(Lists!K$21,N($J38)+$AO38)-MAX(Lists!K$22,N($J38)))/$AO38,IF($AP38="M",$H38/$AO38*(IF(Lists!K$21&lt;$J38,0,MIN($AO38,(((YEAR(Lists!K$21)-YEAR($J38))*12+MONTH(Lists!K$21)-MONTH($J38))-(EDATE($J38,((YEAR(Lists!K$21)-YEAR($J38))*12+MONTH(Lists!K$21)-MONTH($J38)))&gt;Lists!K$21)+1)))-IF(Lists!K$22&lt;$J38,0,MIN($AO38,(((YEAR(Lists!K$22)-YEAR($J38))*12+MONTH(Lists!K$22)-MONTH($J38))-(EDATE($J38,((YEAR(Lists!K$22)-YEAR($J38))*12+MONTH(Lists!K$22)-MONTH($J38)))&gt;Lists!K$22)+1)))),IF($AP38="F",IF(N($K38)&lt;=0,0,MIN(MAX(0,$H38),N($K38)*IF(Lists!K$21&lt;$J38,0,(((YEAR(Lists!K$21)-YEAR($J38))*12+MONTH(Lists!K$21)-MONTH($J38))-(EDATE($J38,((YEAR(Lists!K$21)-YEAR($J38))*12+MONTH(Lists!K$21)-MONTH($J38)))&gt;Lists!K$21)+1)))-MIN(MAX(0,$H38),N($K38)*IF(Lists!K$22&lt;$J38,0,(((YEAR(Lists!K$22)-YEAR($J38))*12+MONTH(Lists!K$22)-MONTH($J38))-(EDATE($J38,((YEAR(Lists!K$22)-YEAR($J38))*12+MONTH(Lists!K$22)-MONTH($J38)))&gt;Lists!K$22)+1)))),N($C38)*IF($AE38-$AD38&lt;1,($AD38&gt;Lists!K$22)*($AD38&lt;=Lists!K$21),MAX(0,MIN(Lists!K$21,$AE38)-MAX(Lists!K$22,$AD38))/($AE38-$AD38))+N($D38)*IF($AG38-$AF38&lt;1,($AF38&gt;Lists!K$22)*($AF38&lt;=Lists!K$21),MAX(0,MIN(Lists!K$21,$AG38)-MAX(Lists!K$22,$AF38))/($AG38-$AF38))+N($E38)*IF($AI38-$AH38&lt;1,($AH38&gt;Lists!K$22)*($AH38&lt;=Lists!K$21),MAX(0,MIN(Lists!K$21,$AI38)-MAX(Lists!K$22,$AH38))/($AI38-$AH38))+N($F38)*IF($AK38-$AJ38&lt;1,($AJ38&gt;Lists!K$22)*($AJ38&lt;=Lists!K$21),MAX(0,MIN(Lists!K$21,$AK38)-MAX(Lists!K$22,$AJ38))/($AK38-$AJ38))+N($G38)*IF($AM38-$AL38&lt;1,($AL38&gt;Lists!K$22)*($AL38&lt;=Lists!K$21),MAX(0,MIN(Lists!K$21,$AM38)-MAX(Lists!K$22,$AL38))/($AM38-$AL38))))))))</f>
        <v>0</v>
      </c>
      <c r="V38" s="53" t="n">
        <f aca="false">IF($H38=0,0,IF($AP38="X",0,IF($AP38="S",$H38/$AO38*(MIN($AO38,MAX(0,INT((Lists!L$21-N($J38))/7)+1))-MIN($AO38,MAX(0,INT((Lists!L$22-N($J38))/7)+1))),IF($AP38="D",$H38*MAX(0,MIN(Lists!L$21,N($J38)+$AO38)-MAX(Lists!L$22,N($J38)))/$AO38,IF($AP38="M",$H38/$AO38*(IF(Lists!L$21&lt;$J38,0,MIN($AO38,(((YEAR(Lists!L$21)-YEAR($J38))*12+MONTH(Lists!L$21)-MONTH($J38))-(EDATE($J38,((YEAR(Lists!L$21)-YEAR($J38))*12+MONTH(Lists!L$21)-MONTH($J38)))&gt;Lists!L$21)+1)))-IF(Lists!L$22&lt;$J38,0,MIN($AO38,(((YEAR(Lists!L$22)-YEAR($J38))*12+MONTH(Lists!L$22)-MONTH($J38))-(EDATE($J38,((YEAR(Lists!L$22)-YEAR($J38))*12+MONTH(Lists!L$22)-MONTH($J38)))&gt;Lists!L$22)+1)))),IF($AP38="F",IF(N($K38)&lt;=0,0,MIN(MAX(0,$H38),N($K38)*IF(Lists!L$21&lt;$J38,0,(((YEAR(Lists!L$21)-YEAR($J38))*12+MONTH(Lists!L$21)-MONTH($J38))-(EDATE($J38,((YEAR(Lists!L$21)-YEAR($J38))*12+MONTH(Lists!L$21)-MONTH($J38)))&gt;Lists!L$21)+1)))-MIN(MAX(0,$H38),N($K38)*IF(Lists!L$22&lt;$J38,0,(((YEAR(Lists!L$22)-YEAR($J38))*12+MONTH(Lists!L$22)-MONTH($J38))-(EDATE($J38,((YEAR(Lists!L$22)-YEAR($J38))*12+MONTH(Lists!L$22)-MONTH($J38)))&gt;Lists!L$22)+1)))),N($C38)*IF($AE38-$AD38&lt;1,($AD38&gt;Lists!L$22)*($AD38&lt;=Lists!L$21),MAX(0,MIN(Lists!L$21,$AE38)-MAX(Lists!L$22,$AD38))/($AE38-$AD38))+N($D38)*IF($AG38-$AF38&lt;1,($AF38&gt;Lists!L$22)*($AF38&lt;=Lists!L$21),MAX(0,MIN(Lists!L$21,$AG38)-MAX(Lists!L$22,$AF38))/($AG38-$AF38))+N($E38)*IF($AI38-$AH38&lt;1,($AH38&gt;Lists!L$22)*($AH38&lt;=Lists!L$21),MAX(0,MIN(Lists!L$21,$AI38)-MAX(Lists!L$22,$AH38))/($AI38-$AH38))+N($F38)*IF($AK38-$AJ38&lt;1,($AJ38&gt;Lists!L$22)*($AJ38&lt;=Lists!L$21),MAX(0,MIN(Lists!L$21,$AK38)-MAX(Lists!L$22,$AJ38))/($AK38-$AJ38))+N($G38)*IF($AM38-$AL38&lt;1,($AL38&gt;Lists!L$22)*($AL38&lt;=Lists!L$21),MAX(0,MIN(Lists!L$21,$AM38)-MAX(Lists!L$22,$AL38))/($AM38-$AL38))))))))</f>
        <v>0</v>
      </c>
      <c r="W38" s="53" t="n">
        <f aca="false">IF($H38=0,0,IF($AP38="X",0,IF($AP38="S",$H38/$AO38*(MIN($AO38,MAX(0,INT((Lists!M$21-N($J38))/7)+1))-MIN($AO38,MAX(0,INT((Lists!M$22-N($J38))/7)+1))),IF($AP38="D",$H38*MAX(0,MIN(Lists!M$21,N($J38)+$AO38)-MAX(Lists!M$22,N($J38)))/$AO38,IF($AP38="M",$H38/$AO38*(IF(Lists!M$21&lt;$J38,0,MIN($AO38,(((YEAR(Lists!M$21)-YEAR($J38))*12+MONTH(Lists!M$21)-MONTH($J38))-(EDATE($J38,((YEAR(Lists!M$21)-YEAR($J38))*12+MONTH(Lists!M$21)-MONTH($J38)))&gt;Lists!M$21)+1)))-IF(Lists!M$22&lt;$J38,0,MIN($AO38,(((YEAR(Lists!M$22)-YEAR($J38))*12+MONTH(Lists!M$22)-MONTH($J38))-(EDATE($J38,((YEAR(Lists!M$22)-YEAR($J38))*12+MONTH(Lists!M$22)-MONTH($J38)))&gt;Lists!M$22)+1)))),IF($AP38="F",IF(N($K38)&lt;=0,0,MIN(MAX(0,$H38),N($K38)*IF(Lists!M$21&lt;$J38,0,(((YEAR(Lists!M$21)-YEAR($J38))*12+MONTH(Lists!M$21)-MONTH($J38))-(EDATE($J38,((YEAR(Lists!M$21)-YEAR($J38))*12+MONTH(Lists!M$21)-MONTH($J38)))&gt;Lists!M$21)+1)))-MIN(MAX(0,$H38),N($K38)*IF(Lists!M$22&lt;$J38,0,(((YEAR(Lists!M$22)-YEAR($J38))*12+MONTH(Lists!M$22)-MONTH($J38))-(EDATE($J38,((YEAR(Lists!M$22)-YEAR($J38))*12+MONTH(Lists!M$22)-MONTH($J38)))&gt;Lists!M$22)+1)))),N($C38)*IF($AE38-$AD38&lt;1,($AD38&gt;Lists!M$22)*($AD38&lt;=Lists!M$21),MAX(0,MIN(Lists!M$21,$AE38)-MAX(Lists!M$22,$AD38))/($AE38-$AD38))+N($D38)*IF($AG38-$AF38&lt;1,($AF38&gt;Lists!M$22)*($AF38&lt;=Lists!M$21),MAX(0,MIN(Lists!M$21,$AG38)-MAX(Lists!M$22,$AF38))/($AG38-$AF38))+N($E38)*IF($AI38-$AH38&lt;1,($AH38&gt;Lists!M$22)*($AH38&lt;=Lists!M$21),MAX(0,MIN(Lists!M$21,$AI38)-MAX(Lists!M$22,$AH38))/($AI38-$AH38))+N($F38)*IF($AK38-$AJ38&lt;1,($AJ38&gt;Lists!M$22)*($AJ38&lt;=Lists!M$21),MAX(0,MIN(Lists!M$21,$AK38)-MAX(Lists!M$22,$AJ38))/($AK38-$AJ38))+N($G38)*IF($AM38-$AL38&lt;1,($AL38&gt;Lists!M$22)*($AL38&lt;=Lists!M$21),MAX(0,MIN(Lists!M$21,$AM38)-MAX(Lists!M$22,$AL38))/($AM38-$AL38))))))))</f>
        <v>0</v>
      </c>
      <c r="X38" s="53" t="n">
        <f aca="false">IF($H38=0,0,IF($AP38="X",0,IF($AP38="S",$H38/$AO38*(MIN($AO38,MAX(0,INT((Lists!N$21-N($J38))/7)+1))-MIN($AO38,MAX(0,INT((Lists!N$22-N($J38))/7)+1))),IF($AP38="D",$H38*MAX(0,MIN(Lists!N$21,N($J38)+$AO38)-MAX(Lists!N$22,N($J38)))/$AO38,IF($AP38="M",$H38/$AO38*(IF(Lists!N$21&lt;$J38,0,MIN($AO38,(((YEAR(Lists!N$21)-YEAR($J38))*12+MONTH(Lists!N$21)-MONTH($J38))-(EDATE($J38,((YEAR(Lists!N$21)-YEAR($J38))*12+MONTH(Lists!N$21)-MONTH($J38)))&gt;Lists!N$21)+1)))-IF(Lists!N$22&lt;$J38,0,MIN($AO38,(((YEAR(Lists!N$22)-YEAR($J38))*12+MONTH(Lists!N$22)-MONTH($J38))-(EDATE($J38,((YEAR(Lists!N$22)-YEAR($J38))*12+MONTH(Lists!N$22)-MONTH($J38)))&gt;Lists!N$22)+1)))),IF($AP38="F",IF(N($K38)&lt;=0,0,MIN(MAX(0,$H38),N($K38)*IF(Lists!N$21&lt;$J38,0,(((YEAR(Lists!N$21)-YEAR($J38))*12+MONTH(Lists!N$21)-MONTH($J38))-(EDATE($J38,((YEAR(Lists!N$21)-YEAR($J38))*12+MONTH(Lists!N$21)-MONTH($J38)))&gt;Lists!N$21)+1)))-MIN(MAX(0,$H38),N($K38)*IF(Lists!N$22&lt;$J38,0,(((YEAR(Lists!N$22)-YEAR($J38))*12+MONTH(Lists!N$22)-MONTH($J38))-(EDATE($J38,((YEAR(Lists!N$22)-YEAR($J38))*12+MONTH(Lists!N$22)-MONTH($J38)))&gt;Lists!N$22)+1)))),N($C38)*IF($AE38-$AD38&lt;1,($AD38&gt;Lists!N$22)*($AD38&lt;=Lists!N$21),MAX(0,MIN(Lists!N$21,$AE38)-MAX(Lists!N$22,$AD38))/($AE38-$AD38))+N($D38)*IF($AG38-$AF38&lt;1,($AF38&gt;Lists!N$22)*($AF38&lt;=Lists!N$21),MAX(0,MIN(Lists!N$21,$AG38)-MAX(Lists!N$22,$AF38))/($AG38-$AF38))+N($E38)*IF($AI38-$AH38&lt;1,($AH38&gt;Lists!N$22)*($AH38&lt;=Lists!N$21),MAX(0,MIN(Lists!N$21,$AI38)-MAX(Lists!N$22,$AH38))/($AI38-$AH38))+N($F38)*IF($AK38-$AJ38&lt;1,($AJ38&gt;Lists!N$22)*($AJ38&lt;=Lists!N$21),MAX(0,MIN(Lists!N$21,$AK38)-MAX(Lists!N$22,$AJ38))/($AK38-$AJ38))+N($G38)*IF($AM38-$AL38&lt;1,($AL38&gt;Lists!N$22)*($AL38&lt;=Lists!N$21),MAX(0,MIN(Lists!N$21,$AM38)-MAX(Lists!N$22,$AL38))/($AM38-$AL38))))))))</f>
        <v>0</v>
      </c>
      <c r="Y38" s="53" t="n">
        <f aca="false">IF($H38=0,0,IF($AP38="X",0,IF($AP38="S",$H38/$AO38*(MIN($AO38,MAX(0,INT((Lists!O$21-N($J38))/7)+1))-MIN($AO38,MAX(0,INT((Lists!O$22-N($J38))/7)+1))),IF($AP38="D",$H38*MAX(0,MIN(Lists!O$21,N($J38)+$AO38)-MAX(Lists!O$22,N($J38)))/$AO38,IF($AP38="M",$H38/$AO38*(IF(Lists!O$21&lt;$J38,0,MIN($AO38,(((YEAR(Lists!O$21)-YEAR($J38))*12+MONTH(Lists!O$21)-MONTH($J38))-(EDATE($J38,((YEAR(Lists!O$21)-YEAR($J38))*12+MONTH(Lists!O$21)-MONTH($J38)))&gt;Lists!O$21)+1)))-IF(Lists!O$22&lt;$J38,0,MIN($AO38,(((YEAR(Lists!O$22)-YEAR($J38))*12+MONTH(Lists!O$22)-MONTH($J38))-(EDATE($J38,((YEAR(Lists!O$22)-YEAR($J38))*12+MONTH(Lists!O$22)-MONTH($J38)))&gt;Lists!O$22)+1)))),IF($AP38="F",IF(N($K38)&lt;=0,0,MIN(MAX(0,$H38),N($K38)*IF(Lists!O$21&lt;$J38,0,(((YEAR(Lists!O$21)-YEAR($J38))*12+MONTH(Lists!O$21)-MONTH($J38))-(EDATE($J38,((YEAR(Lists!O$21)-YEAR($J38))*12+MONTH(Lists!O$21)-MONTH($J38)))&gt;Lists!O$21)+1)))-MIN(MAX(0,$H38),N($K38)*IF(Lists!O$22&lt;$J38,0,(((YEAR(Lists!O$22)-YEAR($J38))*12+MONTH(Lists!O$22)-MONTH($J38))-(EDATE($J38,((YEAR(Lists!O$22)-YEAR($J38))*12+MONTH(Lists!O$22)-MONTH($J38)))&gt;Lists!O$22)+1)))),N($C38)*IF($AE38-$AD38&lt;1,($AD38&gt;Lists!O$22)*($AD38&lt;=Lists!O$21),MAX(0,MIN(Lists!O$21,$AE38)-MAX(Lists!O$22,$AD38))/($AE38-$AD38))+N($D38)*IF($AG38-$AF38&lt;1,($AF38&gt;Lists!O$22)*($AF38&lt;=Lists!O$21),MAX(0,MIN(Lists!O$21,$AG38)-MAX(Lists!O$22,$AF38))/($AG38-$AF38))+N($E38)*IF($AI38-$AH38&lt;1,($AH38&gt;Lists!O$22)*($AH38&lt;=Lists!O$21),MAX(0,MIN(Lists!O$21,$AI38)-MAX(Lists!O$22,$AH38))/($AI38-$AH38))+N($F38)*IF($AK38-$AJ38&lt;1,($AJ38&gt;Lists!O$22)*($AJ38&lt;=Lists!O$21),MAX(0,MIN(Lists!O$21,$AK38)-MAX(Lists!O$22,$AJ38))/($AK38-$AJ38))+N($G38)*IF($AM38-$AL38&lt;1,($AL38&gt;Lists!O$22)*($AL38&lt;=Lists!O$21),MAX(0,MIN(Lists!O$21,$AM38)-MAX(Lists!O$22,$AL38))/($AM38-$AL38))))))))</f>
        <v>0</v>
      </c>
      <c r="Z38" s="46" t="n">
        <f aca="false">SUM(M38:Y38)</f>
        <v>0</v>
      </c>
      <c r="AA38" s="92" t="n">
        <f aca="false">H38-Z38</f>
        <v>0</v>
      </c>
      <c r="AB38" s="55"/>
      <c r="AC38" s="2"/>
      <c r="AD38" s="93" t="n">
        <f aca="false">Setup!$D$10+MAX(0,$AN38-30)</f>
        <v>46365</v>
      </c>
      <c r="AE38" s="93" t="n">
        <f aca="false">Setup!$D$10+IF($AN38-30&lt;0,MAX(Setup!$D$22,$AN38-0),$AN38-0)</f>
        <v>46395</v>
      </c>
      <c r="AF38" s="93" t="n">
        <f aca="false">Setup!$D$10+MAX(0,$AN38-60)</f>
        <v>46335</v>
      </c>
      <c r="AG38" s="93" t="n">
        <f aca="false">Setup!$D$10+IF($AN38-60&lt;0,MAX(Setup!$D$22,$AN38-31),$AN38-31)</f>
        <v>46364</v>
      </c>
      <c r="AH38" s="93" t="n">
        <f aca="false">Setup!$D$10+MAX(0,$AN38-90)</f>
        <v>46335</v>
      </c>
      <c r="AI38" s="93" t="n">
        <f aca="false">Setup!$D$10+IF($AN38-90&lt;0,MAX(Setup!$D$22,$AN38-61),$AN38-61)</f>
        <v>46363</v>
      </c>
      <c r="AJ38" s="93" t="n">
        <f aca="false">Setup!$D$10+MAX(0,$AN38-120)</f>
        <v>46335</v>
      </c>
      <c r="AK38" s="93" t="n">
        <f aca="false">Setup!$D$10+IF($AN38-120&lt;0,MAX(Setup!$D$22,$AN38-91),$AN38-91)</f>
        <v>46363</v>
      </c>
      <c r="AL38" s="93" t="n">
        <f aca="false">IF(Setup!$D$23="Yes",2958465,Setup!$D$10)</f>
        <v>2958465</v>
      </c>
      <c r="AM38" s="93" t="n">
        <f aca="false">IF(AL38=2958465,AL38,Setup!$D$10+Setup!$D$22)</f>
        <v>2958465</v>
      </c>
      <c r="AN38" s="94" t="n">
        <f aca="false">IF(N(L38)=0,Setup!$D$20,L38)</f>
        <v>60</v>
      </c>
      <c r="AO38" s="94" t="n">
        <f aca="false">MAX(1,ROUND(N(K38),0))</f>
        <v>1</v>
      </c>
      <c r="AP38" s="95" t="str">
        <f aca="false">IF(I38="Doubtful","X",IF(N(J38)=0,"A",IF(I38="Specific date","S",IF(I38="Spread over days","D",IF(I38="Monthly on set day","M",IF(I38="Monthly fixed amount","F","A"))))))</f>
        <v>A</v>
      </c>
    </row>
    <row r="39" customFormat="false" ht="15" hidden="false" customHeight="false" outlineLevel="0" collapsed="false">
      <c r="A39" s="87" t="n">
        <v>31</v>
      </c>
      <c r="B39" s="55"/>
      <c r="C39" s="88"/>
      <c r="D39" s="88"/>
      <c r="E39" s="88"/>
      <c r="F39" s="88"/>
      <c r="G39" s="88"/>
      <c r="H39" s="89" t="n">
        <f aca="false">SUM(C39:G39)</f>
        <v>0</v>
      </c>
      <c r="I39" s="58"/>
      <c r="J39" s="90"/>
      <c r="K39" s="91"/>
      <c r="L39" s="80"/>
      <c r="M39" s="53" t="n">
        <f aca="false">IF($H39=0,0,IF($AP39="X",0,IF($AP39="S",$H39/$AO39*(MIN($AO39,MAX(0,INT((Lists!C$21-N($J39))/7)+1))-MIN($AO39,MAX(0,INT((Lists!C$22-N($J39))/7)+1))),IF($AP39="D",$H39*MAX(0,MIN(Lists!C$21,N($J39)+$AO39)-MAX(Lists!C$22,N($J39)))/$AO39,IF($AP39="M",$H39/$AO39*(IF(Lists!C$21&lt;$J39,0,MIN($AO39,(((YEAR(Lists!C$21)-YEAR($J39))*12+MONTH(Lists!C$21)-MONTH($J39))-(EDATE($J39,((YEAR(Lists!C$21)-YEAR($J39))*12+MONTH(Lists!C$21)-MONTH($J39)))&gt;Lists!C$21)+1)))-IF(Lists!C$22&lt;$J39,0,MIN($AO39,(((YEAR(Lists!C$22)-YEAR($J39))*12+MONTH(Lists!C$22)-MONTH($J39))-(EDATE($J39,((YEAR(Lists!C$22)-YEAR($J39))*12+MONTH(Lists!C$22)-MONTH($J39)))&gt;Lists!C$22)+1)))),IF($AP39="F",IF(N($K39)&lt;=0,0,MIN(MAX(0,$H39),N($K39)*IF(Lists!C$21&lt;$J39,0,(((YEAR(Lists!C$21)-YEAR($J39))*12+MONTH(Lists!C$21)-MONTH($J39))-(EDATE($J39,((YEAR(Lists!C$21)-YEAR($J39))*12+MONTH(Lists!C$21)-MONTH($J39)))&gt;Lists!C$21)+1)))-MIN(MAX(0,$H39),N($K39)*IF(Lists!C$22&lt;$J39,0,(((YEAR(Lists!C$22)-YEAR($J39))*12+MONTH(Lists!C$22)-MONTH($J39))-(EDATE($J39,((YEAR(Lists!C$22)-YEAR($J39))*12+MONTH(Lists!C$22)-MONTH($J39)))&gt;Lists!C$22)+1)))),N($C39)*IF($AE39-$AD39&lt;1,($AD39&gt;Lists!C$22)*($AD39&lt;=Lists!C$21),MAX(0,MIN(Lists!C$21,$AE39)-MAX(Lists!C$22,$AD39))/($AE39-$AD39))+N($D39)*IF($AG39-$AF39&lt;1,($AF39&gt;Lists!C$22)*($AF39&lt;=Lists!C$21),MAX(0,MIN(Lists!C$21,$AG39)-MAX(Lists!C$22,$AF39))/($AG39-$AF39))+N($E39)*IF($AI39-$AH39&lt;1,($AH39&gt;Lists!C$22)*($AH39&lt;=Lists!C$21),MAX(0,MIN(Lists!C$21,$AI39)-MAX(Lists!C$22,$AH39))/($AI39-$AH39))+N($F39)*IF($AK39-$AJ39&lt;1,($AJ39&gt;Lists!C$22)*($AJ39&lt;=Lists!C$21),MAX(0,MIN(Lists!C$21,$AK39)-MAX(Lists!C$22,$AJ39))/($AK39-$AJ39))+N($G39)*IF($AM39-$AL39&lt;1,($AL39&gt;Lists!C$22)*($AL39&lt;=Lists!C$21),MAX(0,MIN(Lists!C$21,$AM39)-MAX(Lists!C$22,$AL39))/($AM39-$AL39))))))))</f>
        <v>0</v>
      </c>
      <c r="N39" s="53" t="n">
        <f aca="false">IF($H39=0,0,IF($AP39="X",0,IF($AP39="S",$H39/$AO39*(MIN($AO39,MAX(0,INT((Lists!D$21-N($J39))/7)+1))-MIN($AO39,MAX(0,INT((Lists!D$22-N($J39))/7)+1))),IF($AP39="D",$H39*MAX(0,MIN(Lists!D$21,N($J39)+$AO39)-MAX(Lists!D$22,N($J39)))/$AO39,IF($AP39="M",$H39/$AO39*(IF(Lists!D$21&lt;$J39,0,MIN($AO39,(((YEAR(Lists!D$21)-YEAR($J39))*12+MONTH(Lists!D$21)-MONTH($J39))-(EDATE($J39,((YEAR(Lists!D$21)-YEAR($J39))*12+MONTH(Lists!D$21)-MONTH($J39)))&gt;Lists!D$21)+1)))-IF(Lists!D$22&lt;$J39,0,MIN($AO39,(((YEAR(Lists!D$22)-YEAR($J39))*12+MONTH(Lists!D$22)-MONTH($J39))-(EDATE($J39,((YEAR(Lists!D$22)-YEAR($J39))*12+MONTH(Lists!D$22)-MONTH($J39)))&gt;Lists!D$22)+1)))),IF($AP39="F",IF(N($K39)&lt;=0,0,MIN(MAX(0,$H39),N($K39)*IF(Lists!D$21&lt;$J39,0,(((YEAR(Lists!D$21)-YEAR($J39))*12+MONTH(Lists!D$21)-MONTH($J39))-(EDATE($J39,((YEAR(Lists!D$21)-YEAR($J39))*12+MONTH(Lists!D$21)-MONTH($J39)))&gt;Lists!D$21)+1)))-MIN(MAX(0,$H39),N($K39)*IF(Lists!D$22&lt;$J39,0,(((YEAR(Lists!D$22)-YEAR($J39))*12+MONTH(Lists!D$22)-MONTH($J39))-(EDATE($J39,((YEAR(Lists!D$22)-YEAR($J39))*12+MONTH(Lists!D$22)-MONTH($J39)))&gt;Lists!D$22)+1)))),N($C39)*IF($AE39-$AD39&lt;1,($AD39&gt;Lists!D$22)*($AD39&lt;=Lists!D$21),MAX(0,MIN(Lists!D$21,$AE39)-MAX(Lists!D$22,$AD39))/($AE39-$AD39))+N($D39)*IF($AG39-$AF39&lt;1,($AF39&gt;Lists!D$22)*($AF39&lt;=Lists!D$21),MAX(0,MIN(Lists!D$21,$AG39)-MAX(Lists!D$22,$AF39))/($AG39-$AF39))+N($E39)*IF($AI39-$AH39&lt;1,($AH39&gt;Lists!D$22)*($AH39&lt;=Lists!D$21),MAX(0,MIN(Lists!D$21,$AI39)-MAX(Lists!D$22,$AH39))/($AI39-$AH39))+N($F39)*IF($AK39-$AJ39&lt;1,($AJ39&gt;Lists!D$22)*($AJ39&lt;=Lists!D$21),MAX(0,MIN(Lists!D$21,$AK39)-MAX(Lists!D$22,$AJ39))/($AK39-$AJ39))+N($G39)*IF($AM39-$AL39&lt;1,($AL39&gt;Lists!D$22)*($AL39&lt;=Lists!D$21),MAX(0,MIN(Lists!D$21,$AM39)-MAX(Lists!D$22,$AL39))/($AM39-$AL39))))))))</f>
        <v>0</v>
      </c>
      <c r="O39" s="53" t="n">
        <f aca="false">IF($H39=0,0,IF($AP39="X",0,IF($AP39="S",$H39/$AO39*(MIN($AO39,MAX(0,INT((Lists!E$21-N($J39))/7)+1))-MIN($AO39,MAX(0,INT((Lists!E$22-N($J39))/7)+1))),IF($AP39="D",$H39*MAX(0,MIN(Lists!E$21,N($J39)+$AO39)-MAX(Lists!E$22,N($J39)))/$AO39,IF($AP39="M",$H39/$AO39*(IF(Lists!E$21&lt;$J39,0,MIN($AO39,(((YEAR(Lists!E$21)-YEAR($J39))*12+MONTH(Lists!E$21)-MONTH($J39))-(EDATE($J39,((YEAR(Lists!E$21)-YEAR($J39))*12+MONTH(Lists!E$21)-MONTH($J39)))&gt;Lists!E$21)+1)))-IF(Lists!E$22&lt;$J39,0,MIN($AO39,(((YEAR(Lists!E$22)-YEAR($J39))*12+MONTH(Lists!E$22)-MONTH($J39))-(EDATE($J39,((YEAR(Lists!E$22)-YEAR($J39))*12+MONTH(Lists!E$22)-MONTH($J39)))&gt;Lists!E$22)+1)))),IF($AP39="F",IF(N($K39)&lt;=0,0,MIN(MAX(0,$H39),N($K39)*IF(Lists!E$21&lt;$J39,0,(((YEAR(Lists!E$21)-YEAR($J39))*12+MONTH(Lists!E$21)-MONTH($J39))-(EDATE($J39,((YEAR(Lists!E$21)-YEAR($J39))*12+MONTH(Lists!E$21)-MONTH($J39)))&gt;Lists!E$21)+1)))-MIN(MAX(0,$H39),N($K39)*IF(Lists!E$22&lt;$J39,0,(((YEAR(Lists!E$22)-YEAR($J39))*12+MONTH(Lists!E$22)-MONTH($J39))-(EDATE($J39,((YEAR(Lists!E$22)-YEAR($J39))*12+MONTH(Lists!E$22)-MONTH($J39)))&gt;Lists!E$22)+1)))),N($C39)*IF($AE39-$AD39&lt;1,($AD39&gt;Lists!E$22)*($AD39&lt;=Lists!E$21),MAX(0,MIN(Lists!E$21,$AE39)-MAX(Lists!E$22,$AD39))/($AE39-$AD39))+N($D39)*IF($AG39-$AF39&lt;1,($AF39&gt;Lists!E$22)*($AF39&lt;=Lists!E$21),MAX(0,MIN(Lists!E$21,$AG39)-MAX(Lists!E$22,$AF39))/($AG39-$AF39))+N($E39)*IF($AI39-$AH39&lt;1,($AH39&gt;Lists!E$22)*($AH39&lt;=Lists!E$21),MAX(0,MIN(Lists!E$21,$AI39)-MAX(Lists!E$22,$AH39))/($AI39-$AH39))+N($F39)*IF($AK39-$AJ39&lt;1,($AJ39&gt;Lists!E$22)*($AJ39&lt;=Lists!E$21),MAX(0,MIN(Lists!E$21,$AK39)-MAX(Lists!E$22,$AJ39))/($AK39-$AJ39))+N($G39)*IF($AM39-$AL39&lt;1,($AL39&gt;Lists!E$22)*($AL39&lt;=Lists!E$21),MAX(0,MIN(Lists!E$21,$AM39)-MAX(Lists!E$22,$AL39))/($AM39-$AL39))))))))</f>
        <v>0</v>
      </c>
      <c r="P39" s="53" t="n">
        <f aca="false">IF($H39=0,0,IF($AP39="X",0,IF($AP39="S",$H39/$AO39*(MIN($AO39,MAX(0,INT((Lists!F$21-N($J39))/7)+1))-MIN($AO39,MAX(0,INT((Lists!F$22-N($J39))/7)+1))),IF($AP39="D",$H39*MAX(0,MIN(Lists!F$21,N($J39)+$AO39)-MAX(Lists!F$22,N($J39)))/$AO39,IF($AP39="M",$H39/$AO39*(IF(Lists!F$21&lt;$J39,0,MIN($AO39,(((YEAR(Lists!F$21)-YEAR($J39))*12+MONTH(Lists!F$21)-MONTH($J39))-(EDATE($J39,((YEAR(Lists!F$21)-YEAR($J39))*12+MONTH(Lists!F$21)-MONTH($J39)))&gt;Lists!F$21)+1)))-IF(Lists!F$22&lt;$J39,0,MIN($AO39,(((YEAR(Lists!F$22)-YEAR($J39))*12+MONTH(Lists!F$22)-MONTH($J39))-(EDATE($J39,((YEAR(Lists!F$22)-YEAR($J39))*12+MONTH(Lists!F$22)-MONTH($J39)))&gt;Lists!F$22)+1)))),IF($AP39="F",IF(N($K39)&lt;=0,0,MIN(MAX(0,$H39),N($K39)*IF(Lists!F$21&lt;$J39,0,(((YEAR(Lists!F$21)-YEAR($J39))*12+MONTH(Lists!F$21)-MONTH($J39))-(EDATE($J39,((YEAR(Lists!F$21)-YEAR($J39))*12+MONTH(Lists!F$21)-MONTH($J39)))&gt;Lists!F$21)+1)))-MIN(MAX(0,$H39),N($K39)*IF(Lists!F$22&lt;$J39,0,(((YEAR(Lists!F$22)-YEAR($J39))*12+MONTH(Lists!F$22)-MONTH($J39))-(EDATE($J39,((YEAR(Lists!F$22)-YEAR($J39))*12+MONTH(Lists!F$22)-MONTH($J39)))&gt;Lists!F$22)+1)))),N($C39)*IF($AE39-$AD39&lt;1,($AD39&gt;Lists!F$22)*($AD39&lt;=Lists!F$21),MAX(0,MIN(Lists!F$21,$AE39)-MAX(Lists!F$22,$AD39))/($AE39-$AD39))+N($D39)*IF($AG39-$AF39&lt;1,($AF39&gt;Lists!F$22)*($AF39&lt;=Lists!F$21),MAX(0,MIN(Lists!F$21,$AG39)-MAX(Lists!F$22,$AF39))/($AG39-$AF39))+N($E39)*IF($AI39-$AH39&lt;1,($AH39&gt;Lists!F$22)*($AH39&lt;=Lists!F$21),MAX(0,MIN(Lists!F$21,$AI39)-MAX(Lists!F$22,$AH39))/($AI39-$AH39))+N($F39)*IF($AK39-$AJ39&lt;1,($AJ39&gt;Lists!F$22)*($AJ39&lt;=Lists!F$21),MAX(0,MIN(Lists!F$21,$AK39)-MAX(Lists!F$22,$AJ39))/($AK39-$AJ39))+N($G39)*IF($AM39-$AL39&lt;1,($AL39&gt;Lists!F$22)*($AL39&lt;=Lists!F$21),MAX(0,MIN(Lists!F$21,$AM39)-MAX(Lists!F$22,$AL39))/($AM39-$AL39))))))))</f>
        <v>0</v>
      </c>
      <c r="Q39" s="53" t="n">
        <f aca="false">IF($H39=0,0,IF($AP39="X",0,IF($AP39="S",$H39/$AO39*(MIN($AO39,MAX(0,INT((Lists!G$21-N($J39))/7)+1))-MIN($AO39,MAX(0,INT((Lists!G$22-N($J39))/7)+1))),IF($AP39="D",$H39*MAX(0,MIN(Lists!G$21,N($J39)+$AO39)-MAX(Lists!G$22,N($J39)))/$AO39,IF($AP39="M",$H39/$AO39*(IF(Lists!G$21&lt;$J39,0,MIN($AO39,(((YEAR(Lists!G$21)-YEAR($J39))*12+MONTH(Lists!G$21)-MONTH($J39))-(EDATE($J39,((YEAR(Lists!G$21)-YEAR($J39))*12+MONTH(Lists!G$21)-MONTH($J39)))&gt;Lists!G$21)+1)))-IF(Lists!G$22&lt;$J39,0,MIN($AO39,(((YEAR(Lists!G$22)-YEAR($J39))*12+MONTH(Lists!G$22)-MONTH($J39))-(EDATE($J39,((YEAR(Lists!G$22)-YEAR($J39))*12+MONTH(Lists!G$22)-MONTH($J39)))&gt;Lists!G$22)+1)))),IF($AP39="F",IF(N($K39)&lt;=0,0,MIN(MAX(0,$H39),N($K39)*IF(Lists!G$21&lt;$J39,0,(((YEAR(Lists!G$21)-YEAR($J39))*12+MONTH(Lists!G$21)-MONTH($J39))-(EDATE($J39,((YEAR(Lists!G$21)-YEAR($J39))*12+MONTH(Lists!G$21)-MONTH($J39)))&gt;Lists!G$21)+1)))-MIN(MAX(0,$H39),N($K39)*IF(Lists!G$22&lt;$J39,0,(((YEAR(Lists!G$22)-YEAR($J39))*12+MONTH(Lists!G$22)-MONTH($J39))-(EDATE($J39,((YEAR(Lists!G$22)-YEAR($J39))*12+MONTH(Lists!G$22)-MONTH($J39)))&gt;Lists!G$22)+1)))),N($C39)*IF($AE39-$AD39&lt;1,($AD39&gt;Lists!G$22)*($AD39&lt;=Lists!G$21),MAX(0,MIN(Lists!G$21,$AE39)-MAX(Lists!G$22,$AD39))/($AE39-$AD39))+N($D39)*IF($AG39-$AF39&lt;1,($AF39&gt;Lists!G$22)*($AF39&lt;=Lists!G$21),MAX(0,MIN(Lists!G$21,$AG39)-MAX(Lists!G$22,$AF39))/($AG39-$AF39))+N($E39)*IF($AI39-$AH39&lt;1,($AH39&gt;Lists!G$22)*($AH39&lt;=Lists!G$21),MAX(0,MIN(Lists!G$21,$AI39)-MAX(Lists!G$22,$AH39))/($AI39-$AH39))+N($F39)*IF($AK39-$AJ39&lt;1,($AJ39&gt;Lists!G$22)*($AJ39&lt;=Lists!G$21),MAX(0,MIN(Lists!G$21,$AK39)-MAX(Lists!G$22,$AJ39))/($AK39-$AJ39))+N($G39)*IF($AM39-$AL39&lt;1,($AL39&gt;Lists!G$22)*($AL39&lt;=Lists!G$21),MAX(0,MIN(Lists!G$21,$AM39)-MAX(Lists!G$22,$AL39))/($AM39-$AL39))))))))</f>
        <v>0</v>
      </c>
      <c r="R39" s="53" t="n">
        <f aca="false">IF($H39=0,0,IF($AP39="X",0,IF($AP39="S",$H39/$AO39*(MIN($AO39,MAX(0,INT((Lists!H$21-N($J39))/7)+1))-MIN($AO39,MAX(0,INT((Lists!H$22-N($J39))/7)+1))),IF($AP39="D",$H39*MAX(0,MIN(Lists!H$21,N($J39)+$AO39)-MAX(Lists!H$22,N($J39)))/$AO39,IF($AP39="M",$H39/$AO39*(IF(Lists!H$21&lt;$J39,0,MIN($AO39,(((YEAR(Lists!H$21)-YEAR($J39))*12+MONTH(Lists!H$21)-MONTH($J39))-(EDATE($J39,((YEAR(Lists!H$21)-YEAR($J39))*12+MONTH(Lists!H$21)-MONTH($J39)))&gt;Lists!H$21)+1)))-IF(Lists!H$22&lt;$J39,0,MIN($AO39,(((YEAR(Lists!H$22)-YEAR($J39))*12+MONTH(Lists!H$22)-MONTH($J39))-(EDATE($J39,((YEAR(Lists!H$22)-YEAR($J39))*12+MONTH(Lists!H$22)-MONTH($J39)))&gt;Lists!H$22)+1)))),IF($AP39="F",IF(N($K39)&lt;=0,0,MIN(MAX(0,$H39),N($K39)*IF(Lists!H$21&lt;$J39,0,(((YEAR(Lists!H$21)-YEAR($J39))*12+MONTH(Lists!H$21)-MONTH($J39))-(EDATE($J39,((YEAR(Lists!H$21)-YEAR($J39))*12+MONTH(Lists!H$21)-MONTH($J39)))&gt;Lists!H$21)+1)))-MIN(MAX(0,$H39),N($K39)*IF(Lists!H$22&lt;$J39,0,(((YEAR(Lists!H$22)-YEAR($J39))*12+MONTH(Lists!H$22)-MONTH($J39))-(EDATE($J39,((YEAR(Lists!H$22)-YEAR($J39))*12+MONTH(Lists!H$22)-MONTH($J39)))&gt;Lists!H$22)+1)))),N($C39)*IF($AE39-$AD39&lt;1,($AD39&gt;Lists!H$22)*($AD39&lt;=Lists!H$21),MAX(0,MIN(Lists!H$21,$AE39)-MAX(Lists!H$22,$AD39))/($AE39-$AD39))+N($D39)*IF($AG39-$AF39&lt;1,($AF39&gt;Lists!H$22)*($AF39&lt;=Lists!H$21),MAX(0,MIN(Lists!H$21,$AG39)-MAX(Lists!H$22,$AF39))/($AG39-$AF39))+N($E39)*IF($AI39-$AH39&lt;1,($AH39&gt;Lists!H$22)*($AH39&lt;=Lists!H$21),MAX(0,MIN(Lists!H$21,$AI39)-MAX(Lists!H$22,$AH39))/($AI39-$AH39))+N($F39)*IF($AK39-$AJ39&lt;1,($AJ39&gt;Lists!H$22)*($AJ39&lt;=Lists!H$21),MAX(0,MIN(Lists!H$21,$AK39)-MAX(Lists!H$22,$AJ39))/($AK39-$AJ39))+N($G39)*IF($AM39-$AL39&lt;1,($AL39&gt;Lists!H$22)*($AL39&lt;=Lists!H$21),MAX(0,MIN(Lists!H$21,$AM39)-MAX(Lists!H$22,$AL39))/($AM39-$AL39))))))))</f>
        <v>0</v>
      </c>
      <c r="S39" s="53" t="n">
        <f aca="false">IF($H39=0,0,IF($AP39="X",0,IF($AP39="S",$H39/$AO39*(MIN($AO39,MAX(0,INT((Lists!I$21-N($J39))/7)+1))-MIN($AO39,MAX(0,INT((Lists!I$22-N($J39))/7)+1))),IF($AP39="D",$H39*MAX(0,MIN(Lists!I$21,N($J39)+$AO39)-MAX(Lists!I$22,N($J39)))/$AO39,IF($AP39="M",$H39/$AO39*(IF(Lists!I$21&lt;$J39,0,MIN($AO39,(((YEAR(Lists!I$21)-YEAR($J39))*12+MONTH(Lists!I$21)-MONTH($J39))-(EDATE($J39,((YEAR(Lists!I$21)-YEAR($J39))*12+MONTH(Lists!I$21)-MONTH($J39)))&gt;Lists!I$21)+1)))-IF(Lists!I$22&lt;$J39,0,MIN($AO39,(((YEAR(Lists!I$22)-YEAR($J39))*12+MONTH(Lists!I$22)-MONTH($J39))-(EDATE($J39,((YEAR(Lists!I$22)-YEAR($J39))*12+MONTH(Lists!I$22)-MONTH($J39)))&gt;Lists!I$22)+1)))),IF($AP39="F",IF(N($K39)&lt;=0,0,MIN(MAX(0,$H39),N($K39)*IF(Lists!I$21&lt;$J39,0,(((YEAR(Lists!I$21)-YEAR($J39))*12+MONTH(Lists!I$21)-MONTH($J39))-(EDATE($J39,((YEAR(Lists!I$21)-YEAR($J39))*12+MONTH(Lists!I$21)-MONTH($J39)))&gt;Lists!I$21)+1)))-MIN(MAX(0,$H39),N($K39)*IF(Lists!I$22&lt;$J39,0,(((YEAR(Lists!I$22)-YEAR($J39))*12+MONTH(Lists!I$22)-MONTH($J39))-(EDATE($J39,((YEAR(Lists!I$22)-YEAR($J39))*12+MONTH(Lists!I$22)-MONTH($J39)))&gt;Lists!I$22)+1)))),N($C39)*IF($AE39-$AD39&lt;1,($AD39&gt;Lists!I$22)*($AD39&lt;=Lists!I$21),MAX(0,MIN(Lists!I$21,$AE39)-MAX(Lists!I$22,$AD39))/($AE39-$AD39))+N($D39)*IF($AG39-$AF39&lt;1,($AF39&gt;Lists!I$22)*($AF39&lt;=Lists!I$21),MAX(0,MIN(Lists!I$21,$AG39)-MAX(Lists!I$22,$AF39))/($AG39-$AF39))+N($E39)*IF($AI39-$AH39&lt;1,($AH39&gt;Lists!I$22)*($AH39&lt;=Lists!I$21),MAX(0,MIN(Lists!I$21,$AI39)-MAX(Lists!I$22,$AH39))/($AI39-$AH39))+N($F39)*IF($AK39-$AJ39&lt;1,($AJ39&gt;Lists!I$22)*($AJ39&lt;=Lists!I$21),MAX(0,MIN(Lists!I$21,$AK39)-MAX(Lists!I$22,$AJ39))/($AK39-$AJ39))+N($G39)*IF($AM39-$AL39&lt;1,($AL39&gt;Lists!I$22)*($AL39&lt;=Lists!I$21),MAX(0,MIN(Lists!I$21,$AM39)-MAX(Lists!I$22,$AL39))/($AM39-$AL39))))))))</f>
        <v>0</v>
      </c>
      <c r="T39" s="53" t="n">
        <f aca="false">IF($H39=0,0,IF($AP39="X",0,IF($AP39="S",$H39/$AO39*(MIN($AO39,MAX(0,INT((Lists!J$21-N($J39))/7)+1))-MIN($AO39,MAX(0,INT((Lists!J$22-N($J39))/7)+1))),IF($AP39="D",$H39*MAX(0,MIN(Lists!J$21,N($J39)+$AO39)-MAX(Lists!J$22,N($J39)))/$AO39,IF($AP39="M",$H39/$AO39*(IF(Lists!J$21&lt;$J39,0,MIN($AO39,(((YEAR(Lists!J$21)-YEAR($J39))*12+MONTH(Lists!J$21)-MONTH($J39))-(EDATE($J39,((YEAR(Lists!J$21)-YEAR($J39))*12+MONTH(Lists!J$21)-MONTH($J39)))&gt;Lists!J$21)+1)))-IF(Lists!J$22&lt;$J39,0,MIN($AO39,(((YEAR(Lists!J$22)-YEAR($J39))*12+MONTH(Lists!J$22)-MONTH($J39))-(EDATE($J39,((YEAR(Lists!J$22)-YEAR($J39))*12+MONTH(Lists!J$22)-MONTH($J39)))&gt;Lists!J$22)+1)))),IF($AP39="F",IF(N($K39)&lt;=0,0,MIN(MAX(0,$H39),N($K39)*IF(Lists!J$21&lt;$J39,0,(((YEAR(Lists!J$21)-YEAR($J39))*12+MONTH(Lists!J$21)-MONTH($J39))-(EDATE($J39,((YEAR(Lists!J$21)-YEAR($J39))*12+MONTH(Lists!J$21)-MONTH($J39)))&gt;Lists!J$21)+1)))-MIN(MAX(0,$H39),N($K39)*IF(Lists!J$22&lt;$J39,0,(((YEAR(Lists!J$22)-YEAR($J39))*12+MONTH(Lists!J$22)-MONTH($J39))-(EDATE($J39,((YEAR(Lists!J$22)-YEAR($J39))*12+MONTH(Lists!J$22)-MONTH($J39)))&gt;Lists!J$22)+1)))),N($C39)*IF($AE39-$AD39&lt;1,($AD39&gt;Lists!J$22)*($AD39&lt;=Lists!J$21),MAX(0,MIN(Lists!J$21,$AE39)-MAX(Lists!J$22,$AD39))/($AE39-$AD39))+N($D39)*IF($AG39-$AF39&lt;1,($AF39&gt;Lists!J$22)*($AF39&lt;=Lists!J$21),MAX(0,MIN(Lists!J$21,$AG39)-MAX(Lists!J$22,$AF39))/($AG39-$AF39))+N($E39)*IF($AI39-$AH39&lt;1,($AH39&gt;Lists!J$22)*($AH39&lt;=Lists!J$21),MAX(0,MIN(Lists!J$21,$AI39)-MAX(Lists!J$22,$AH39))/($AI39-$AH39))+N($F39)*IF($AK39-$AJ39&lt;1,($AJ39&gt;Lists!J$22)*($AJ39&lt;=Lists!J$21),MAX(0,MIN(Lists!J$21,$AK39)-MAX(Lists!J$22,$AJ39))/($AK39-$AJ39))+N($G39)*IF($AM39-$AL39&lt;1,($AL39&gt;Lists!J$22)*($AL39&lt;=Lists!J$21),MAX(0,MIN(Lists!J$21,$AM39)-MAX(Lists!J$22,$AL39))/($AM39-$AL39))))))))</f>
        <v>0</v>
      </c>
      <c r="U39" s="53" t="n">
        <f aca="false">IF($H39=0,0,IF($AP39="X",0,IF($AP39="S",$H39/$AO39*(MIN($AO39,MAX(0,INT((Lists!K$21-N($J39))/7)+1))-MIN($AO39,MAX(0,INT((Lists!K$22-N($J39))/7)+1))),IF($AP39="D",$H39*MAX(0,MIN(Lists!K$21,N($J39)+$AO39)-MAX(Lists!K$22,N($J39)))/$AO39,IF($AP39="M",$H39/$AO39*(IF(Lists!K$21&lt;$J39,0,MIN($AO39,(((YEAR(Lists!K$21)-YEAR($J39))*12+MONTH(Lists!K$21)-MONTH($J39))-(EDATE($J39,((YEAR(Lists!K$21)-YEAR($J39))*12+MONTH(Lists!K$21)-MONTH($J39)))&gt;Lists!K$21)+1)))-IF(Lists!K$22&lt;$J39,0,MIN($AO39,(((YEAR(Lists!K$22)-YEAR($J39))*12+MONTH(Lists!K$22)-MONTH($J39))-(EDATE($J39,((YEAR(Lists!K$22)-YEAR($J39))*12+MONTH(Lists!K$22)-MONTH($J39)))&gt;Lists!K$22)+1)))),IF($AP39="F",IF(N($K39)&lt;=0,0,MIN(MAX(0,$H39),N($K39)*IF(Lists!K$21&lt;$J39,0,(((YEAR(Lists!K$21)-YEAR($J39))*12+MONTH(Lists!K$21)-MONTH($J39))-(EDATE($J39,((YEAR(Lists!K$21)-YEAR($J39))*12+MONTH(Lists!K$21)-MONTH($J39)))&gt;Lists!K$21)+1)))-MIN(MAX(0,$H39),N($K39)*IF(Lists!K$22&lt;$J39,0,(((YEAR(Lists!K$22)-YEAR($J39))*12+MONTH(Lists!K$22)-MONTH($J39))-(EDATE($J39,((YEAR(Lists!K$22)-YEAR($J39))*12+MONTH(Lists!K$22)-MONTH($J39)))&gt;Lists!K$22)+1)))),N($C39)*IF($AE39-$AD39&lt;1,($AD39&gt;Lists!K$22)*($AD39&lt;=Lists!K$21),MAX(0,MIN(Lists!K$21,$AE39)-MAX(Lists!K$22,$AD39))/($AE39-$AD39))+N($D39)*IF($AG39-$AF39&lt;1,($AF39&gt;Lists!K$22)*($AF39&lt;=Lists!K$21),MAX(0,MIN(Lists!K$21,$AG39)-MAX(Lists!K$22,$AF39))/($AG39-$AF39))+N($E39)*IF($AI39-$AH39&lt;1,($AH39&gt;Lists!K$22)*($AH39&lt;=Lists!K$21),MAX(0,MIN(Lists!K$21,$AI39)-MAX(Lists!K$22,$AH39))/($AI39-$AH39))+N($F39)*IF($AK39-$AJ39&lt;1,($AJ39&gt;Lists!K$22)*($AJ39&lt;=Lists!K$21),MAX(0,MIN(Lists!K$21,$AK39)-MAX(Lists!K$22,$AJ39))/($AK39-$AJ39))+N($G39)*IF($AM39-$AL39&lt;1,($AL39&gt;Lists!K$22)*($AL39&lt;=Lists!K$21),MAX(0,MIN(Lists!K$21,$AM39)-MAX(Lists!K$22,$AL39))/($AM39-$AL39))))))))</f>
        <v>0</v>
      </c>
      <c r="V39" s="53" t="n">
        <f aca="false">IF($H39=0,0,IF($AP39="X",0,IF($AP39="S",$H39/$AO39*(MIN($AO39,MAX(0,INT((Lists!L$21-N($J39))/7)+1))-MIN($AO39,MAX(0,INT((Lists!L$22-N($J39))/7)+1))),IF($AP39="D",$H39*MAX(0,MIN(Lists!L$21,N($J39)+$AO39)-MAX(Lists!L$22,N($J39)))/$AO39,IF($AP39="M",$H39/$AO39*(IF(Lists!L$21&lt;$J39,0,MIN($AO39,(((YEAR(Lists!L$21)-YEAR($J39))*12+MONTH(Lists!L$21)-MONTH($J39))-(EDATE($J39,((YEAR(Lists!L$21)-YEAR($J39))*12+MONTH(Lists!L$21)-MONTH($J39)))&gt;Lists!L$21)+1)))-IF(Lists!L$22&lt;$J39,0,MIN($AO39,(((YEAR(Lists!L$22)-YEAR($J39))*12+MONTH(Lists!L$22)-MONTH($J39))-(EDATE($J39,((YEAR(Lists!L$22)-YEAR($J39))*12+MONTH(Lists!L$22)-MONTH($J39)))&gt;Lists!L$22)+1)))),IF($AP39="F",IF(N($K39)&lt;=0,0,MIN(MAX(0,$H39),N($K39)*IF(Lists!L$21&lt;$J39,0,(((YEAR(Lists!L$21)-YEAR($J39))*12+MONTH(Lists!L$21)-MONTH($J39))-(EDATE($J39,((YEAR(Lists!L$21)-YEAR($J39))*12+MONTH(Lists!L$21)-MONTH($J39)))&gt;Lists!L$21)+1)))-MIN(MAX(0,$H39),N($K39)*IF(Lists!L$22&lt;$J39,0,(((YEAR(Lists!L$22)-YEAR($J39))*12+MONTH(Lists!L$22)-MONTH($J39))-(EDATE($J39,((YEAR(Lists!L$22)-YEAR($J39))*12+MONTH(Lists!L$22)-MONTH($J39)))&gt;Lists!L$22)+1)))),N($C39)*IF($AE39-$AD39&lt;1,($AD39&gt;Lists!L$22)*($AD39&lt;=Lists!L$21),MAX(0,MIN(Lists!L$21,$AE39)-MAX(Lists!L$22,$AD39))/($AE39-$AD39))+N($D39)*IF($AG39-$AF39&lt;1,($AF39&gt;Lists!L$22)*($AF39&lt;=Lists!L$21),MAX(0,MIN(Lists!L$21,$AG39)-MAX(Lists!L$22,$AF39))/($AG39-$AF39))+N($E39)*IF($AI39-$AH39&lt;1,($AH39&gt;Lists!L$22)*($AH39&lt;=Lists!L$21),MAX(0,MIN(Lists!L$21,$AI39)-MAX(Lists!L$22,$AH39))/($AI39-$AH39))+N($F39)*IF($AK39-$AJ39&lt;1,($AJ39&gt;Lists!L$22)*($AJ39&lt;=Lists!L$21),MAX(0,MIN(Lists!L$21,$AK39)-MAX(Lists!L$22,$AJ39))/($AK39-$AJ39))+N($G39)*IF($AM39-$AL39&lt;1,($AL39&gt;Lists!L$22)*($AL39&lt;=Lists!L$21),MAX(0,MIN(Lists!L$21,$AM39)-MAX(Lists!L$22,$AL39))/($AM39-$AL39))))))))</f>
        <v>0</v>
      </c>
      <c r="W39" s="53" t="n">
        <f aca="false">IF($H39=0,0,IF($AP39="X",0,IF($AP39="S",$H39/$AO39*(MIN($AO39,MAX(0,INT((Lists!M$21-N($J39))/7)+1))-MIN($AO39,MAX(0,INT((Lists!M$22-N($J39))/7)+1))),IF($AP39="D",$H39*MAX(0,MIN(Lists!M$21,N($J39)+$AO39)-MAX(Lists!M$22,N($J39)))/$AO39,IF($AP39="M",$H39/$AO39*(IF(Lists!M$21&lt;$J39,0,MIN($AO39,(((YEAR(Lists!M$21)-YEAR($J39))*12+MONTH(Lists!M$21)-MONTH($J39))-(EDATE($J39,((YEAR(Lists!M$21)-YEAR($J39))*12+MONTH(Lists!M$21)-MONTH($J39)))&gt;Lists!M$21)+1)))-IF(Lists!M$22&lt;$J39,0,MIN($AO39,(((YEAR(Lists!M$22)-YEAR($J39))*12+MONTH(Lists!M$22)-MONTH($J39))-(EDATE($J39,((YEAR(Lists!M$22)-YEAR($J39))*12+MONTH(Lists!M$22)-MONTH($J39)))&gt;Lists!M$22)+1)))),IF($AP39="F",IF(N($K39)&lt;=0,0,MIN(MAX(0,$H39),N($K39)*IF(Lists!M$21&lt;$J39,0,(((YEAR(Lists!M$21)-YEAR($J39))*12+MONTH(Lists!M$21)-MONTH($J39))-(EDATE($J39,((YEAR(Lists!M$21)-YEAR($J39))*12+MONTH(Lists!M$21)-MONTH($J39)))&gt;Lists!M$21)+1)))-MIN(MAX(0,$H39),N($K39)*IF(Lists!M$22&lt;$J39,0,(((YEAR(Lists!M$22)-YEAR($J39))*12+MONTH(Lists!M$22)-MONTH($J39))-(EDATE($J39,((YEAR(Lists!M$22)-YEAR($J39))*12+MONTH(Lists!M$22)-MONTH($J39)))&gt;Lists!M$22)+1)))),N($C39)*IF($AE39-$AD39&lt;1,($AD39&gt;Lists!M$22)*($AD39&lt;=Lists!M$21),MAX(0,MIN(Lists!M$21,$AE39)-MAX(Lists!M$22,$AD39))/($AE39-$AD39))+N($D39)*IF($AG39-$AF39&lt;1,($AF39&gt;Lists!M$22)*($AF39&lt;=Lists!M$21),MAX(0,MIN(Lists!M$21,$AG39)-MAX(Lists!M$22,$AF39))/($AG39-$AF39))+N($E39)*IF($AI39-$AH39&lt;1,($AH39&gt;Lists!M$22)*($AH39&lt;=Lists!M$21),MAX(0,MIN(Lists!M$21,$AI39)-MAX(Lists!M$22,$AH39))/($AI39-$AH39))+N($F39)*IF($AK39-$AJ39&lt;1,($AJ39&gt;Lists!M$22)*($AJ39&lt;=Lists!M$21),MAX(0,MIN(Lists!M$21,$AK39)-MAX(Lists!M$22,$AJ39))/($AK39-$AJ39))+N($G39)*IF($AM39-$AL39&lt;1,($AL39&gt;Lists!M$22)*($AL39&lt;=Lists!M$21),MAX(0,MIN(Lists!M$21,$AM39)-MAX(Lists!M$22,$AL39))/($AM39-$AL39))))))))</f>
        <v>0</v>
      </c>
      <c r="X39" s="53" t="n">
        <f aca="false">IF($H39=0,0,IF($AP39="X",0,IF($AP39="S",$H39/$AO39*(MIN($AO39,MAX(0,INT((Lists!N$21-N($J39))/7)+1))-MIN($AO39,MAX(0,INT((Lists!N$22-N($J39))/7)+1))),IF($AP39="D",$H39*MAX(0,MIN(Lists!N$21,N($J39)+$AO39)-MAX(Lists!N$22,N($J39)))/$AO39,IF($AP39="M",$H39/$AO39*(IF(Lists!N$21&lt;$J39,0,MIN($AO39,(((YEAR(Lists!N$21)-YEAR($J39))*12+MONTH(Lists!N$21)-MONTH($J39))-(EDATE($J39,((YEAR(Lists!N$21)-YEAR($J39))*12+MONTH(Lists!N$21)-MONTH($J39)))&gt;Lists!N$21)+1)))-IF(Lists!N$22&lt;$J39,0,MIN($AO39,(((YEAR(Lists!N$22)-YEAR($J39))*12+MONTH(Lists!N$22)-MONTH($J39))-(EDATE($J39,((YEAR(Lists!N$22)-YEAR($J39))*12+MONTH(Lists!N$22)-MONTH($J39)))&gt;Lists!N$22)+1)))),IF($AP39="F",IF(N($K39)&lt;=0,0,MIN(MAX(0,$H39),N($K39)*IF(Lists!N$21&lt;$J39,0,(((YEAR(Lists!N$21)-YEAR($J39))*12+MONTH(Lists!N$21)-MONTH($J39))-(EDATE($J39,((YEAR(Lists!N$21)-YEAR($J39))*12+MONTH(Lists!N$21)-MONTH($J39)))&gt;Lists!N$21)+1)))-MIN(MAX(0,$H39),N($K39)*IF(Lists!N$22&lt;$J39,0,(((YEAR(Lists!N$22)-YEAR($J39))*12+MONTH(Lists!N$22)-MONTH($J39))-(EDATE($J39,((YEAR(Lists!N$22)-YEAR($J39))*12+MONTH(Lists!N$22)-MONTH($J39)))&gt;Lists!N$22)+1)))),N($C39)*IF($AE39-$AD39&lt;1,($AD39&gt;Lists!N$22)*($AD39&lt;=Lists!N$21),MAX(0,MIN(Lists!N$21,$AE39)-MAX(Lists!N$22,$AD39))/($AE39-$AD39))+N($D39)*IF($AG39-$AF39&lt;1,($AF39&gt;Lists!N$22)*($AF39&lt;=Lists!N$21),MAX(0,MIN(Lists!N$21,$AG39)-MAX(Lists!N$22,$AF39))/($AG39-$AF39))+N($E39)*IF($AI39-$AH39&lt;1,($AH39&gt;Lists!N$22)*($AH39&lt;=Lists!N$21),MAX(0,MIN(Lists!N$21,$AI39)-MAX(Lists!N$22,$AH39))/($AI39-$AH39))+N($F39)*IF($AK39-$AJ39&lt;1,($AJ39&gt;Lists!N$22)*($AJ39&lt;=Lists!N$21),MAX(0,MIN(Lists!N$21,$AK39)-MAX(Lists!N$22,$AJ39))/($AK39-$AJ39))+N($G39)*IF($AM39-$AL39&lt;1,($AL39&gt;Lists!N$22)*($AL39&lt;=Lists!N$21),MAX(0,MIN(Lists!N$21,$AM39)-MAX(Lists!N$22,$AL39))/($AM39-$AL39))))))))</f>
        <v>0</v>
      </c>
      <c r="Y39" s="53" t="n">
        <f aca="false">IF($H39=0,0,IF($AP39="X",0,IF($AP39="S",$H39/$AO39*(MIN($AO39,MAX(0,INT((Lists!O$21-N($J39))/7)+1))-MIN($AO39,MAX(0,INT((Lists!O$22-N($J39))/7)+1))),IF($AP39="D",$H39*MAX(0,MIN(Lists!O$21,N($J39)+$AO39)-MAX(Lists!O$22,N($J39)))/$AO39,IF($AP39="M",$H39/$AO39*(IF(Lists!O$21&lt;$J39,0,MIN($AO39,(((YEAR(Lists!O$21)-YEAR($J39))*12+MONTH(Lists!O$21)-MONTH($J39))-(EDATE($J39,((YEAR(Lists!O$21)-YEAR($J39))*12+MONTH(Lists!O$21)-MONTH($J39)))&gt;Lists!O$21)+1)))-IF(Lists!O$22&lt;$J39,0,MIN($AO39,(((YEAR(Lists!O$22)-YEAR($J39))*12+MONTH(Lists!O$22)-MONTH($J39))-(EDATE($J39,((YEAR(Lists!O$22)-YEAR($J39))*12+MONTH(Lists!O$22)-MONTH($J39)))&gt;Lists!O$22)+1)))),IF($AP39="F",IF(N($K39)&lt;=0,0,MIN(MAX(0,$H39),N($K39)*IF(Lists!O$21&lt;$J39,0,(((YEAR(Lists!O$21)-YEAR($J39))*12+MONTH(Lists!O$21)-MONTH($J39))-(EDATE($J39,((YEAR(Lists!O$21)-YEAR($J39))*12+MONTH(Lists!O$21)-MONTH($J39)))&gt;Lists!O$21)+1)))-MIN(MAX(0,$H39),N($K39)*IF(Lists!O$22&lt;$J39,0,(((YEAR(Lists!O$22)-YEAR($J39))*12+MONTH(Lists!O$22)-MONTH($J39))-(EDATE($J39,((YEAR(Lists!O$22)-YEAR($J39))*12+MONTH(Lists!O$22)-MONTH($J39)))&gt;Lists!O$22)+1)))),N($C39)*IF($AE39-$AD39&lt;1,($AD39&gt;Lists!O$22)*($AD39&lt;=Lists!O$21),MAX(0,MIN(Lists!O$21,$AE39)-MAX(Lists!O$22,$AD39))/($AE39-$AD39))+N($D39)*IF($AG39-$AF39&lt;1,($AF39&gt;Lists!O$22)*($AF39&lt;=Lists!O$21),MAX(0,MIN(Lists!O$21,$AG39)-MAX(Lists!O$22,$AF39))/($AG39-$AF39))+N($E39)*IF($AI39-$AH39&lt;1,($AH39&gt;Lists!O$22)*($AH39&lt;=Lists!O$21),MAX(0,MIN(Lists!O$21,$AI39)-MAX(Lists!O$22,$AH39))/($AI39-$AH39))+N($F39)*IF($AK39-$AJ39&lt;1,($AJ39&gt;Lists!O$22)*($AJ39&lt;=Lists!O$21),MAX(0,MIN(Lists!O$21,$AK39)-MAX(Lists!O$22,$AJ39))/($AK39-$AJ39))+N($G39)*IF($AM39-$AL39&lt;1,($AL39&gt;Lists!O$22)*($AL39&lt;=Lists!O$21),MAX(0,MIN(Lists!O$21,$AM39)-MAX(Lists!O$22,$AL39))/($AM39-$AL39))))))))</f>
        <v>0</v>
      </c>
      <c r="Z39" s="46" t="n">
        <f aca="false">SUM(M39:Y39)</f>
        <v>0</v>
      </c>
      <c r="AA39" s="92" t="n">
        <f aca="false">H39-Z39</f>
        <v>0</v>
      </c>
      <c r="AB39" s="55"/>
      <c r="AC39" s="2"/>
      <c r="AD39" s="93" t="n">
        <f aca="false">Setup!$D$10+MAX(0,$AN39-30)</f>
        <v>46365</v>
      </c>
      <c r="AE39" s="93" t="n">
        <f aca="false">Setup!$D$10+IF($AN39-30&lt;0,MAX(Setup!$D$22,$AN39-0),$AN39-0)</f>
        <v>46395</v>
      </c>
      <c r="AF39" s="93" t="n">
        <f aca="false">Setup!$D$10+MAX(0,$AN39-60)</f>
        <v>46335</v>
      </c>
      <c r="AG39" s="93" t="n">
        <f aca="false">Setup!$D$10+IF($AN39-60&lt;0,MAX(Setup!$D$22,$AN39-31),$AN39-31)</f>
        <v>46364</v>
      </c>
      <c r="AH39" s="93" t="n">
        <f aca="false">Setup!$D$10+MAX(0,$AN39-90)</f>
        <v>46335</v>
      </c>
      <c r="AI39" s="93" t="n">
        <f aca="false">Setup!$D$10+IF($AN39-90&lt;0,MAX(Setup!$D$22,$AN39-61),$AN39-61)</f>
        <v>46363</v>
      </c>
      <c r="AJ39" s="93" t="n">
        <f aca="false">Setup!$D$10+MAX(0,$AN39-120)</f>
        <v>46335</v>
      </c>
      <c r="AK39" s="93" t="n">
        <f aca="false">Setup!$D$10+IF($AN39-120&lt;0,MAX(Setup!$D$22,$AN39-91),$AN39-91)</f>
        <v>46363</v>
      </c>
      <c r="AL39" s="93" t="n">
        <f aca="false">IF(Setup!$D$23="Yes",2958465,Setup!$D$10)</f>
        <v>2958465</v>
      </c>
      <c r="AM39" s="93" t="n">
        <f aca="false">IF(AL39=2958465,AL39,Setup!$D$10+Setup!$D$22)</f>
        <v>2958465</v>
      </c>
      <c r="AN39" s="94" t="n">
        <f aca="false">IF(N(L39)=0,Setup!$D$20,L39)</f>
        <v>60</v>
      </c>
      <c r="AO39" s="94" t="n">
        <f aca="false">MAX(1,ROUND(N(K39),0))</f>
        <v>1</v>
      </c>
      <c r="AP39" s="95" t="str">
        <f aca="false">IF(I39="Doubtful","X",IF(N(J39)=0,"A",IF(I39="Specific date","S",IF(I39="Spread over days","D",IF(I39="Monthly on set day","M",IF(I39="Monthly fixed amount","F","A"))))))</f>
        <v>A</v>
      </c>
    </row>
    <row r="40" customFormat="false" ht="15" hidden="false" customHeight="false" outlineLevel="0" collapsed="false">
      <c r="A40" s="87" t="n">
        <v>32</v>
      </c>
      <c r="B40" s="55"/>
      <c r="C40" s="88"/>
      <c r="D40" s="88"/>
      <c r="E40" s="88"/>
      <c r="F40" s="88"/>
      <c r="G40" s="88"/>
      <c r="H40" s="89" t="n">
        <f aca="false">SUM(C40:G40)</f>
        <v>0</v>
      </c>
      <c r="I40" s="58"/>
      <c r="J40" s="90"/>
      <c r="K40" s="91"/>
      <c r="L40" s="80"/>
      <c r="M40" s="53" t="n">
        <f aca="false">IF($H40=0,0,IF($AP40="X",0,IF($AP40="S",$H40/$AO40*(MIN($AO40,MAX(0,INT((Lists!C$21-N($J40))/7)+1))-MIN($AO40,MAX(0,INT((Lists!C$22-N($J40))/7)+1))),IF($AP40="D",$H40*MAX(0,MIN(Lists!C$21,N($J40)+$AO40)-MAX(Lists!C$22,N($J40)))/$AO40,IF($AP40="M",$H40/$AO40*(IF(Lists!C$21&lt;$J40,0,MIN($AO40,(((YEAR(Lists!C$21)-YEAR($J40))*12+MONTH(Lists!C$21)-MONTH($J40))-(EDATE($J40,((YEAR(Lists!C$21)-YEAR($J40))*12+MONTH(Lists!C$21)-MONTH($J40)))&gt;Lists!C$21)+1)))-IF(Lists!C$22&lt;$J40,0,MIN($AO40,(((YEAR(Lists!C$22)-YEAR($J40))*12+MONTH(Lists!C$22)-MONTH($J40))-(EDATE($J40,((YEAR(Lists!C$22)-YEAR($J40))*12+MONTH(Lists!C$22)-MONTH($J40)))&gt;Lists!C$22)+1)))),IF($AP40="F",IF(N($K40)&lt;=0,0,MIN(MAX(0,$H40),N($K40)*IF(Lists!C$21&lt;$J40,0,(((YEAR(Lists!C$21)-YEAR($J40))*12+MONTH(Lists!C$21)-MONTH($J40))-(EDATE($J40,((YEAR(Lists!C$21)-YEAR($J40))*12+MONTH(Lists!C$21)-MONTH($J40)))&gt;Lists!C$21)+1)))-MIN(MAX(0,$H40),N($K40)*IF(Lists!C$22&lt;$J40,0,(((YEAR(Lists!C$22)-YEAR($J40))*12+MONTH(Lists!C$22)-MONTH($J40))-(EDATE($J40,((YEAR(Lists!C$22)-YEAR($J40))*12+MONTH(Lists!C$22)-MONTH($J40)))&gt;Lists!C$22)+1)))),N($C40)*IF($AE40-$AD40&lt;1,($AD40&gt;Lists!C$22)*($AD40&lt;=Lists!C$21),MAX(0,MIN(Lists!C$21,$AE40)-MAX(Lists!C$22,$AD40))/($AE40-$AD40))+N($D40)*IF($AG40-$AF40&lt;1,($AF40&gt;Lists!C$22)*($AF40&lt;=Lists!C$21),MAX(0,MIN(Lists!C$21,$AG40)-MAX(Lists!C$22,$AF40))/($AG40-$AF40))+N($E40)*IF($AI40-$AH40&lt;1,($AH40&gt;Lists!C$22)*($AH40&lt;=Lists!C$21),MAX(0,MIN(Lists!C$21,$AI40)-MAX(Lists!C$22,$AH40))/($AI40-$AH40))+N($F40)*IF($AK40-$AJ40&lt;1,($AJ40&gt;Lists!C$22)*($AJ40&lt;=Lists!C$21),MAX(0,MIN(Lists!C$21,$AK40)-MAX(Lists!C$22,$AJ40))/($AK40-$AJ40))+N($G40)*IF($AM40-$AL40&lt;1,($AL40&gt;Lists!C$22)*($AL40&lt;=Lists!C$21),MAX(0,MIN(Lists!C$21,$AM40)-MAX(Lists!C$22,$AL40))/($AM40-$AL40))))))))</f>
        <v>0</v>
      </c>
      <c r="N40" s="53" t="n">
        <f aca="false">IF($H40=0,0,IF($AP40="X",0,IF($AP40="S",$H40/$AO40*(MIN($AO40,MAX(0,INT((Lists!D$21-N($J40))/7)+1))-MIN($AO40,MAX(0,INT((Lists!D$22-N($J40))/7)+1))),IF($AP40="D",$H40*MAX(0,MIN(Lists!D$21,N($J40)+$AO40)-MAX(Lists!D$22,N($J40)))/$AO40,IF($AP40="M",$H40/$AO40*(IF(Lists!D$21&lt;$J40,0,MIN($AO40,(((YEAR(Lists!D$21)-YEAR($J40))*12+MONTH(Lists!D$21)-MONTH($J40))-(EDATE($J40,((YEAR(Lists!D$21)-YEAR($J40))*12+MONTH(Lists!D$21)-MONTH($J40)))&gt;Lists!D$21)+1)))-IF(Lists!D$22&lt;$J40,0,MIN($AO40,(((YEAR(Lists!D$22)-YEAR($J40))*12+MONTH(Lists!D$22)-MONTH($J40))-(EDATE($J40,((YEAR(Lists!D$22)-YEAR($J40))*12+MONTH(Lists!D$22)-MONTH($J40)))&gt;Lists!D$22)+1)))),IF($AP40="F",IF(N($K40)&lt;=0,0,MIN(MAX(0,$H40),N($K40)*IF(Lists!D$21&lt;$J40,0,(((YEAR(Lists!D$21)-YEAR($J40))*12+MONTH(Lists!D$21)-MONTH($J40))-(EDATE($J40,((YEAR(Lists!D$21)-YEAR($J40))*12+MONTH(Lists!D$21)-MONTH($J40)))&gt;Lists!D$21)+1)))-MIN(MAX(0,$H40),N($K40)*IF(Lists!D$22&lt;$J40,0,(((YEAR(Lists!D$22)-YEAR($J40))*12+MONTH(Lists!D$22)-MONTH($J40))-(EDATE($J40,((YEAR(Lists!D$22)-YEAR($J40))*12+MONTH(Lists!D$22)-MONTH($J40)))&gt;Lists!D$22)+1)))),N($C40)*IF($AE40-$AD40&lt;1,($AD40&gt;Lists!D$22)*($AD40&lt;=Lists!D$21),MAX(0,MIN(Lists!D$21,$AE40)-MAX(Lists!D$22,$AD40))/($AE40-$AD40))+N($D40)*IF($AG40-$AF40&lt;1,($AF40&gt;Lists!D$22)*($AF40&lt;=Lists!D$21),MAX(0,MIN(Lists!D$21,$AG40)-MAX(Lists!D$22,$AF40))/($AG40-$AF40))+N($E40)*IF($AI40-$AH40&lt;1,($AH40&gt;Lists!D$22)*($AH40&lt;=Lists!D$21),MAX(0,MIN(Lists!D$21,$AI40)-MAX(Lists!D$22,$AH40))/($AI40-$AH40))+N($F40)*IF($AK40-$AJ40&lt;1,($AJ40&gt;Lists!D$22)*($AJ40&lt;=Lists!D$21),MAX(0,MIN(Lists!D$21,$AK40)-MAX(Lists!D$22,$AJ40))/($AK40-$AJ40))+N($G40)*IF($AM40-$AL40&lt;1,($AL40&gt;Lists!D$22)*($AL40&lt;=Lists!D$21),MAX(0,MIN(Lists!D$21,$AM40)-MAX(Lists!D$22,$AL40))/($AM40-$AL40))))))))</f>
        <v>0</v>
      </c>
      <c r="O40" s="53" t="n">
        <f aca="false">IF($H40=0,0,IF($AP40="X",0,IF($AP40="S",$H40/$AO40*(MIN($AO40,MAX(0,INT((Lists!E$21-N($J40))/7)+1))-MIN($AO40,MAX(0,INT((Lists!E$22-N($J40))/7)+1))),IF($AP40="D",$H40*MAX(0,MIN(Lists!E$21,N($J40)+$AO40)-MAX(Lists!E$22,N($J40)))/$AO40,IF($AP40="M",$H40/$AO40*(IF(Lists!E$21&lt;$J40,0,MIN($AO40,(((YEAR(Lists!E$21)-YEAR($J40))*12+MONTH(Lists!E$21)-MONTH($J40))-(EDATE($J40,((YEAR(Lists!E$21)-YEAR($J40))*12+MONTH(Lists!E$21)-MONTH($J40)))&gt;Lists!E$21)+1)))-IF(Lists!E$22&lt;$J40,0,MIN($AO40,(((YEAR(Lists!E$22)-YEAR($J40))*12+MONTH(Lists!E$22)-MONTH($J40))-(EDATE($J40,((YEAR(Lists!E$22)-YEAR($J40))*12+MONTH(Lists!E$22)-MONTH($J40)))&gt;Lists!E$22)+1)))),IF($AP40="F",IF(N($K40)&lt;=0,0,MIN(MAX(0,$H40),N($K40)*IF(Lists!E$21&lt;$J40,0,(((YEAR(Lists!E$21)-YEAR($J40))*12+MONTH(Lists!E$21)-MONTH($J40))-(EDATE($J40,((YEAR(Lists!E$21)-YEAR($J40))*12+MONTH(Lists!E$21)-MONTH($J40)))&gt;Lists!E$21)+1)))-MIN(MAX(0,$H40),N($K40)*IF(Lists!E$22&lt;$J40,0,(((YEAR(Lists!E$22)-YEAR($J40))*12+MONTH(Lists!E$22)-MONTH($J40))-(EDATE($J40,((YEAR(Lists!E$22)-YEAR($J40))*12+MONTH(Lists!E$22)-MONTH($J40)))&gt;Lists!E$22)+1)))),N($C40)*IF($AE40-$AD40&lt;1,($AD40&gt;Lists!E$22)*($AD40&lt;=Lists!E$21),MAX(0,MIN(Lists!E$21,$AE40)-MAX(Lists!E$22,$AD40))/($AE40-$AD40))+N($D40)*IF($AG40-$AF40&lt;1,($AF40&gt;Lists!E$22)*($AF40&lt;=Lists!E$21),MAX(0,MIN(Lists!E$21,$AG40)-MAX(Lists!E$22,$AF40))/($AG40-$AF40))+N($E40)*IF($AI40-$AH40&lt;1,($AH40&gt;Lists!E$22)*($AH40&lt;=Lists!E$21),MAX(0,MIN(Lists!E$21,$AI40)-MAX(Lists!E$22,$AH40))/($AI40-$AH40))+N($F40)*IF($AK40-$AJ40&lt;1,($AJ40&gt;Lists!E$22)*($AJ40&lt;=Lists!E$21),MAX(0,MIN(Lists!E$21,$AK40)-MAX(Lists!E$22,$AJ40))/($AK40-$AJ40))+N($G40)*IF($AM40-$AL40&lt;1,($AL40&gt;Lists!E$22)*($AL40&lt;=Lists!E$21),MAX(0,MIN(Lists!E$21,$AM40)-MAX(Lists!E$22,$AL40))/($AM40-$AL40))))))))</f>
        <v>0</v>
      </c>
      <c r="P40" s="53" t="n">
        <f aca="false">IF($H40=0,0,IF($AP40="X",0,IF($AP40="S",$H40/$AO40*(MIN($AO40,MAX(0,INT((Lists!F$21-N($J40))/7)+1))-MIN($AO40,MAX(0,INT((Lists!F$22-N($J40))/7)+1))),IF($AP40="D",$H40*MAX(0,MIN(Lists!F$21,N($J40)+$AO40)-MAX(Lists!F$22,N($J40)))/$AO40,IF($AP40="M",$H40/$AO40*(IF(Lists!F$21&lt;$J40,0,MIN($AO40,(((YEAR(Lists!F$21)-YEAR($J40))*12+MONTH(Lists!F$21)-MONTH($J40))-(EDATE($J40,((YEAR(Lists!F$21)-YEAR($J40))*12+MONTH(Lists!F$21)-MONTH($J40)))&gt;Lists!F$21)+1)))-IF(Lists!F$22&lt;$J40,0,MIN($AO40,(((YEAR(Lists!F$22)-YEAR($J40))*12+MONTH(Lists!F$22)-MONTH($J40))-(EDATE($J40,((YEAR(Lists!F$22)-YEAR($J40))*12+MONTH(Lists!F$22)-MONTH($J40)))&gt;Lists!F$22)+1)))),IF($AP40="F",IF(N($K40)&lt;=0,0,MIN(MAX(0,$H40),N($K40)*IF(Lists!F$21&lt;$J40,0,(((YEAR(Lists!F$21)-YEAR($J40))*12+MONTH(Lists!F$21)-MONTH($J40))-(EDATE($J40,((YEAR(Lists!F$21)-YEAR($J40))*12+MONTH(Lists!F$21)-MONTH($J40)))&gt;Lists!F$21)+1)))-MIN(MAX(0,$H40),N($K40)*IF(Lists!F$22&lt;$J40,0,(((YEAR(Lists!F$22)-YEAR($J40))*12+MONTH(Lists!F$22)-MONTH($J40))-(EDATE($J40,((YEAR(Lists!F$22)-YEAR($J40))*12+MONTH(Lists!F$22)-MONTH($J40)))&gt;Lists!F$22)+1)))),N($C40)*IF($AE40-$AD40&lt;1,($AD40&gt;Lists!F$22)*($AD40&lt;=Lists!F$21),MAX(0,MIN(Lists!F$21,$AE40)-MAX(Lists!F$22,$AD40))/($AE40-$AD40))+N($D40)*IF($AG40-$AF40&lt;1,($AF40&gt;Lists!F$22)*($AF40&lt;=Lists!F$21),MAX(0,MIN(Lists!F$21,$AG40)-MAX(Lists!F$22,$AF40))/($AG40-$AF40))+N($E40)*IF($AI40-$AH40&lt;1,($AH40&gt;Lists!F$22)*($AH40&lt;=Lists!F$21),MAX(0,MIN(Lists!F$21,$AI40)-MAX(Lists!F$22,$AH40))/($AI40-$AH40))+N($F40)*IF($AK40-$AJ40&lt;1,($AJ40&gt;Lists!F$22)*($AJ40&lt;=Lists!F$21),MAX(0,MIN(Lists!F$21,$AK40)-MAX(Lists!F$22,$AJ40))/($AK40-$AJ40))+N($G40)*IF($AM40-$AL40&lt;1,($AL40&gt;Lists!F$22)*($AL40&lt;=Lists!F$21),MAX(0,MIN(Lists!F$21,$AM40)-MAX(Lists!F$22,$AL40))/($AM40-$AL40))))))))</f>
        <v>0</v>
      </c>
      <c r="Q40" s="53" t="n">
        <f aca="false">IF($H40=0,0,IF($AP40="X",0,IF($AP40="S",$H40/$AO40*(MIN($AO40,MAX(0,INT((Lists!G$21-N($J40))/7)+1))-MIN($AO40,MAX(0,INT((Lists!G$22-N($J40))/7)+1))),IF($AP40="D",$H40*MAX(0,MIN(Lists!G$21,N($J40)+$AO40)-MAX(Lists!G$22,N($J40)))/$AO40,IF($AP40="M",$H40/$AO40*(IF(Lists!G$21&lt;$J40,0,MIN($AO40,(((YEAR(Lists!G$21)-YEAR($J40))*12+MONTH(Lists!G$21)-MONTH($J40))-(EDATE($J40,((YEAR(Lists!G$21)-YEAR($J40))*12+MONTH(Lists!G$21)-MONTH($J40)))&gt;Lists!G$21)+1)))-IF(Lists!G$22&lt;$J40,0,MIN($AO40,(((YEAR(Lists!G$22)-YEAR($J40))*12+MONTH(Lists!G$22)-MONTH($J40))-(EDATE($J40,((YEAR(Lists!G$22)-YEAR($J40))*12+MONTH(Lists!G$22)-MONTH($J40)))&gt;Lists!G$22)+1)))),IF($AP40="F",IF(N($K40)&lt;=0,0,MIN(MAX(0,$H40),N($K40)*IF(Lists!G$21&lt;$J40,0,(((YEAR(Lists!G$21)-YEAR($J40))*12+MONTH(Lists!G$21)-MONTH($J40))-(EDATE($J40,((YEAR(Lists!G$21)-YEAR($J40))*12+MONTH(Lists!G$21)-MONTH($J40)))&gt;Lists!G$21)+1)))-MIN(MAX(0,$H40),N($K40)*IF(Lists!G$22&lt;$J40,0,(((YEAR(Lists!G$22)-YEAR($J40))*12+MONTH(Lists!G$22)-MONTH($J40))-(EDATE($J40,((YEAR(Lists!G$22)-YEAR($J40))*12+MONTH(Lists!G$22)-MONTH($J40)))&gt;Lists!G$22)+1)))),N($C40)*IF($AE40-$AD40&lt;1,($AD40&gt;Lists!G$22)*($AD40&lt;=Lists!G$21),MAX(0,MIN(Lists!G$21,$AE40)-MAX(Lists!G$22,$AD40))/($AE40-$AD40))+N($D40)*IF($AG40-$AF40&lt;1,($AF40&gt;Lists!G$22)*($AF40&lt;=Lists!G$21),MAX(0,MIN(Lists!G$21,$AG40)-MAX(Lists!G$22,$AF40))/($AG40-$AF40))+N($E40)*IF($AI40-$AH40&lt;1,($AH40&gt;Lists!G$22)*($AH40&lt;=Lists!G$21),MAX(0,MIN(Lists!G$21,$AI40)-MAX(Lists!G$22,$AH40))/($AI40-$AH40))+N($F40)*IF($AK40-$AJ40&lt;1,($AJ40&gt;Lists!G$22)*($AJ40&lt;=Lists!G$21),MAX(0,MIN(Lists!G$21,$AK40)-MAX(Lists!G$22,$AJ40))/($AK40-$AJ40))+N($G40)*IF($AM40-$AL40&lt;1,($AL40&gt;Lists!G$22)*($AL40&lt;=Lists!G$21),MAX(0,MIN(Lists!G$21,$AM40)-MAX(Lists!G$22,$AL40))/($AM40-$AL40))))))))</f>
        <v>0</v>
      </c>
      <c r="R40" s="53" t="n">
        <f aca="false">IF($H40=0,0,IF($AP40="X",0,IF($AP40="S",$H40/$AO40*(MIN($AO40,MAX(0,INT((Lists!H$21-N($J40))/7)+1))-MIN($AO40,MAX(0,INT((Lists!H$22-N($J40))/7)+1))),IF($AP40="D",$H40*MAX(0,MIN(Lists!H$21,N($J40)+$AO40)-MAX(Lists!H$22,N($J40)))/$AO40,IF($AP40="M",$H40/$AO40*(IF(Lists!H$21&lt;$J40,0,MIN($AO40,(((YEAR(Lists!H$21)-YEAR($J40))*12+MONTH(Lists!H$21)-MONTH($J40))-(EDATE($J40,((YEAR(Lists!H$21)-YEAR($J40))*12+MONTH(Lists!H$21)-MONTH($J40)))&gt;Lists!H$21)+1)))-IF(Lists!H$22&lt;$J40,0,MIN($AO40,(((YEAR(Lists!H$22)-YEAR($J40))*12+MONTH(Lists!H$22)-MONTH($J40))-(EDATE($J40,((YEAR(Lists!H$22)-YEAR($J40))*12+MONTH(Lists!H$22)-MONTH($J40)))&gt;Lists!H$22)+1)))),IF($AP40="F",IF(N($K40)&lt;=0,0,MIN(MAX(0,$H40),N($K40)*IF(Lists!H$21&lt;$J40,0,(((YEAR(Lists!H$21)-YEAR($J40))*12+MONTH(Lists!H$21)-MONTH($J40))-(EDATE($J40,((YEAR(Lists!H$21)-YEAR($J40))*12+MONTH(Lists!H$21)-MONTH($J40)))&gt;Lists!H$21)+1)))-MIN(MAX(0,$H40),N($K40)*IF(Lists!H$22&lt;$J40,0,(((YEAR(Lists!H$22)-YEAR($J40))*12+MONTH(Lists!H$22)-MONTH($J40))-(EDATE($J40,((YEAR(Lists!H$22)-YEAR($J40))*12+MONTH(Lists!H$22)-MONTH($J40)))&gt;Lists!H$22)+1)))),N($C40)*IF($AE40-$AD40&lt;1,($AD40&gt;Lists!H$22)*($AD40&lt;=Lists!H$21),MAX(0,MIN(Lists!H$21,$AE40)-MAX(Lists!H$22,$AD40))/($AE40-$AD40))+N($D40)*IF($AG40-$AF40&lt;1,($AF40&gt;Lists!H$22)*($AF40&lt;=Lists!H$21),MAX(0,MIN(Lists!H$21,$AG40)-MAX(Lists!H$22,$AF40))/($AG40-$AF40))+N($E40)*IF($AI40-$AH40&lt;1,($AH40&gt;Lists!H$22)*($AH40&lt;=Lists!H$21),MAX(0,MIN(Lists!H$21,$AI40)-MAX(Lists!H$22,$AH40))/($AI40-$AH40))+N($F40)*IF($AK40-$AJ40&lt;1,($AJ40&gt;Lists!H$22)*($AJ40&lt;=Lists!H$21),MAX(0,MIN(Lists!H$21,$AK40)-MAX(Lists!H$22,$AJ40))/($AK40-$AJ40))+N($G40)*IF($AM40-$AL40&lt;1,($AL40&gt;Lists!H$22)*($AL40&lt;=Lists!H$21),MAX(0,MIN(Lists!H$21,$AM40)-MAX(Lists!H$22,$AL40))/($AM40-$AL40))))))))</f>
        <v>0</v>
      </c>
      <c r="S40" s="53" t="n">
        <f aca="false">IF($H40=0,0,IF($AP40="X",0,IF($AP40="S",$H40/$AO40*(MIN($AO40,MAX(0,INT((Lists!I$21-N($J40))/7)+1))-MIN($AO40,MAX(0,INT((Lists!I$22-N($J40))/7)+1))),IF($AP40="D",$H40*MAX(0,MIN(Lists!I$21,N($J40)+$AO40)-MAX(Lists!I$22,N($J40)))/$AO40,IF($AP40="M",$H40/$AO40*(IF(Lists!I$21&lt;$J40,0,MIN($AO40,(((YEAR(Lists!I$21)-YEAR($J40))*12+MONTH(Lists!I$21)-MONTH($J40))-(EDATE($J40,((YEAR(Lists!I$21)-YEAR($J40))*12+MONTH(Lists!I$21)-MONTH($J40)))&gt;Lists!I$21)+1)))-IF(Lists!I$22&lt;$J40,0,MIN($AO40,(((YEAR(Lists!I$22)-YEAR($J40))*12+MONTH(Lists!I$22)-MONTH($J40))-(EDATE($J40,((YEAR(Lists!I$22)-YEAR($J40))*12+MONTH(Lists!I$22)-MONTH($J40)))&gt;Lists!I$22)+1)))),IF($AP40="F",IF(N($K40)&lt;=0,0,MIN(MAX(0,$H40),N($K40)*IF(Lists!I$21&lt;$J40,0,(((YEAR(Lists!I$21)-YEAR($J40))*12+MONTH(Lists!I$21)-MONTH($J40))-(EDATE($J40,((YEAR(Lists!I$21)-YEAR($J40))*12+MONTH(Lists!I$21)-MONTH($J40)))&gt;Lists!I$21)+1)))-MIN(MAX(0,$H40),N($K40)*IF(Lists!I$22&lt;$J40,0,(((YEAR(Lists!I$22)-YEAR($J40))*12+MONTH(Lists!I$22)-MONTH($J40))-(EDATE($J40,((YEAR(Lists!I$22)-YEAR($J40))*12+MONTH(Lists!I$22)-MONTH($J40)))&gt;Lists!I$22)+1)))),N($C40)*IF($AE40-$AD40&lt;1,($AD40&gt;Lists!I$22)*($AD40&lt;=Lists!I$21),MAX(0,MIN(Lists!I$21,$AE40)-MAX(Lists!I$22,$AD40))/($AE40-$AD40))+N($D40)*IF($AG40-$AF40&lt;1,($AF40&gt;Lists!I$22)*($AF40&lt;=Lists!I$21),MAX(0,MIN(Lists!I$21,$AG40)-MAX(Lists!I$22,$AF40))/($AG40-$AF40))+N($E40)*IF($AI40-$AH40&lt;1,($AH40&gt;Lists!I$22)*($AH40&lt;=Lists!I$21),MAX(0,MIN(Lists!I$21,$AI40)-MAX(Lists!I$22,$AH40))/($AI40-$AH40))+N($F40)*IF($AK40-$AJ40&lt;1,($AJ40&gt;Lists!I$22)*($AJ40&lt;=Lists!I$21),MAX(0,MIN(Lists!I$21,$AK40)-MAX(Lists!I$22,$AJ40))/($AK40-$AJ40))+N($G40)*IF($AM40-$AL40&lt;1,($AL40&gt;Lists!I$22)*($AL40&lt;=Lists!I$21),MAX(0,MIN(Lists!I$21,$AM40)-MAX(Lists!I$22,$AL40))/($AM40-$AL40))))))))</f>
        <v>0</v>
      </c>
      <c r="T40" s="53" t="n">
        <f aca="false">IF($H40=0,0,IF($AP40="X",0,IF($AP40="S",$H40/$AO40*(MIN($AO40,MAX(0,INT((Lists!J$21-N($J40))/7)+1))-MIN($AO40,MAX(0,INT((Lists!J$22-N($J40))/7)+1))),IF($AP40="D",$H40*MAX(0,MIN(Lists!J$21,N($J40)+$AO40)-MAX(Lists!J$22,N($J40)))/$AO40,IF($AP40="M",$H40/$AO40*(IF(Lists!J$21&lt;$J40,0,MIN($AO40,(((YEAR(Lists!J$21)-YEAR($J40))*12+MONTH(Lists!J$21)-MONTH($J40))-(EDATE($J40,((YEAR(Lists!J$21)-YEAR($J40))*12+MONTH(Lists!J$21)-MONTH($J40)))&gt;Lists!J$21)+1)))-IF(Lists!J$22&lt;$J40,0,MIN($AO40,(((YEAR(Lists!J$22)-YEAR($J40))*12+MONTH(Lists!J$22)-MONTH($J40))-(EDATE($J40,((YEAR(Lists!J$22)-YEAR($J40))*12+MONTH(Lists!J$22)-MONTH($J40)))&gt;Lists!J$22)+1)))),IF($AP40="F",IF(N($K40)&lt;=0,0,MIN(MAX(0,$H40),N($K40)*IF(Lists!J$21&lt;$J40,0,(((YEAR(Lists!J$21)-YEAR($J40))*12+MONTH(Lists!J$21)-MONTH($J40))-(EDATE($J40,((YEAR(Lists!J$21)-YEAR($J40))*12+MONTH(Lists!J$21)-MONTH($J40)))&gt;Lists!J$21)+1)))-MIN(MAX(0,$H40),N($K40)*IF(Lists!J$22&lt;$J40,0,(((YEAR(Lists!J$22)-YEAR($J40))*12+MONTH(Lists!J$22)-MONTH($J40))-(EDATE($J40,((YEAR(Lists!J$22)-YEAR($J40))*12+MONTH(Lists!J$22)-MONTH($J40)))&gt;Lists!J$22)+1)))),N($C40)*IF($AE40-$AD40&lt;1,($AD40&gt;Lists!J$22)*($AD40&lt;=Lists!J$21),MAX(0,MIN(Lists!J$21,$AE40)-MAX(Lists!J$22,$AD40))/($AE40-$AD40))+N($D40)*IF($AG40-$AF40&lt;1,($AF40&gt;Lists!J$22)*($AF40&lt;=Lists!J$21),MAX(0,MIN(Lists!J$21,$AG40)-MAX(Lists!J$22,$AF40))/($AG40-$AF40))+N($E40)*IF($AI40-$AH40&lt;1,($AH40&gt;Lists!J$22)*($AH40&lt;=Lists!J$21),MAX(0,MIN(Lists!J$21,$AI40)-MAX(Lists!J$22,$AH40))/($AI40-$AH40))+N($F40)*IF($AK40-$AJ40&lt;1,($AJ40&gt;Lists!J$22)*($AJ40&lt;=Lists!J$21),MAX(0,MIN(Lists!J$21,$AK40)-MAX(Lists!J$22,$AJ40))/($AK40-$AJ40))+N($G40)*IF($AM40-$AL40&lt;1,($AL40&gt;Lists!J$22)*($AL40&lt;=Lists!J$21),MAX(0,MIN(Lists!J$21,$AM40)-MAX(Lists!J$22,$AL40))/($AM40-$AL40))))))))</f>
        <v>0</v>
      </c>
      <c r="U40" s="53" t="n">
        <f aca="false">IF($H40=0,0,IF($AP40="X",0,IF($AP40="S",$H40/$AO40*(MIN($AO40,MAX(0,INT((Lists!K$21-N($J40))/7)+1))-MIN($AO40,MAX(0,INT((Lists!K$22-N($J40))/7)+1))),IF($AP40="D",$H40*MAX(0,MIN(Lists!K$21,N($J40)+$AO40)-MAX(Lists!K$22,N($J40)))/$AO40,IF($AP40="M",$H40/$AO40*(IF(Lists!K$21&lt;$J40,0,MIN($AO40,(((YEAR(Lists!K$21)-YEAR($J40))*12+MONTH(Lists!K$21)-MONTH($J40))-(EDATE($J40,((YEAR(Lists!K$21)-YEAR($J40))*12+MONTH(Lists!K$21)-MONTH($J40)))&gt;Lists!K$21)+1)))-IF(Lists!K$22&lt;$J40,0,MIN($AO40,(((YEAR(Lists!K$22)-YEAR($J40))*12+MONTH(Lists!K$22)-MONTH($J40))-(EDATE($J40,((YEAR(Lists!K$22)-YEAR($J40))*12+MONTH(Lists!K$22)-MONTH($J40)))&gt;Lists!K$22)+1)))),IF($AP40="F",IF(N($K40)&lt;=0,0,MIN(MAX(0,$H40),N($K40)*IF(Lists!K$21&lt;$J40,0,(((YEAR(Lists!K$21)-YEAR($J40))*12+MONTH(Lists!K$21)-MONTH($J40))-(EDATE($J40,((YEAR(Lists!K$21)-YEAR($J40))*12+MONTH(Lists!K$21)-MONTH($J40)))&gt;Lists!K$21)+1)))-MIN(MAX(0,$H40),N($K40)*IF(Lists!K$22&lt;$J40,0,(((YEAR(Lists!K$22)-YEAR($J40))*12+MONTH(Lists!K$22)-MONTH($J40))-(EDATE($J40,((YEAR(Lists!K$22)-YEAR($J40))*12+MONTH(Lists!K$22)-MONTH($J40)))&gt;Lists!K$22)+1)))),N($C40)*IF($AE40-$AD40&lt;1,($AD40&gt;Lists!K$22)*($AD40&lt;=Lists!K$21),MAX(0,MIN(Lists!K$21,$AE40)-MAX(Lists!K$22,$AD40))/($AE40-$AD40))+N($D40)*IF($AG40-$AF40&lt;1,($AF40&gt;Lists!K$22)*($AF40&lt;=Lists!K$21),MAX(0,MIN(Lists!K$21,$AG40)-MAX(Lists!K$22,$AF40))/($AG40-$AF40))+N($E40)*IF($AI40-$AH40&lt;1,($AH40&gt;Lists!K$22)*($AH40&lt;=Lists!K$21),MAX(0,MIN(Lists!K$21,$AI40)-MAX(Lists!K$22,$AH40))/($AI40-$AH40))+N($F40)*IF($AK40-$AJ40&lt;1,($AJ40&gt;Lists!K$22)*($AJ40&lt;=Lists!K$21),MAX(0,MIN(Lists!K$21,$AK40)-MAX(Lists!K$22,$AJ40))/($AK40-$AJ40))+N($G40)*IF($AM40-$AL40&lt;1,($AL40&gt;Lists!K$22)*($AL40&lt;=Lists!K$21),MAX(0,MIN(Lists!K$21,$AM40)-MAX(Lists!K$22,$AL40))/($AM40-$AL40))))))))</f>
        <v>0</v>
      </c>
      <c r="V40" s="53" t="n">
        <f aca="false">IF($H40=0,0,IF($AP40="X",0,IF($AP40="S",$H40/$AO40*(MIN($AO40,MAX(0,INT((Lists!L$21-N($J40))/7)+1))-MIN($AO40,MAX(0,INT((Lists!L$22-N($J40))/7)+1))),IF($AP40="D",$H40*MAX(0,MIN(Lists!L$21,N($J40)+$AO40)-MAX(Lists!L$22,N($J40)))/$AO40,IF($AP40="M",$H40/$AO40*(IF(Lists!L$21&lt;$J40,0,MIN($AO40,(((YEAR(Lists!L$21)-YEAR($J40))*12+MONTH(Lists!L$21)-MONTH($J40))-(EDATE($J40,((YEAR(Lists!L$21)-YEAR($J40))*12+MONTH(Lists!L$21)-MONTH($J40)))&gt;Lists!L$21)+1)))-IF(Lists!L$22&lt;$J40,0,MIN($AO40,(((YEAR(Lists!L$22)-YEAR($J40))*12+MONTH(Lists!L$22)-MONTH($J40))-(EDATE($J40,((YEAR(Lists!L$22)-YEAR($J40))*12+MONTH(Lists!L$22)-MONTH($J40)))&gt;Lists!L$22)+1)))),IF($AP40="F",IF(N($K40)&lt;=0,0,MIN(MAX(0,$H40),N($K40)*IF(Lists!L$21&lt;$J40,0,(((YEAR(Lists!L$21)-YEAR($J40))*12+MONTH(Lists!L$21)-MONTH($J40))-(EDATE($J40,((YEAR(Lists!L$21)-YEAR($J40))*12+MONTH(Lists!L$21)-MONTH($J40)))&gt;Lists!L$21)+1)))-MIN(MAX(0,$H40),N($K40)*IF(Lists!L$22&lt;$J40,0,(((YEAR(Lists!L$22)-YEAR($J40))*12+MONTH(Lists!L$22)-MONTH($J40))-(EDATE($J40,((YEAR(Lists!L$22)-YEAR($J40))*12+MONTH(Lists!L$22)-MONTH($J40)))&gt;Lists!L$22)+1)))),N($C40)*IF($AE40-$AD40&lt;1,($AD40&gt;Lists!L$22)*($AD40&lt;=Lists!L$21),MAX(0,MIN(Lists!L$21,$AE40)-MAX(Lists!L$22,$AD40))/($AE40-$AD40))+N($D40)*IF($AG40-$AF40&lt;1,($AF40&gt;Lists!L$22)*($AF40&lt;=Lists!L$21),MAX(0,MIN(Lists!L$21,$AG40)-MAX(Lists!L$22,$AF40))/($AG40-$AF40))+N($E40)*IF($AI40-$AH40&lt;1,($AH40&gt;Lists!L$22)*($AH40&lt;=Lists!L$21),MAX(0,MIN(Lists!L$21,$AI40)-MAX(Lists!L$22,$AH40))/($AI40-$AH40))+N($F40)*IF($AK40-$AJ40&lt;1,($AJ40&gt;Lists!L$22)*($AJ40&lt;=Lists!L$21),MAX(0,MIN(Lists!L$21,$AK40)-MAX(Lists!L$22,$AJ40))/($AK40-$AJ40))+N($G40)*IF($AM40-$AL40&lt;1,($AL40&gt;Lists!L$22)*($AL40&lt;=Lists!L$21),MAX(0,MIN(Lists!L$21,$AM40)-MAX(Lists!L$22,$AL40))/($AM40-$AL40))))))))</f>
        <v>0</v>
      </c>
      <c r="W40" s="53" t="n">
        <f aca="false">IF($H40=0,0,IF($AP40="X",0,IF($AP40="S",$H40/$AO40*(MIN($AO40,MAX(0,INT((Lists!M$21-N($J40))/7)+1))-MIN($AO40,MAX(0,INT((Lists!M$22-N($J40))/7)+1))),IF($AP40="D",$H40*MAX(0,MIN(Lists!M$21,N($J40)+$AO40)-MAX(Lists!M$22,N($J40)))/$AO40,IF($AP40="M",$H40/$AO40*(IF(Lists!M$21&lt;$J40,0,MIN($AO40,(((YEAR(Lists!M$21)-YEAR($J40))*12+MONTH(Lists!M$21)-MONTH($J40))-(EDATE($J40,((YEAR(Lists!M$21)-YEAR($J40))*12+MONTH(Lists!M$21)-MONTH($J40)))&gt;Lists!M$21)+1)))-IF(Lists!M$22&lt;$J40,0,MIN($AO40,(((YEAR(Lists!M$22)-YEAR($J40))*12+MONTH(Lists!M$22)-MONTH($J40))-(EDATE($J40,((YEAR(Lists!M$22)-YEAR($J40))*12+MONTH(Lists!M$22)-MONTH($J40)))&gt;Lists!M$22)+1)))),IF($AP40="F",IF(N($K40)&lt;=0,0,MIN(MAX(0,$H40),N($K40)*IF(Lists!M$21&lt;$J40,0,(((YEAR(Lists!M$21)-YEAR($J40))*12+MONTH(Lists!M$21)-MONTH($J40))-(EDATE($J40,((YEAR(Lists!M$21)-YEAR($J40))*12+MONTH(Lists!M$21)-MONTH($J40)))&gt;Lists!M$21)+1)))-MIN(MAX(0,$H40),N($K40)*IF(Lists!M$22&lt;$J40,0,(((YEAR(Lists!M$22)-YEAR($J40))*12+MONTH(Lists!M$22)-MONTH($J40))-(EDATE($J40,((YEAR(Lists!M$22)-YEAR($J40))*12+MONTH(Lists!M$22)-MONTH($J40)))&gt;Lists!M$22)+1)))),N($C40)*IF($AE40-$AD40&lt;1,($AD40&gt;Lists!M$22)*($AD40&lt;=Lists!M$21),MAX(0,MIN(Lists!M$21,$AE40)-MAX(Lists!M$22,$AD40))/($AE40-$AD40))+N($D40)*IF($AG40-$AF40&lt;1,($AF40&gt;Lists!M$22)*($AF40&lt;=Lists!M$21),MAX(0,MIN(Lists!M$21,$AG40)-MAX(Lists!M$22,$AF40))/($AG40-$AF40))+N($E40)*IF($AI40-$AH40&lt;1,($AH40&gt;Lists!M$22)*($AH40&lt;=Lists!M$21),MAX(0,MIN(Lists!M$21,$AI40)-MAX(Lists!M$22,$AH40))/($AI40-$AH40))+N($F40)*IF($AK40-$AJ40&lt;1,($AJ40&gt;Lists!M$22)*($AJ40&lt;=Lists!M$21),MAX(0,MIN(Lists!M$21,$AK40)-MAX(Lists!M$22,$AJ40))/($AK40-$AJ40))+N($G40)*IF($AM40-$AL40&lt;1,($AL40&gt;Lists!M$22)*($AL40&lt;=Lists!M$21),MAX(0,MIN(Lists!M$21,$AM40)-MAX(Lists!M$22,$AL40))/($AM40-$AL40))))))))</f>
        <v>0</v>
      </c>
      <c r="X40" s="53" t="n">
        <f aca="false">IF($H40=0,0,IF($AP40="X",0,IF($AP40="S",$H40/$AO40*(MIN($AO40,MAX(0,INT((Lists!N$21-N($J40))/7)+1))-MIN($AO40,MAX(0,INT((Lists!N$22-N($J40))/7)+1))),IF($AP40="D",$H40*MAX(0,MIN(Lists!N$21,N($J40)+$AO40)-MAX(Lists!N$22,N($J40)))/$AO40,IF($AP40="M",$H40/$AO40*(IF(Lists!N$21&lt;$J40,0,MIN($AO40,(((YEAR(Lists!N$21)-YEAR($J40))*12+MONTH(Lists!N$21)-MONTH($J40))-(EDATE($J40,((YEAR(Lists!N$21)-YEAR($J40))*12+MONTH(Lists!N$21)-MONTH($J40)))&gt;Lists!N$21)+1)))-IF(Lists!N$22&lt;$J40,0,MIN($AO40,(((YEAR(Lists!N$22)-YEAR($J40))*12+MONTH(Lists!N$22)-MONTH($J40))-(EDATE($J40,((YEAR(Lists!N$22)-YEAR($J40))*12+MONTH(Lists!N$22)-MONTH($J40)))&gt;Lists!N$22)+1)))),IF($AP40="F",IF(N($K40)&lt;=0,0,MIN(MAX(0,$H40),N($K40)*IF(Lists!N$21&lt;$J40,0,(((YEAR(Lists!N$21)-YEAR($J40))*12+MONTH(Lists!N$21)-MONTH($J40))-(EDATE($J40,((YEAR(Lists!N$21)-YEAR($J40))*12+MONTH(Lists!N$21)-MONTH($J40)))&gt;Lists!N$21)+1)))-MIN(MAX(0,$H40),N($K40)*IF(Lists!N$22&lt;$J40,0,(((YEAR(Lists!N$22)-YEAR($J40))*12+MONTH(Lists!N$22)-MONTH($J40))-(EDATE($J40,((YEAR(Lists!N$22)-YEAR($J40))*12+MONTH(Lists!N$22)-MONTH($J40)))&gt;Lists!N$22)+1)))),N($C40)*IF($AE40-$AD40&lt;1,($AD40&gt;Lists!N$22)*($AD40&lt;=Lists!N$21),MAX(0,MIN(Lists!N$21,$AE40)-MAX(Lists!N$22,$AD40))/($AE40-$AD40))+N($D40)*IF($AG40-$AF40&lt;1,($AF40&gt;Lists!N$22)*($AF40&lt;=Lists!N$21),MAX(0,MIN(Lists!N$21,$AG40)-MAX(Lists!N$22,$AF40))/($AG40-$AF40))+N($E40)*IF($AI40-$AH40&lt;1,($AH40&gt;Lists!N$22)*($AH40&lt;=Lists!N$21),MAX(0,MIN(Lists!N$21,$AI40)-MAX(Lists!N$22,$AH40))/($AI40-$AH40))+N($F40)*IF($AK40-$AJ40&lt;1,($AJ40&gt;Lists!N$22)*($AJ40&lt;=Lists!N$21),MAX(0,MIN(Lists!N$21,$AK40)-MAX(Lists!N$22,$AJ40))/($AK40-$AJ40))+N($G40)*IF($AM40-$AL40&lt;1,($AL40&gt;Lists!N$22)*($AL40&lt;=Lists!N$21),MAX(0,MIN(Lists!N$21,$AM40)-MAX(Lists!N$22,$AL40))/($AM40-$AL40))))))))</f>
        <v>0</v>
      </c>
      <c r="Y40" s="53" t="n">
        <f aca="false">IF($H40=0,0,IF($AP40="X",0,IF($AP40="S",$H40/$AO40*(MIN($AO40,MAX(0,INT((Lists!O$21-N($J40))/7)+1))-MIN($AO40,MAX(0,INT((Lists!O$22-N($J40))/7)+1))),IF($AP40="D",$H40*MAX(0,MIN(Lists!O$21,N($J40)+$AO40)-MAX(Lists!O$22,N($J40)))/$AO40,IF($AP40="M",$H40/$AO40*(IF(Lists!O$21&lt;$J40,0,MIN($AO40,(((YEAR(Lists!O$21)-YEAR($J40))*12+MONTH(Lists!O$21)-MONTH($J40))-(EDATE($J40,((YEAR(Lists!O$21)-YEAR($J40))*12+MONTH(Lists!O$21)-MONTH($J40)))&gt;Lists!O$21)+1)))-IF(Lists!O$22&lt;$J40,0,MIN($AO40,(((YEAR(Lists!O$22)-YEAR($J40))*12+MONTH(Lists!O$22)-MONTH($J40))-(EDATE($J40,((YEAR(Lists!O$22)-YEAR($J40))*12+MONTH(Lists!O$22)-MONTH($J40)))&gt;Lists!O$22)+1)))),IF($AP40="F",IF(N($K40)&lt;=0,0,MIN(MAX(0,$H40),N($K40)*IF(Lists!O$21&lt;$J40,0,(((YEAR(Lists!O$21)-YEAR($J40))*12+MONTH(Lists!O$21)-MONTH($J40))-(EDATE($J40,((YEAR(Lists!O$21)-YEAR($J40))*12+MONTH(Lists!O$21)-MONTH($J40)))&gt;Lists!O$21)+1)))-MIN(MAX(0,$H40),N($K40)*IF(Lists!O$22&lt;$J40,0,(((YEAR(Lists!O$22)-YEAR($J40))*12+MONTH(Lists!O$22)-MONTH($J40))-(EDATE($J40,((YEAR(Lists!O$22)-YEAR($J40))*12+MONTH(Lists!O$22)-MONTH($J40)))&gt;Lists!O$22)+1)))),N($C40)*IF($AE40-$AD40&lt;1,($AD40&gt;Lists!O$22)*($AD40&lt;=Lists!O$21),MAX(0,MIN(Lists!O$21,$AE40)-MAX(Lists!O$22,$AD40))/($AE40-$AD40))+N($D40)*IF($AG40-$AF40&lt;1,($AF40&gt;Lists!O$22)*($AF40&lt;=Lists!O$21),MAX(0,MIN(Lists!O$21,$AG40)-MAX(Lists!O$22,$AF40))/($AG40-$AF40))+N($E40)*IF($AI40-$AH40&lt;1,($AH40&gt;Lists!O$22)*($AH40&lt;=Lists!O$21),MAX(0,MIN(Lists!O$21,$AI40)-MAX(Lists!O$22,$AH40))/($AI40-$AH40))+N($F40)*IF($AK40-$AJ40&lt;1,($AJ40&gt;Lists!O$22)*($AJ40&lt;=Lists!O$21),MAX(0,MIN(Lists!O$21,$AK40)-MAX(Lists!O$22,$AJ40))/($AK40-$AJ40))+N($G40)*IF($AM40-$AL40&lt;1,($AL40&gt;Lists!O$22)*($AL40&lt;=Lists!O$21),MAX(0,MIN(Lists!O$21,$AM40)-MAX(Lists!O$22,$AL40))/($AM40-$AL40))))))))</f>
        <v>0</v>
      </c>
      <c r="Z40" s="46" t="n">
        <f aca="false">SUM(M40:Y40)</f>
        <v>0</v>
      </c>
      <c r="AA40" s="92" t="n">
        <f aca="false">H40-Z40</f>
        <v>0</v>
      </c>
      <c r="AB40" s="55"/>
      <c r="AC40" s="2"/>
      <c r="AD40" s="93" t="n">
        <f aca="false">Setup!$D$10+MAX(0,$AN40-30)</f>
        <v>46365</v>
      </c>
      <c r="AE40" s="93" t="n">
        <f aca="false">Setup!$D$10+IF($AN40-30&lt;0,MAX(Setup!$D$22,$AN40-0),$AN40-0)</f>
        <v>46395</v>
      </c>
      <c r="AF40" s="93" t="n">
        <f aca="false">Setup!$D$10+MAX(0,$AN40-60)</f>
        <v>46335</v>
      </c>
      <c r="AG40" s="93" t="n">
        <f aca="false">Setup!$D$10+IF($AN40-60&lt;0,MAX(Setup!$D$22,$AN40-31),$AN40-31)</f>
        <v>46364</v>
      </c>
      <c r="AH40" s="93" t="n">
        <f aca="false">Setup!$D$10+MAX(0,$AN40-90)</f>
        <v>46335</v>
      </c>
      <c r="AI40" s="93" t="n">
        <f aca="false">Setup!$D$10+IF($AN40-90&lt;0,MAX(Setup!$D$22,$AN40-61),$AN40-61)</f>
        <v>46363</v>
      </c>
      <c r="AJ40" s="93" t="n">
        <f aca="false">Setup!$D$10+MAX(0,$AN40-120)</f>
        <v>46335</v>
      </c>
      <c r="AK40" s="93" t="n">
        <f aca="false">Setup!$D$10+IF($AN40-120&lt;0,MAX(Setup!$D$22,$AN40-91),$AN40-91)</f>
        <v>46363</v>
      </c>
      <c r="AL40" s="93" t="n">
        <f aca="false">IF(Setup!$D$23="Yes",2958465,Setup!$D$10)</f>
        <v>2958465</v>
      </c>
      <c r="AM40" s="93" t="n">
        <f aca="false">IF(AL40=2958465,AL40,Setup!$D$10+Setup!$D$22)</f>
        <v>2958465</v>
      </c>
      <c r="AN40" s="94" t="n">
        <f aca="false">IF(N(L40)=0,Setup!$D$20,L40)</f>
        <v>60</v>
      </c>
      <c r="AO40" s="94" t="n">
        <f aca="false">MAX(1,ROUND(N(K40),0))</f>
        <v>1</v>
      </c>
      <c r="AP40" s="95" t="str">
        <f aca="false">IF(I40="Doubtful","X",IF(N(J40)=0,"A",IF(I40="Specific date","S",IF(I40="Spread over days","D",IF(I40="Monthly on set day","M",IF(I40="Monthly fixed amount","F","A"))))))</f>
        <v>A</v>
      </c>
    </row>
    <row r="41" customFormat="false" ht="15" hidden="false" customHeight="false" outlineLevel="0" collapsed="false">
      <c r="A41" s="87" t="n">
        <v>33</v>
      </c>
      <c r="B41" s="55"/>
      <c r="C41" s="88"/>
      <c r="D41" s="88"/>
      <c r="E41" s="88"/>
      <c r="F41" s="88"/>
      <c r="G41" s="88"/>
      <c r="H41" s="89" t="n">
        <f aca="false">SUM(C41:G41)</f>
        <v>0</v>
      </c>
      <c r="I41" s="58"/>
      <c r="J41" s="90"/>
      <c r="K41" s="91"/>
      <c r="L41" s="80"/>
      <c r="M41" s="53" t="n">
        <f aca="false">IF($H41=0,0,IF($AP41="X",0,IF($AP41="S",$H41/$AO41*(MIN($AO41,MAX(0,INT((Lists!C$21-N($J41))/7)+1))-MIN($AO41,MAX(0,INT((Lists!C$22-N($J41))/7)+1))),IF($AP41="D",$H41*MAX(0,MIN(Lists!C$21,N($J41)+$AO41)-MAX(Lists!C$22,N($J41)))/$AO41,IF($AP41="M",$H41/$AO41*(IF(Lists!C$21&lt;$J41,0,MIN($AO41,(((YEAR(Lists!C$21)-YEAR($J41))*12+MONTH(Lists!C$21)-MONTH($J41))-(EDATE($J41,((YEAR(Lists!C$21)-YEAR($J41))*12+MONTH(Lists!C$21)-MONTH($J41)))&gt;Lists!C$21)+1)))-IF(Lists!C$22&lt;$J41,0,MIN($AO41,(((YEAR(Lists!C$22)-YEAR($J41))*12+MONTH(Lists!C$22)-MONTH($J41))-(EDATE($J41,((YEAR(Lists!C$22)-YEAR($J41))*12+MONTH(Lists!C$22)-MONTH($J41)))&gt;Lists!C$22)+1)))),IF($AP41="F",IF(N($K41)&lt;=0,0,MIN(MAX(0,$H41),N($K41)*IF(Lists!C$21&lt;$J41,0,(((YEAR(Lists!C$21)-YEAR($J41))*12+MONTH(Lists!C$21)-MONTH($J41))-(EDATE($J41,((YEAR(Lists!C$21)-YEAR($J41))*12+MONTH(Lists!C$21)-MONTH($J41)))&gt;Lists!C$21)+1)))-MIN(MAX(0,$H41),N($K41)*IF(Lists!C$22&lt;$J41,0,(((YEAR(Lists!C$22)-YEAR($J41))*12+MONTH(Lists!C$22)-MONTH($J41))-(EDATE($J41,((YEAR(Lists!C$22)-YEAR($J41))*12+MONTH(Lists!C$22)-MONTH($J41)))&gt;Lists!C$22)+1)))),N($C41)*IF($AE41-$AD41&lt;1,($AD41&gt;Lists!C$22)*($AD41&lt;=Lists!C$21),MAX(0,MIN(Lists!C$21,$AE41)-MAX(Lists!C$22,$AD41))/($AE41-$AD41))+N($D41)*IF($AG41-$AF41&lt;1,($AF41&gt;Lists!C$22)*($AF41&lt;=Lists!C$21),MAX(0,MIN(Lists!C$21,$AG41)-MAX(Lists!C$22,$AF41))/($AG41-$AF41))+N($E41)*IF($AI41-$AH41&lt;1,($AH41&gt;Lists!C$22)*($AH41&lt;=Lists!C$21),MAX(0,MIN(Lists!C$21,$AI41)-MAX(Lists!C$22,$AH41))/($AI41-$AH41))+N($F41)*IF($AK41-$AJ41&lt;1,($AJ41&gt;Lists!C$22)*($AJ41&lt;=Lists!C$21),MAX(0,MIN(Lists!C$21,$AK41)-MAX(Lists!C$22,$AJ41))/($AK41-$AJ41))+N($G41)*IF($AM41-$AL41&lt;1,($AL41&gt;Lists!C$22)*($AL41&lt;=Lists!C$21),MAX(0,MIN(Lists!C$21,$AM41)-MAX(Lists!C$22,$AL41))/($AM41-$AL41))))))))</f>
        <v>0</v>
      </c>
      <c r="N41" s="53" t="n">
        <f aca="false">IF($H41=0,0,IF($AP41="X",0,IF($AP41="S",$H41/$AO41*(MIN($AO41,MAX(0,INT((Lists!D$21-N($J41))/7)+1))-MIN($AO41,MAX(0,INT((Lists!D$22-N($J41))/7)+1))),IF($AP41="D",$H41*MAX(0,MIN(Lists!D$21,N($J41)+$AO41)-MAX(Lists!D$22,N($J41)))/$AO41,IF($AP41="M",$H41/$AO41*(IF(Lists!D$21&lt;$J41,0,MIN($AO41,(((YEAR(Lists!D$21)-YEAR($J41))*12+MONTH(Lists!D$21)-MONTH($J41))-(EDATE($J41,((YEAR(Lists!D$21)-YEAR($J41))*12+MONTH(Lists!D$21)-MONTH($J41)))&gt;Lists!D$21)+1)))-IF(Lists!D$22&lt;$J41,0,MIN($AO41,(((YEAR(Lists!D$22)-YEAR($J41))*12+MONTH(Lists!D$22)-MONTH($J41))-(EDATE($J41,((YEAR(Lists!D$22)-YEAR($J41))*12+MONTH(Lists!D$22)-MONTH($J41)))&gt;Lists!D$22)+1)))),IF($AP41="F",IF(N($K41)&lt;=0,0,MIN(MAX(0,$H41),N($K41)*IF(Lists!D$21&lt;$J41,0,(((YEAR(Lists!D$21)-YEAR($J41))*12+MONTH(Lists!D$21)-MONTH($J41))-(EDATE($J41,((YEAR(Lists!D$21)-YEAR($J41))*12+MONTH(Lists!D$21)-MONTH($J41)))&gt;Lists!D$21)+1)))-MIN(MAX(0,$H41),N($K41)*IF(Lists!D$22&lt;$J41,0,(((YEAR(Lists!D$22)-YEAR($J41))*12+MONTH(Lists!D$22)-MONTH($J41))-(EDATE($J41,((YEAR(Lists!D$22)-YEAR($J41))*12+MONTH(Lists!D$22)-MONTH($J41)))&gt;Lists!D$22)+1)))),N($C41)*IF($AE41-$AD41&lt;1,($AD41&gt;Lists!D$22)*($AD41&lt;=Lists!D$21),MAX(0,MIN(Lists!D$21,$AE41)-MAX(Lists!D$22,$AD41))/($AE41-$AD41))+N($D41)*IF($AG41-$AF41&lt;1,($AF41&gt;Lists!D$22)*($AF41&lt;=Lists!D$21),MAX(0,MIN(Lists!D$21,$AG41)-MAX(Lists!D$22,$AF41))/($AG41-$AF41))+N($E41)*IF($AI41-$AH41&lt;1,($AH41&gt;Lists!D$22)*($AH41&lt;=Lists!D$21),MAX(0,MIN(Lists!D$21,$AI41)-MAX(Lists!D$22,$AH41))/($AI41-$AH41))+N($F41)*IF($AK41-$AJ41&lt;1,($AJ41&gt;Lists!D$22)*($AJ41&lt;=Lists!D$21),MAX(0,MIN(Lists!D$21,$AK41)-MAX(Lists!D$22,$AJ41))/($AK41-$AJ41))+N($G41)*IF($AM41-$AL41&lt;1,($AL41&gt;Lists!D$22)*($AL41&lt;=Lists!D$21),MAX(0,MIN(Lists!D$21,$AM41)-MAX(Lists!D$22,$AL41))/($AM41-$AL41))))))))</f>
        <v>0</v>
      </c>
      <c r="O41" s="53" t="n">
        <f aca="false">IF($H41=0,0,IF($AP41="X",0,IF($AP41="S",$H41/$AO41*(MIN($AO41,MAX(0,INT((Lists!E$21-N($J41))/7)+1))-MIN($AO41,MAX(0,INT((Lists!E$22-N($J41))/7)+1))),IF($AP41="D",$H41*MAX(0,MIN(Lists!E$21,N($J41)+$AO41)-MAX(Lists!E$22,N($J41)))/$AO41,IF($AP41="M",$H41/$AO41*(IF(Lists!E$21&lt;$J41,0,MIN($AO41,(((YEAR(Lists!E$21)-YEAR($J41))*12+MONTH(Lists!E$21)-MONTH($J41))-(EDATE($J41,((YEAR(Lists!E$21)-YEAR($J41))*12+MONTH(Lists!E$21)-MONTH($J41)))&gt;Lists!E$21)+1)))-IF(Lists!E$22&lt;$J41,0,MIN($AO41,(((YEAR(Lists!E$22)-YEAR($J41))*12+MONTH(Lists!E$22)-MONTH($J41))-(EDATE($J41,((YEAR(Lists!E$22)-YEAR($J41))*12+MONTH(Lists!E$22)-MONTH($J41)))&gt;Lists!E$22)+1)))),IF($AP41="F",IF(N($K41)&lt;=0,0,MIN(MAX(0,$H41),N($K41)*IF(Lists!E$21&lt;$J41,0,(((YEAR(Lists!E$21)-YEAR($J41))*12+MONTH(Lists!E$21)-MONTH($J41))-(EDATE($J41,((YEAR(Lists!E$21)-YEAR($J41))*12+MONTH(Lists!E$21)-MONTH($J41)))&gt;Lists!E$21)+1)))-MIN(MAX(0,$H41),N($K41)*IF(Lists!E$22&lt;$J41,0,(((YEAR(Lists!E$22)-YEAR($J41))*12+MONTH(Lists!E$22)-MONTH($J41))-(EDATE($J41,((YEAR(Lists!E$22)-YEAR($J41))*12+MONTH(Lists!E$22)-MONTH($J41)))&gt;Lists!E$22)+1)))),N($C41)*IF($AE41-$AD41&lt;1,($AD41&gt;Lists!E$22)*($AD41&lt;=Lists!E$21),MAX(0,MIN(Lists!E$21,$AE41)-MAX(Lists!E$22,$AD41))/($AE41-$AD41))+N($D41)*IF($AG41-$AF41&lt;1,($AF41&gt;Lists!E$22)*($AF41&lt;=Lists!E$21),MAX(0,MIN(Lists!E$21,$AG41)-MAX(Lists!E$22,$AF41))/($AG41-$AF41))+N($E41)*IF($AI41-$AH41&lt;1,($AH41&gt;Lists!E$22)*($AH41&lt;=Lists!E$21),MAX(0,MIN(Lists!E$21,$AI41)-MAX(Lists!E$22,$AH41))/($AI41-$AH41))+N($F41)*IF($AK41-$AJ41&lt;1,($AJ41&gt;Lists!E$22)*($AJ41&lt;=Lists!E$21),MAX(0,MIN(Lists!E$21,$AK41)-MAX(Lists!E$22,$AJ41))/($AK41-$AJ41))+N($G41)*IF($AM41-$AL41&lt;1,($AL41&gt;Lists!E$22)*($AL41&lt;=Lists!E$21),MAX(0,MIN(Lists!E$21,$AM41)-MAX(Lists!E$22,$AL41))/($AM41-$AL41))))))))</f>
        <v>0</v>
      </c>
      <c r="P41" s="53" t="n">
        <f aca="false">IF($H41=0,0,IF($AP41="X",0,IF($AP41="S",$H41/$AO41*(MIN($AO41,MAX(0,INT((Lists!F$21-N($J41))/7)+1))-MIN($AO41,MAX(0,INT((Lists!F$22-N($J41))/7)+1))),IF($AP41="D",$H41*MAX(0,MIN(Lists!F$21,N($J41)+$AO41)-MAX(Lists!F$22,N($J41)))/$AO41,IF($AP41="M",$H41/$AO41*(IF(Lists!F$21&lt;$J41,0,MIN($AO41,(((YEAR(Lists!F$21)-YEAR($J41))*12+MONTH(Lists!F$21)-MONTH($J41))-(EDATE($J41,((YEAR(Lists!F$21)-YEAR($J41))*12+MONTH(Lists!F$21)-MONTH($J41)))&gt;Lists!F$21)+1)))-IF(Lists!F$22&lt;$J41,0,MIN($AO41,(((YEAR(Lists!F$22)-YEAR($J41))*12+MONTH(Lists!F$22)-MONTH($J41))-(EDATE($J41,((YEAR(Lists!F$22)-YEAR($J41))*12+MONTH(Lists!F$22)-MONTH($J41)))&gt;Lists!F$22)+1)))),IF($AP41="F",IF(N($K41)&lt;=0,0,MIN(MAX(0,$H41),N($K41)*IF(Lists!F$21&lt;$J41,0,(((YEAR(Lists!F$21)-YEAR($J41))*12+MONTH(Lists!F$21)-MONTH($J41))-(EDATE($J41,((YEAR(Lists!F$21)-YEAR($J41))*12+MONTH(Lists!F$21)-MONTH($J41)))&gt;Lists!F$21)+1)))-MIN(MAX(0,$H41),N($K41)*IF(Lists!F$22&lt;$J41,0,(((YEAR(Lists!F$22)-YEAR($J41))*12+MONTH(Lists!F$22)-MONTH($J41))-(EDATE($J41,((YEAR(Lists!F$22)-YEAR($J41))*12+MONTH(Lists!F$22)-MONTH($J41)))&gt;Lists!F$22)+1)))),N($C41)*IF($AE41-$AD41&lt;1,($AD41&gt;Lists!F$22)*($AD41&lt;=Lists!F$21),MAX(0,MIN(Lists!F$21,$AE41)-MAX(Lists!F$22,$AD41))/($AE41-$AD41))+N($D41)*IF($AG41-$AF41&lt;1,($AF41&gt;Lists!F$22)*($AF41&lt;=Lists!F$21),MAX(0,MIN(Lists!F$21,$AG41)-MAX(Lists!F$22,$AF41))/($AG41-$AF41))+N($E41)*IF($AI41-$AH41&lt;1,($AH41&gt;Lists!F$22)*($AH41&lt;=Lists!F$21),MAX(0,MIN(Lists!F$21,$AI41)-MAX(Lists!F$22,$AH41))/($AI41-$AH41))+N($F41)*IF($AK41-$AJ41&lt;1,($AJ41&gt;Lists!F$22)*($AJ41&lt;=Lists!F$21),MAX(0,MIN(Lists!F$21,$AK41)-MAX(Lists!F$22,$AJ41))/($AK41-$AJ41))+N($G41)*IF($AM41-$AL41&lt;1,($AL41&gt;Lists!F$22)*($AL41&lt;=Lists!F$21),MAX(0,MIN(Lists!F$21,$AM41)-MAX(Lists!F$22,$AL41))/($AM41-$AL41))))))))</f>
        <v>0</v>
      </c>
      <c r="Q41" s="53" t="n">
        <f aca="false">IF($H41=0,0,IF($AP41="X",0,IF($AP41="S",$H41/$AO41*(MIN($AO41,MAX(0,INT((Lists!G$21-N($J41))/7)+1))-MIN($AO41,MAX(0,INT((Lists!G$22-N($J41))/7)+1))),IF($AP41="D",$H41*MAX(0,MIN(Lists!G$21,N($J41)+$AO41)-MAX(Lists!G$22,N($J41)))/$AO41,IF($AP41="M",$H41/$AO41*(IF(Lists!G$21&lt;$J41,0,MIN($AO41,(((YEAR(Lists!G$21)-YEAR($J41))*12+MONTH(Lists!G$21)-MONTH($J41))-(EDATE($J41,((YEAR(Lists!G$21)-YEAR($J41))*12+MONTH(Lists!G$21)-MONTH($J41)))&gt;Lists!G$21)+1)))-IF(Lists!G$22&lt;$J41,0,MIN($AO41,(((YEAR(Lists!G$22)-YEAR($J41))*12+MONTH(Lists!G$22)-MONTH($J41))-(EDATE($J41,((YEAR(Lists!G$22)-YEAR($J41))*12+MONTH(Lists!G$22)-MONTH($J41)))&gt;Lists!G$22)+1)))),IF($AP41="F",IF(N($K41)&lt;=0,0,MIN(MAX(0,$H41),N($K41)*IF(Lists!G$21&lt;$J41,0,(((YEAR(Lists!G$21)-YEAR($J41))*12+MONTH(Lists!G$21)-MONTH($J41))-(EDATE($J41,((YEAR(Lists!G$21)-YEAR($J41))*12+MONTH(Lists!G$21)-MONTH($J41)))&gt;Lists!G$21)+1)))-MIN(MAX(0,$H41),N($K41)*IF(Lists!G$22&lt;$J41,0,(((YEAR(Lists!G$22)-YEAR($J41))*12+MONTH(Lists!G$22)-MONTH($J41))-(EDATE($J41,((YEAR(Lists!G$22)-YEAR($J41))*12+MONTH(Lists!G$22)-MONTH($J41)))&gt;Lists!G$22)+1)))),N($C41)*IF($AE41-$AD41&lt;1,($AD41&gt;Lists!G$22)*($AD41&lt;=Lists!G$21),MAX(0,MIN(Lists!G$21,$AE41)-MAX(Lists!G$22,$AD41))/($AE41-$AD41))+N($D41)*IF($AG41-$AF41&lt;1,($AF41&gt;Lists!G$22)*($AF41&lt;=Lists!G$21),MAX(0,MIN(Lists!G$21,$AG41)-MAX(Lists!G$22,$AF41))/($AG41-$AF41))+N($E41)*IF($AI41-$AH41&lt;1,($AH41&gt;Lists!G$22)*($AH41&lt;=Lists!G$21),MAX(0,MIN(Lists!G$21,$AI41)-MAX(Lists!G$22,$AH41))/($AI41-$AH41))+N($F41)*IF($AK41-$AJ41&lt;1,($AJ41&gt;Lists!G$22)*($AJ41&lt;=Lists!G$21),MAX(0,MIN(Lists!G$21,$AK41)-MAX(Lists!G$22,$AJ41))/($AK41-$AJ41))+N($G41)*IF($AM41-$AL41&lt;1,($AL41&gt;Lists!G$22)*($AL41&lt;=Lists!G$21),MAX(0,MIN(Lists!G$21,$AM41)-MAX(Lists!G$22,$AL41))/($AM41-$AL41))))))))</f>
        <v>0</v>
      </c>
      <c r="R41" s="53" t="n">
        <f aca="false">IF($H41=0,0,IF($AP41="X",0,IF($AP41="S",$H41/$AO41*(MIN($AO41,MAX(0,INT((Lists!H$21-N($J41))/7)+1))-MIN($AO41,MAX(0,INT((Lists!H$22-N($J41))/7)+1))),IF($AP41="D",$H41*MAX(0,MIN(Lists!H$21,N($J41)+$AO41)-MAX(Lists!H$22,N($J41)))/$AO41,IF($AP41="M",$H41/$AO41*(IF(Lists!H$21&lt;$J41,0,MIN($AO41,(((YEAR(Lists!H$21)-YEAR($J41))*12+MONTH(Lists!H$21)-MONTH($J41))-(EDATE($J41,((YEAR(Lists!H$21)-YEAR($J41))*12+MONTH(Lists!H$21)-MONTH($J41)))&gt;Lists!H$21)+1)))-IF(Lists!H$22&lt;$J41,0,MIN($AO41,(((YEAR(Lists!H$22)-YEAR($J41))*12+MONTH(Lists!H$22)-MONTH($J41))-(EDATE($J41,((YEAR(Lists!H$22)-YEAR($J41))*12+MONTH(Lists!H$22)-MONTH($J41)))&gt;Lists!H$22)+1)))),IF($AP41="F",IF(N($K41)&lt;=0,0,MIN(MAX(0,$H41),N($K41)*IF(Lists!H$21&lt;$J41,0,(((YEAR(Lists!H$21)-YEAR($J41))*12+MONTH(Lists!H$21)-MONTH($J41))-(EDATE($J41,((YEAR(Lists!H$21)-YEAR($J41))*12+MONTH(Lists!H$21)-MONTH($J41)))&gt;Lists!H$21)+1)))-MIN(MAX(0,$H41),N($K41)*IF(Lists!H$22&lt;$J41,0,(((YEAR(Lists!H$22)-YEAR($J41))*12+MONTH(Lists!H$22)-MONTH($J41))-(EDATE($J41,((YEAR(Lists!H$22)-YEAR($J41))*12+MONTH(Lists!H$22)-MONTH($J41)))&gt;Lists!H$22)+1)))),N($C41)*IF($AE41-$AD41&lt;1,($AD41&gt;Lists!H$22)*($AD41&lt;=Lists!H$21),MAX(0,MIN(Lists!H$21,$AE41)-MAX(Lists!H$22,$AD41))/($AE41-$AD41))+N($D41)*IF($AG41-$AF41&lt;1,($AF41&gt;Lists!H$22)*($AF41&lt;=Lists!H$21),MAX(0,MIN(Lists!H$21,$AG41)-MAX(Lists!H$22,$AF41))/($AG41-$AF41))+N($E41)*IF($AI41-$AH41&lt;1,($AH41&gt;Lists!H$22)*($AH41&lt;=Lists!H$21),MAX(0,MIN(Lists!H$21,$AI41)-MAX(Lists!H$22,$AH41))/($AI41-$AH41))+N($F41)*IF($AK41-$AJ41&lt;1,($AJ41&gt;Lists!H$22)*($AJ41&lt;=Lists!H$21),MAX(0,MIN(Lists!H$21,$AK41)-MAX(Lists!H$22,$AJ41))/($AK41-$AJ41))+N($G41)*IF($AM41-$AL41&lt;1,($AL41&gt;Lists!H$22)*($AL41&lt;=Lists!H$21),MAX(0,MIN(Lists!H$21,$AM41)-MAX(Lists!H$22,$AL41))/($AM41-$AL41))))))))</f>
        <v>0</v>
      </c>
      <c r="S41" s="53" t="n">
        <f aca="false">IF($H41=0,0,IF($AP41="X",0,IF($AP41="S",$H41/$AO41*(MIN($AO41,MAX(0,INT((Lists!I$21-N($J41))/7)+1))-MIN($AO41,MAX(0,INT((Lists!I$22-N($J41))/7)+1))),IF($AP41="D",$H41*MAX(0,MIN(Lists!I$21,N($J41)+$AO41)-MAX(Lists!I$22,N($J41)))/$AO41,IF($AP41="M",$H41/$AO41*(IF(Lists!I$21&lt;$J41,0,MIN($AO41,(((YEAR(Lists!I$21)-YEAR($J41))*12+MONTH(Lists!I$21)-MONTH($J41))-(EDATE($J41,((YEAR(Lists!I$21)-YEAR($J41))*12+MONTH(Lists!I$21)-MONTH($J41)))&gt;Lists!I$21)+1)))-IF(Lists!I$22&lt;$J41,0,MIN($AO41,(((YEAR(Lists!I$22)-YEAR($J41))*12+MONTH(Lists!I$22)-MONTH($J41))-(EDATE($J41,((YEAR(Lists!I$22)-YEAR($J41))*12+MONTH(Lists!I$22)-MONTH($J41)))&gt;Lists!I$22)+1)))),IF($AP41="F",IF(N($K41)&lt;=0,0,MIN(MAX(0,$H41),N($K41)*IF(Lists!I$21&lt;$J41,0,(((YEAR(Lists!I$21)-YEAR($J41))*12+MONTH(Lists!I$21)-MONTH($J41))-(EDATE($J41,((YEAR(Lists!I$21)-YEAR($J41))*12+MONTH(Lists!I$21)-MONTH($J41)))&gt;Lists!I$21)+1)))-MIN(MAX(0,$H41),N($K41)*IF(Lists!I$22&lt;$J41,0,(((YEAR(Lists!I$22)-YEAR($J41))*12+MONTH(Lists!I$22)-MONTH($J41))-(EDATE($J41,((YEAR(Lists!I$22)-YEAR($J41))*12+MONTH(Lists!I$22)-MONTH($J41)))&gt;Lists!I$22)+1)))),N($C41)*IF($AE41-$AD41&lt;1,($AD41&gt;Lists!I$22)*($AD41&lt;=Lists!I$21),MAX(0,MIN(Lists!I$21,$AE41)-MAX(Lists!I$22,$AD41))/($AE41-$AD41))+N($D41)*IF($AG41-$AF41&lt;1,($AF41&gt;Lists!I$22)*($AF41&lt;=Lists!I$21),MAX(0,MIN(Lists!I$21,$AG41)-MAX(Lists!I$22,$AF41))/($AG41-$AF41))+N($E41)*IF($AI41-$AH41&lt;1,($AH41&gt;Lists!I$22)*($AH41&lt;=Lists!I$21),MAX(0,MIN(Lists!I$21,$AI41)-MAX(Lists!I$22,$AH41))/($AI41-$AH41))+N($F41)*IF($AK41-$AJ41&lt;1,($AJ41&gt;Lists!I$22)*($AJ41&lt;=Lists!I$21),MAX(0,MIN(Lists!I$21,$AK41)-MAX(Lists!I$22,$AJ41))/($AK41-$AJ41))+N($G41)*IF($AM41-$AL41&lt;1,($AL41&gt;Lists!I$22)*($AL41&lt;=Lists!I$21),MAX(0,MIN(Lists!I$21,$AM41)-MAX(Lists!I$22,$AL41))/($AM41-$AL41))))))))</f>
        <v>0</v>
      </c>
      <c r="T41" s="53" t="n">
        <f aca="false">IF($H41=0,0,IF($AP41="X",0,IF($AP41="S",$H41/$AO41*(MIN($AO41,MAX(0,INT((Lists!J$21-N($J41))/7)+1))-MIN($AO41,MAX(0,INT((Lists!J$22-N($J41))/7)+1))),IF($AP41="D",$H41*MAX(0,MIN(Lists!J$21,N($J41)+$AO41)-MAX(Lists!J$22,N($J41)))/$AO41,IF($AP41="M",$H41/$AO41*(IF(Lists!J$21&lt;$J41,0,MIN($AO41,(((YEAR(Lists!J$21)-YEAR($J41))*12+MONTH(Lists!J$21)-MONTH($J41))-(EDATE($J41,((YEAR(Lists!J$21)-YEAR($J41))*12+MONTH(Lists!J$21)-MONTH($J41)))&gt;Lists!J$21)+1)))-IF(Lists!J$22&lt;$J41,0,MIN($AO41,(((YEAR(Lists!J$22)-YEAR($J41))*12+MONTH(Lists!J$22)-MONTH($J41))-(EDATE($J41,((YEAR(Lists!J$22)-YEAR($J41))*12+MONTH(Lists!J$22)-MONTH($J41)))&gt;Lists!J$22)+1)))),IF($AP41="F",IF(N($K41)&lt;=0,0,MIN(MAX(0,$H41),N($K41)*IF(Lists!J$21&lt;$J41,0,(((YEAR(Lists!J$21)-YEAR($J41))*12+MONTH(Lists!J$21)-MONTH($J41))-(EDATE($J41,((YEAR(Lists!J$21)-YEAR($J41))*12+MONTH(Lists!J$21)-MONTH($J41)))&gt;Lists!J$21)+1)))-MIN(MAX(0,$H41),N($K41)*IF(Lists!J$22&lt;$J41,0,(((YEAR(Lists!J$22)-YEAR($J41))*12+MONTH(Lists!J$22)-MONTH($J41))-(EDATE($J41,((YEAR(Lists!J$22)-YEAR($J41))*12+MONTH(Lists!J$22)-MONTH($J41)))&gt;Lists!J$22)+1)))),N($C41)*IF($AE41-$AD41&lt;1,($AD41&gt;Lists!J$22)*($AD41&lt;=Lists!J$21),MAX(0,MIN(Lists!J$21,$AE41)-MAX(Lists!J$22,$AD41))/($AE41-$AD41))+N($D41)*IF($AG41-$AF41&lt;1,($AF41&gt;Lists!J$22)*($AF41&lt;=Lists!J$21),MAX(0,MIN(Lists!J$21,$AG41)-MAX(Lists!J$22,$AF41))/($AG41-$AF41))+N($E41)*IF($AI41-$AH41&lt;1,($AH41&gt;Lists!J$22)*($AH41&lt;=Lists!J$21),MAX(0,MIN(Lists!J$21,$AI41)-MAX(Lists!J$22,$AH41))/($AI41-$AH41))+N($F41)*IF($AK41-$AJ41&lt;1,($AJ41&gt;Lists!J$22)*($AJ41&lt;=Lists!J$21),MAX(0,MIN(Lists!J$21,$AK41)-MAX(Lists!J$22,$AJ41))/($AK41-$AJ41))+N($G41)*IF($AM41-$AL41&lt;1,($AL41&gt;Lists!J$22)*($AL41&lt;=Lists!J$21),MAX(0,MIN(Lists!J$21,$AM41)-MAX(Lists!J$22,$AL41))/($AM41-$AL41))))))))</f>
        <v>0</v>
      </c>
      <c r="U41" s="53" t="n">
        <f aca="false">IF($H41=0,0,IF($AP41="X",0,IF($AP41="S",$H41/$AO41*(MIN($AO41,MAX(0,INT((Lists!K$21-N($J41))/7)+1))-MIN($AO41,MAX(0,INT((Lists!K$22-N($J41))/7)+1))),IF($AP41="D",$H41*MAX(0,MIN(Lists!K$21,N($J41)+$AO41)-MAX(Lists!K$22,N($J41)))/$AO41,IF($AP41="M",$H41/$AO41*(IF(Lists!K$21&lt;$J41,0,MIN($AO41,(((YEAR(Lists!K$21)-YEAR($J41))*12+MONTH(Lists!K$21)-MONTH($J41))-(EDATE($J41,((YEAR(Lists!K$21)-YEAR($J41))*12+MONTH(Lists!K$21)-MONTH($J41)))&gt;Lists!K$21)+1)))-IF(Lists!K$22&lt;$J41,0,MIN($AO41,(((YEAR(Lists!K$22)-YEAR($J41))*12+MONTH(Lists!K$22)-MONTH($J41))-(EDATE($J41,((YEAR(Lists!K$22)-YEAR($J41))*12+MONTH(Lists!K$22)-MONTH($J41)))&gt;Lists!K$22)+1)))),IF($AP41="F",IF(N($K41)&lt;=0,0,MIN(MAX(0,$H41),N($K41)*IF(Lists!K$21&lt;$J41,0,(((YEAR(Lists!K$21)-YEAR($J41))*12+MONTH(Lists!K$21)-MONTH($J41))-(EDATE($J41,((YEAR(Lists!K$21)-YEAR($J41))*12+MONTH(Lists!K$21)-MONTH($J41)))&gt;Lists!K$21)+1)))-MIN(MAX(0,$H41),N($K41)*IF(Lists!K$22&lt;$J41,0,(((YEAR(Lists!K$22)-YEAR($J41))*12+MONTH(Lists!K$22)-MONTH($J41))-(EDATE($J41,((YEAR(Lists!K$22)-YEAR($J41))*12+MONTH(Lists!K$22)-MONTH($J41)))&gt;Lists!K$22)+1)))),N($C41)*IF($AE41-$AD41&lt;1,($AD41&gt;Lists!K$22)*($AD41&lt;=Lists!K$21),MAX(0,MIN(Lists!K$21,$AE41)-MAX(Lists!K$22,$AD41))/($AE41-$AD41))+N($D41)*IF($AG41-$AF41&lt;1,($AF41&gt;Lists!K$22)*($AF41&lt;=Lists!K$21),MAX(0,MIN(Lists!K$21,$AG41)-MAX(Lists!K$22,$AF41))/($AG41-$AF41))+N($E41)*IF($AI41-$AH41&lt;1,($AH41&gt;Lists!K$22)*($AH41&lt;=Lists!K$21),MAX(0,MIN(Lists!K$21,$AI41)-MAX(Lists!K$22,$AH41))/($AI41-$AH41))+N($F41)*IF($AK41-$AJ41&lt;1,($AJ41&gt;Lists!K$22)*($AJ41&lt;=Lists!K$21),MAX(0,MIN(Lists!K$21,$AK41)-MAX(Lists!K$22,$AJ41))/($AK41-$AJ41))+N($G41)*IF($AM41-$AL41&lt;1,($AL41&gt;Lists!K$22)*($AL41&lt;=Lists!K$21),MAX(0,MIN(Lists!K$21,$AM41)-MAX(Lists!K$22,$AL41))/($AM41-$AL41))))))))</f>
        <v>0</v>
      </c>
      <c r="V41" s="53" t="n">
        <f aca="false">IF($H41=0,0,IF($AP41="X",0,IF($AP41="S",$H41/$AO41*(MIN($AO41,MAX(0,INT((Lists!L$21-N($J41))/7)+1))-MIN($AO41,MAX(0,INT((Lists!L$22-N($J41))/7)+1))),IF($AP41="D",$H41*MAX(0,MIN(Lists!L$21,N($J41)+$AO41)-MAX(Lists!L$22,N($J41)))/$AO41,IF($AP41="M",$H41/$AO41*(IF(Lists!L$21&lt;$J41,0,MIN($AO41,(((YEAR(Lists!L$21)-YEAR($J41))*12+MONTH(Lists!L$21)-MONTH($J41))-(EDATE($J41,((YEAR(Lists!L$21)-YEAR($J41))*12+MONTH(Lists!L$21)-MONTH($J41)))&gt;Lists!L$21)+1)))-IF(Lists!L$22&lt;$J41,0,MIN($AO41,(((YEAR(Lists!L$22)-YEAR($J41))*12+MONTH(Lists!L$22)-MONTH($J41))-(EDATE($J41,((YEAR(Lists!L$22)-YEAR($J41))*12+MONTH(Lists!L$22)-MONTH($J41)))&gt;Lists!L$22)+1)))),IF($AP41="F",IF(N($K41)&lt;=0,0,MIN(MAX(0,$H41),N($K41)*IF(Lists!L$21&lt;$J41,0,(((YEAR(Lists!L$21)-YEAR($J41))*12+MONTH(Lists!L$21)-MONTH($J41))-(EDATE($J41,((YEAR(Lists!L$21)-YEAR($J41))*12+MONTH(Lists!L$21)-MONTH($J41)))&gt;Lists!L$21)+1)))-MIN(MAX(0,$H41),N($K41)*IF(Lists!L$22&lt;$J41,0,(((YEAR(Lists!L$22)-YEAR($J41))*12+MONTH(Lists!L$22)-MONTH($J41))-(EDATE($J41,((YEAR(Lists!L$22)-YEAR($J41))*12+MONTH(Lists!L$22)-MONTH($J41)))&gt;Lists!L$22)+1)))),N($C41)*IF($AE41-$AD41&lt;1,($AD41&gt;Lists!L$22)*($AD41&lt;=Lists!L$21),MAX(0,MIN(Lists!L$21,$AE41)-MAX(Lists!L$22,$AD41))/($AE41-$AD41))+N($D41)*IF($AG41-$AF41&lt;1,($AF41&gt;Lists!L$22)*($AF41&lt;=Lists!L$21),MAX(0,MIN(Lists!L$21,$AG41)-MAX(Lists!L$22,$AF41))/($AG41-$AF41))+N($E41)*IF($AI41-$AH41&lt;1,($AH41&gt;Lists!L$22)*($AH41&lt;=Lists!L$21),MAX(0,MIN(Lists!L$21,$AI41)-MAX(Lists!L$22,$AH41))/($AI41-$AH41))+N($F41)*IF($AK41-$AJ41&lt;1,($AJ41&gt;Lists!L$22)*($AJ41&lt;=Lists!L$21),MAX(0,MIN(Lists!L$21,$AK41)-MAX(Lists!L$22,$AJ41))/($AK41-$AJ41))+N($G41)*IF($AM41-$AL41&lt;1,($AL41&gt;Lists!L$22)*($AL41&lt;=Lists!L$21),MAX(0,MIN(Lists!L$21,$AM41)-MAX(Lists!L$22,$AL41))/($AM41-$AL41))))))))</f>
        <v>0</v>
      </c>
      <c r="W41" s="53" t="n">
        <f aca="false">IF($H41=0,0,IF($AP41="X",0,IF($AP41="S",$H41/$AO41*(MIN($AO41,MAX(0,INT((Lists!M$21-N($J41))/7)+1))-MIN($AO41,MAX(0,INT((Lists!M$22-N($J41))/7)+1))),IF($AP41="D",$H41*MAX(0,MIN(Lists!M$21,N($J41)+$AO41)-MAX(Lists!M$22,N($J41)))/$AO41,IF($AP41="M",$H41/$AO41*(IF(Lists!M$21&lt;$J41,0,MIN($AO41,(((YEAR(Lists!M$21)-YEAR($J41))*12+MONTH(Lists!M$21)-MONTH($J41))-(EDATE($J41,((YEAR(Lists!M$21)-YEAR($J41))*12+MONTH(Lists!M$21)-MONTH($J41)))&gt;Lists!M$21)+1)))-IF(Lists!M$22&lt;$J41,0,MIN($AO41,(((YEAR(Lists!M$22)-YEAR($J41))*12+MONTH(Lists!M$22)-MONTH($J41))-(EDATE($J41,((YEAR(Lists!M$22)-YEAR($J41))*12+MONTH(Lists!M$22)-MONTH($J41)))&gt;Lists!M$22)+1)))),IF($AP41="F",IF(N($K41)&lt;=0,0,MIN(MAX(0,$H41),N($K41)*IF(Lists!M$21&lt;$J41,0,(((YEAR(Lists!M$21)-YEAR($J41))*12+MONTH(Lists!M$21)-MONTH($J41))-(EDATE($J41,((YEAR(Lists!M$21)-YEAR($J41))*12+MONTH(Lists!M$21)-MONTH($J41)))&gt;Lists!M$21)+1)))-MIN(MAX(0,$H41),N($K41)*IF(Lists!M$22&lt;$J41,0,(((YEAR(Lists!M$22)-YEAR($J41))*12+MONTH(Lists!M$22)-MONTH($J41))-(EDATE($J41,((YEAR(Lists!M$22)-YEAR($J41))*12+MONTH(Lists!M$22)-MONTH($J41)))&gt;Lists!M$22)+1)))),N($C41)*IF($AE41-$AD41&lt;1,($AD41&gt;Lists!M$22)*($AD41&lt;=Lists!M$21),MAX(0,MIN(Lists!M$21,$AE41)-MAX(Lists!M$22,$AD41))/($AE41-$AD41))+N($D41)*IF($AG41-$AF41&lt;1,($AF41&gt;Lists!M$22)*($AF41&lt;=Lists!M$21),MAX(0,MIN(Lists!M$21,$AG41)-MAX(Lists!M$22,$AF41))/($AG41-$AF41))+N($E41)*IF($AI41-$AH41&lt;1,($AH41&gt;Lists!M$22)*($AH41&lt;=Lists!M$21),MAX(0,MIN(Lists!M$21,$AI41)-MAX(Lists!M$22,$AH41))/($AI41-$AH41))+N($F41)*IF($AK41-$AJ41&lt;1,($AJ41&gt;Lists!M$22)*($AJ41&lt;=Lists!M$21),MAX(0,MIN(Lists!M$21,$AK41)-MAX(Lists!M$22,$AJ41))/($AK41-$AJ41))+N($G41)*IF($AM41-$AL41&lt;1,($AL41&gt;Lists!M$22)*($AL41&lt;=Lists!M$21),MAX(0,MIN(Lists!M$21,$AM41)-MAX(Lists!M$22,$AL41))/($AM41-$AL41))))))))</f>
        <v>0</v>
      </c>
      <c r="X41" s="53" t="n">
        <f aca="false">IF($H41=0,0,IF($AP41="X",0,IF($AP41="S",$H41/$AO41*(MIN($AO41,MAX(0,INT((Lists!N$21-N($J41))/7)+1))-MIN($AO41,MAX(0,INT((Lists!N$22-N($J41))/7)+1))),IF($AP41="D",$H41*MAX(0,MIN(Lists!N$21,N($J41)+$AO41)-MAX(Lists!N$22,N($J41)))/$AO41,IF($AP41="M",$H41/$AO41*(IF(Lists!N$21&lt;$J41,0,MIN($AO41,(((YEAR(Lists!N$21)-YEAR($J41))*12+MONTH(Lists!N$21)-MONTH($J41))-(EDATE($J41,((YEAR(Lists!N$21)-YEAR($J41))*12+MONTH(Lists!N$21)-MONTH($J41)))&gt;Lists!N$21)+1)))-IF(Lists!N$22&lt;$J41,0,MIN($AO41,(((YEAR(Lists!N$22)-YEAR($J41))*12+MONTH(Lists!N$22)-MONTH($J41))-(EDATE($J41,((YEAR(Lists!N$22)-YEAR($J41))*12+MONTH(Lists!N$22)-MONTH($J41)))&gt;Lists!N$22)+1)))),IF($AP41="F",IF(N($K41)&lt;=0,0,MIN(MAX(0,$H41),N($K41)*IF(Lists!N$21&lt;$J41,0,(((YEAR(Lists!N$21)-YEAR($J41))*12+MONTH(Lists!N$21)-MONTH($J41))-(EDATE($J41,((YEAR(Lists!N$21)-YEAR($J41))*12+MONTH(Lists!N$21)-MONTH($J41)))&gt;Lists!N$21)+1)))-MIN(MAX(0,$H41),N($K41)*IF(Lists!N$22&lt;$J41,0,(((YEAR(Lists!N$22)-YEAR($J41))*12+MONTH(Lists!N$22)-MONTH($J41))-(EDATE($J41,((YEAR(Lists!N$22)-YEAR($J41))*12+MONTH(Lists!N$22)-MONTH($J41)))&gt;Lists!N$22)+1)))),N($C41)*IF($AE41-$AD41&lt;1,($AD41&gt;Lists!N$22)*($AD41&lt;=Lists!N$21),MAX(0,MIN(Lists!N$21,$AE41)-MAX(Lists!N$22,$AD41))/($AE41-$AD41))+N($D41)*IF($AG41-$AF41&lt;1,($AF41&gt;Lists!N$22)*($AF41&lt;=Lists!N$21),MAX(0,MIN(Lists!N$21,$AG41)-MAX(Lists!N$22,$AF41))/($AG41-$AF41))+N($E41)*IF($AI41-$AH41&lt;1,($AH41&gt;Lists!N$22)*($AH41&lt;=Lists!N$21),MAX(0,MIN(Lists!N$21,$AI41)-MAX(Lists!N$22,$AH41))/($AI41-$AH41))+N($F41)*IF($AK41-$AJ41&lt;1,($AJ41&gt;Lists!N$22)*($AJ41&lt;=Lists!N$21),MAX(0,MIN(Lists!N$21,$AK41)-MAX(Lists!N$22,$AJ41))/($AK41-$AJ41))+N($G41)*IF($AM41-$AL41&lt;1,($AL41&gt;Lists!N$22)*($AL41&lt;=Lists!N$21),MAX(0,MIN(Lists!N$21,$AM41)-MAX(Lists!N$22,$AL41))/($AM41-$AL41))))))))</f>
        <v>0</v>
      </c>
      <c r="Y41" s="53" t="n">
        <f aca="false">IF($H41=0,0,IF($AP41="X",0,IF($AP41="S",$H41/$AO41*(MIN($AO41,MAX(0,INT((Lists!O$21-N($J41))/7)+1))-MIN($AO41,MAX(0,INT((Lists!O$22-N($J41))/7)+1))),IF($AP41="D",$H41*MAX(0,MIN(Lists!O$21,N($J41)+$AO41)-MAX(Lists!O$22,N($J41)))/$AO41,IF($AP41="M",$H41/$AO41*(IF(Lists!O$21&lt;$J41,0,MIN($AO41,(((YEAR(Lists!O$21)-YEAR($J41))*12+MONTH(Lists!O$21)-MONTH($J41))-(EDATE($J41,((YEAR(Lists!O$21)-YEAR($J41))*12+MONTH(Lists!O$21)-MONTH($J41)))&gt;Lists!O$21)+1)))-IF(Lists!O$22&lt;$J41,0,MIN($AO41,(((YEAR(Lists!O$22)-YEAR($J41))*12+MONTH(Lists!O$22)-MONTH($J41))-(EDATE($J41,((YEAR(Lists!O$22)-YEAR($J41))*12+MONTH(Lists!O$22)-MONTH($J41)))&gt;Lists!O$22)+1)))),IF($AP41="F",IF(N($K41)&lt;=0,0,MIN(MAX(0,$H41),N($K41)*IF(Lists!O$21&lt;$J41,0,(((YEAR(Lists!O$21)-YEAR($J41))*12+MONTH(Lists!O$21)-MONTH($J41))-(EDATE($J41,((YEAR(Lists!O$21)-YEAR($J41))*12+MONTH(Lists!O$21)-MONTH($J41)))&gt;Lists!O$21)+1)))-MIN(MAX(0,$H41),N($K41)*IF(Lists!O$22&lt;$J41,0,(((YEAR(Lists!O$22)-YEAR($J41))*12+MONTH(Lists!O$22)-MONTH($J41))-(EDATE($J41,((YEAR(Lists!O$22)-YEAR($J41))*12+MONTH(Lists!O$22)-MONTH($J41)))&gt;Lists!O$22)+1)))),N($C41)*IF($AE41-$AD41&lt;1,($AD41&gt;Lists!O$22)*($AD41&lt;=Lists!O$21),MAX(0,MIN(Lists!O$21,$AE41)-MAX(Lists!O$22,$AD41))/($AE41-$AD41))+N($D41)*IF($AG41-$AF41&lt;1,($AF41&gt;Lists!O$22)*($AF41&lt;=Lists!O$21),MAX(0,MIN(Lists!O$21,$AG41)-MAX(Lists!O$22,$AF41))/($AG41-$AF41))+N($E41)*IF($AI41-$AH41&lt;1,($AH41&gt;Lists!O$22)*($AH41&lt;=Lists!O$21),MAX(0,MIN(Lists!O$21,$AI41)-MAX(Lists!O$22,$AH41))/($AI41-$AH41))+N($F41)*IF($AK41-$AJ41&lt;1,($AJ41&gt;Lists!O$22)*($AJ41&lt;=Lists!O$21),MAX(0,MIN(Lists!O$21,$AK41)-MAX(Lists!O$22,$AJ41))/($AK41-$AJ41))+N($G41)*IF($AM41-$AL41&lt;1,($AL41&gt;Lists!O$22)*($AL41&lt;=Lists!O$21),MAX(0,MIN(Lists!O$21,$AM41)-MAX(Lists!O$22,$AL41))/($AM41-$AL41))))))))</f>
        <v>0</v>
      </c>
      <c r="Z41" s="46" t="n">
        <f aca="false">SUM(M41:Y41)</f>
        <v>0</v>
      </c>
      <c r="AA41" s="92" t="n">
        <f aca="false">H41-Z41</f>
        <v>0</v>
      </c>
      <c r="AB41" s="55"/>
      <c r="AC41" s="2"/>
      <c r="AD41" s="93" t="n">
        <f aca="false">Setup!$D$10+MAX(0,$AN41-30)</f>
        <v>46365</v>
      </c>
      <c r="AE41" s="93" t="n">
        <f aca="false">Setup!$D$10+IF($AN41-30&lt;0,MAX(Setup!$D$22,$AN41-0),$AN41-0)</f>
        <v>46395</v>
      </c>
      <c r="AF41" s="93" t="n">
        <f aca="false">Setup!$D$10+MAX(0,$AN41-60)</f>
        <v>46335</v>
      </c>
      <c r="AG41" s="93" t="n">
        <f aca="false">Setup!$D$10+IF($AN41-60&lt;0,MAX(Setup!$D$22,$AN41-31),$AN41-31)</f>
        <v>46364</v>
      </c>
      <c r="AH41" s="93" t="n">
        <f aca="false">Setup!$D$10+MAX(0,$AN41-90)</f>
        <v>46335</v>
      </c>
      <c r="AI41" s="93" t="n">
        <f aca="false">Setup!$D$10+IF($AN41-90&lt;0,MAX(Setup!$D$22,$AN41-61),$AN41-61)</f>
        <v>46363</v>
      </c>
      <c r="AJ41" s="93" t="n">
        <f aca="false">Setup!$D$10+MAX(0,$AN41-120)</f>
        <v>46335</v>
      </c>
      <c r="AK41" s="93" t="n">
        <f aca="false">Setup!$D$10+IF($AN41-120&lt;0,MAX(Setup!$D$22,$AN41-91),$AN41-91)</f>
        <v>46363</v>
      </c>
      <c r="AL41" s="93" t="n">
        <f aca="false">IF(Setup!$D$23="Yes",2958465,Setup!$D$10)</f>
        <v>2958465</v>
      </c>
      <c r="AM41" s="93" t="n">
        <f aca="false">IF(AL41=2958465,AL41,Setup!$D$10+Setup!$D$22)</f>
        <v>2958465</v>
      </c>
      <c r="AN41" s="94" t="n">
        <f aca="false">IF(N(L41)=0,Setup!$D$20,L41)</f>
        <v>60</v>
      </c>
      <c r="AO41" s="94" t="n">
        <f aca="false">MAX(1,ROUND(N(K41),0))</f>
        <v>1</v>
      </c>
      <c r="AP41" s="95" t="str">
        <f aca="false">IF(I41="Doubtful","X",IF(N(J41)=0,"A",IF(I41="Specific date","S",IF(I41="Spread over days","D",IF(I41="Monthly on set day","M",IF(I41="Monthly fixed amount","F","A"))))))</f>
        <v>A</v>
      </c>
    </row>
    <row r="42" customFormat="false" ht="15" hidden="false" customHeight="false" outlineLevel="0" collapsed="false">
      <c r="A42" s="87" t="n">
        <v>34</v>
      </c>
      <c r="B42" s="55"/>
      <c r="C42" s="88"/>
      <c r="D42" s="88"/>
      <c r="E42" s="88"/>
      <c r="F42" s="88"/>
      <c r="G42" s="88"/>
      <c r="H42" s="89" t="n">
        <f aca="false">SUM(C42:G42)</f>
        <v>0</v>
      </c>
      <c r="I42" s="58"/>
      <c r="J42" s="90"/>
      <c r="K42" s="91"/>
      <c r="L42" s="80"/>
      <c r="M42" s="53" t="n">
        <f aca="false">IF($H42=0,0,IF($AP42="X",0,IF($AP42="S",$H42/$AO42*(MIN($AO42,MAX(0,INT((Lists!C$21-N($J42))/7)+1))-MIN($AO42,MAX(0,INT((Lists!C$22-N($J42))/7)+1))),IF($AP42="D",$H42*MAX(0,MIN(Lists!C$21,N($J42)+$AO42)-MAX(Lists!C$22,N($J42)))/$AO42,IF($AP42="M",$H42/$AO42*(IF(Lists!C$21&lt;$J42,0,MIN($AO42,(((YEAR(Lists!C$21)-YEAR($J42))*12+MONTH(Lists!C$21)-MONTH($J42))-(EDATE($J42,((YEAR(Lists!C$21)-YEAR($J42))*12+MONTH(Lists!C$21)-MONTH($J42)))&gt;Lists!C$21)+1)))-IF(Lists!C$22&lt;$J42,0,MIN($AO42,(((YEAR(Lists!C$22)-YEAR($J42))*12+MONTH(Lists!C$22)-MONTH($J42))-(EDATE($J42,((YEAR(Lists!C$22)-YEAR($J42))*12+MONTH(Lists!C$22)-MONTH($J42)))&gt;Lists!C$22)+1)))),IF($AP42="F",IF(N($K42)&lt;=0,0,MIN(MAX(0,$H42),N($K42)*IF(Lists!C$21&lt;$J42,0,(((YEAR(Lists!C$21)-YEAR($J42))*12+MONTH(Lists!C$21)-MONTH($J42))-(EDATE($J42,((YEAR(Lists!C$21)-YEAR($J42))*12+MONTH(Lists!C$21)-MONTH($J42)))&gt;Lists!C$21)+1)))-MIN(MAX(0,$H42),N($K42)*IF(Lists!C$22&lt;$J42,0,(((YEAR(Lists!C$22)-YEAR($J42))*12+MONTH(Lists!C$22)-MONTH($J42))-(EDATE($J42,((YEAR(Lists!C$22)-YEAR($J42))*12+MONTH(Lists!C$22)-MONTH($J42)))&gt;Lists!C$22)+1)))),N($C42)*IF($AE42-$AD42&lt;1,($AD42&gt;Lists!C$22)*($AD42&lt;=Lists!C$21),MAX(0,MIN(Lists!C$21,$AE42)-MAX(Lists!C$22,$AD42))/($AE42-$AD42))+N($D42)*IF($AG42-$AF42&lt;1,($AF42&gt;Lists!C$22)*($AF42&lt;=Lists!C$21),MAX(0,MIN(Lists!C$21,$AG42)-MAX(Lists!C$22,$AF42))/($AG42-$AF42))+N($E42)*IF($AI42-$AH42&lt;1,($AH42&gt;Lists!C$22)*($AH42&lt;=Lists!C$21),MAX(0,MIN(Lists!C$21,$AI42)-MAX(Lists!C$22,$AH42))/($AI42-$AH42))+N($F42)*IF($AK42-$AJ42&lt;1,($AJ42&gt;Lists!C$22)*($AJ42&lt;=Lists!C$21),MAX(0,MIN(Lists!C$21,$AK42)-MAX(Lists!C$22,$AJ42))/($AK42-$AJ42))+N($G42)*IF($AM42-$AL42&lt;1,($AL42&gt;Lists!C$22)*($AL42&lt;=Lists!C$21),MAX(0,MIN(Lists!C$21,$AM42)-MAX(Lists!C$22,$AL42))/($AM42-$AL42))))))))</f>
        <v>0</v>
      </c>
      <c r="N42" s="53" t="n">
        <f aca="false">IF($H42=0,0,IF($AP42="X",0,IF($AP42="S",$H42/$AO42*(MIN($AO42,MAX(0,INT((Lists!D$21-N($J42))/7)+1))-MIN($AO42,MAX(0,INT((Lists!D$22-N($J42))/7)+1))),IF($AP42="D",$H42*MAX(0,MIN(Lists!D$21,N($J42)+$AO42)-MAX(Lists!D$22,N($J42)))/$AO42,IF($AP42="M",$H42/$AO42*(IF(Lists!D$21&lt;$J42,0,MIN($AO42,(((YEAR(Lists!D$21)-YEAR($J42))*12+MONTH(Lists!D$21)-MONTH($J42))-(EDATE($J42,((YEAR(Lists!D$21)-YEAR($J42))*12+MONTH(Lists!D$21)-MONTH($J42)))&gt;Lists!D$21)+1)))-IF(Lists!D$22&lt;$J42,0,MIN($AO42,(((YEAR(Lists!D$22)-YEAR($J42))*12+MONTH(Lists!D$22)-MONTH($J42))-(EDATE($J42,((YEAR(Lists!D$22)-YEAR($J42))*12+MONTH(Lists!D$22)-MONTH($J42)))&gt;Lists!D$22)+1)))),IF($AP42="F",IF(N($K42)&lt;=0,0,MIN(MAX(0,$H42),N($K42)*IF(Lists!D$21&lt;$J42,0,(((YEAR(Lists!D$21)-YEAR($J42))*12+MONTH(Lists!D$21)-MONTH($J42))-(EDATE($J42,((YEAR(Lists!D$21)-YEAR($J42))*12+MONTH(Lists!D$21)-MONTH($J42)))&gt;Lists!D$21)+1)))-MIN(MAX(0,$H42),N($K42)*IF(Lists!D$22&lt;$J42,0,(((YEAR(Lists!D$22)-YEAR($J42))*12+MONTH(Lists!D$22)-MONTH($J42))-(EDATE($J42,((YEAR(Lists!D$22)-YEAR($J42))*12+MONTH(Lists!D$22)-MONTH($J42)))&gt;Lists!D$22)+1)))),N($C42)*IF($AE42-$AD42&lt;1,($AD42&gt;Lists!D$22)*($AD42&lt;=Lists!D$21),MAX(0,MIN(Lists!D$21,$AE42)-MAX(Lists!D$22,$AD42))/($AE42-$AD42))+N($D42)*IF($AG42-$AF42&lt;1,($AF42&gt;Lists!D$22)*($AF42&lt;=Lists!D$21),MAX(0,MIN(Lists!D$21,$AG42)-MAX(Lists!D$22,$AF42))/($AG42-$AF42))+N($E42)*IF($AI42-$AH42&lt;1,($AH42&gt;Lists!D$22)*($AH42&lt;=Lists!D$21),MAX(0,MIN(Lists!D$21,$AI42)-MAX(Lists!D$22,$AH42))/($AI42-$AH42))+N($F42)*IF($AK42-$AJ42&lt;1,($AJ42&gt;Lists!D$22)*($AJ42&lt;=Lists!D$21),MAX(0,MIN(Lists!D$21,$AK42)-MAX(Lists!D$22,$AJ42))/($AK42-$AJ42))+N($G42)*IF($AM42-$AL42&lt;1,($AL42&gt;Lists!D$22)*($AL42&lt;=Lists!D$21),MAX(0,MIN(Lists!D$21,$AM42)-MAX(Lists!D$22,$AL42))/($AM42-$AL42))))))))</f>
        <v>0</v>
      </c>
      <c r="O42" s="53" t="n">
        <f aca="false">IF($H42=0,0,IF($AP42="X",0,IF($AP42="S",$H42/$AO42*(MIN($AO42,MAX(0,INT((Lists!E$21-N($J42))/7)+1))-MIN($AO42,MAX(0,INT((Lists!E$22-N($J42))/7)+1))),IF($AP42="D",$H42*MAX(0,MIN(Lists!E$21,N($J42)+$AO42)-MAX(Lists!E$22,N($J42)))/$AO42,IF($AP42="M",$H42/$AO42*(IF(Lists!E$21&lt;$J42,0,MIN($AO42,(((YEAR(Lists!E$21)-YEAR($J42))*12+MONTH(Lists!E$21)-MONTH($J42))-(EDATE($J42,((YEAR(Lists!E$21)-YEAR($J42))*12+MONTH(Lists!E$21)-MONTH($J42)))&gt;Lists!E$21)+1)))-IF(Lists!E$22&lt;$J42,0,MIN($AO42,(((YEAR(Lists!E$22)-YEAR($J42))*12+MONTH(Lists!E$22)-MONTH($J42))-(EDATE($J42,((YEAR(Lists!E$22)-YEAR($J42))*12+MONTH(Lists!E$22)-MONTH($J42)))&gt;Lists!E$22)+1)))),IF($AP42="F",IF(N($K42)&lt;=0,0,MIN(MAX(0,$H42),N($K42)*IF(Lists!E$21&lt;$J42,0,(((YEAR(Lists!E$21)-YEAR($J42))*12+MONTH(Lists!E$21)-MONTH($J42))-(EDATE($J42,((YEAR(Lists!E$21)-YEAR($J42))*12+MONTH(Lists!E$21)-MONTH($J42)))&gt;Lists!E$21)+1)))-MIN(MAX(0,$H42),N($K42)*IF(Lists!E$22&lt;$J42,0,(((YEAR(Lists!E$22)-YEAR($J42))*12+MONTH(Lists!E$22)-MONTH($J42))-(EDATE($J42,((YEAR(Lists!E$22)-YEAR($J42))*12+MONTH(Lists!E$22)-MONTH($J42)))&gt;Lists!E$22)+1)))),N($C42)*IF($AE42-$AD42&lt;1,($AD42&gt;Lists!E$22)*($AD42&lt;=Lists!E$21),MAX(0,MIN(Lists!E$21,$AE42)-MAX(Lists!E$22,$AD42))/($AE42-$AD42))+N($D42)*IF($AG42-$AF42&lt;1,($AF42&gt;Lists!E$22)*($AF42&lt;=Lists!E$21),MAX(0,MIN(Lists!E$21,$AG42)-MAX(Lists!E$22,$AF42))/($AG42-$AF42))+N($E42)*IF($AI42-$AH42&lt;1,($AH42&gt;Lists!E$22)*($AH42&lt;=Lists!E$21),MAX(0,MIN(Lists!E$21,$AI42)-MAX(Lists!E$22,$AH42))/($AI42-$AH42))+N($F42)*IF($AK42-$AJ42&lt;1,($AJ42&gt;Lists!E$22)*($AJ42&lt;=Lists!E$21),MAX(0,MIN(Lists!E$21,$AK42)-MAX(Lists!E$22,$AJ42))/($AK42-$AJ42))+N($G42)*IF($AM42-$AL42&lt;1,($AL42&gt;Lists!E$22)*($AL42&lt;=Lists!E$21),MAX(0,MIN(Lists!E$21,$AM42)-MAX(Lists!E$22,$AL42))/($AM42-$AL42))))))))</f>
        <v>0</v>
      </c>
      <c r="P42" s="53" t="n">
        <f aca="false">IF($H42=0,0,IF($AP42="X",0,IF($AP42="S",$H42/$AO42*(MIN($AO42,MAX(0,INT((Lists!F$21-N($J42))/7)+1))-MIN($AO42,MAX(0,INT((Lists!F$22-N($J42))/7)+1))),IF($AP42="D",$H42*MAX(0,MIN(Lists!F$21,N($J42)+$AO42)-MAX(Lists!F$22,N($J42)))/$AO42,IF($AP42="M",$H42/$AO42*(IF(Lists!F$21&lt;$J42,0,MIN($AO42,(((YEAR(Lists!F$21)-YEAR($J42))*12+MONTH(Lists!F$21)-MONTH($J42))-(EDATE($J42,((YEAR(Lists!F$21)-YEAR($J42))*12+MONTH(Lists!F$21)-MONTH($J42)))&gt;Lists!F$21)+1)))-IF(Lists!F$22&lt;$J42,0,MIN($AO42,(((YEAR(Lists!F$22)-YEAR($J42))*12+MONTH(Lists!F$22)-MONTH($J42))-(EDATE($J42,((YEAR(Lists!F$22)-YEAR($J42))*12+MONTH(Lists!F$22)-MONTH($J42)))&gt;Lists!F$22)+1)))),IF($AP42="F",IF(N($K42)&lt;=0,0,MIN(MAX(0,$H42),N($K42)*IF(Lists!F$21&lt;$J42,0,(((YEAR(Lists!F$21)-YEAR($J42))*12+MONTH(Lists!F$21)-MONTH($J42))-(EDATE($J42,((YEAR(Lists!F$21)-YEAR($J42))*12+MONTH(Lists!F$21)-MONTH($J42)))&gt;Lists!F$21)+1)))-MIN(MAX(0,$H42),N($K42)*IF(Lists!F$22&lt;$J42,0,(((YEAR(Lists!F$22)-YEAR($J42))*12+MONTH(Lists!F$22)-MONTH($J42))-(EDATE($J42,((YEAR(Lists!F$22)-YEAR($J42))*12+MONTH(Lists!F$22)-MONTH($J42)))&gt;Lists!F$22)+1)))),N($C42)*IF($AE42-$AD42&lt;1,($AD42&gt;Lists!F$22)*($AD42&lt;=Lists!F$21),MAX(0,MIN(Lists!F$21,$AE42)-MAX(Lists!F$22,$AD42))/($AE42-$AD42))+N($D42)*IF($AG42-$AF42&lt;1,($AF42&gt;Lists!F$22)*($AF42&lt;=Lists!F$21),MAX(0,MIN(Lists!F$21,$AG42)-MAX(Lists!F$22,$AF42))/($AG42-$AF42))+N($E42)*IF($AI42-$AH42&lt;1,($AH42&gt;Lists!F$22)*($AH42&lt;=Lists!F$21),MAX(0,MIN(Lists!F$21,$AI42)-MAX(Lists!F$22,$AH42))/($AI42-$AH42))+N($F42)*IF($AK42-$AJ42&lt;1,($AJ42&gt;Lists!F$22)*($AJ42&lt;=Lists!F$21),MAX(0,MIN(Lists!F$21,$AK42)-MAX(Lists!F$22,$AJ42))/($AK42-$AJ42))+N($G42)*IF($AM42-$AL42&lt;1,($AL42&gt;Lists!F$22)*($AL42&lt;=Lists!F$21),MAX(0,MIN(Lists!F$21,$AM42)-MAX(Lists!F$22,$AL42))/($AM42-$AL42))))))))</f>
        <v>0</v>
      </c>
      <c r="Q42" s="53" t="n">
        <f aca="false">IF($H42=0,0,IF($AP42="X",0,IF($AP42="S",$H42/$AO42*(MIN($AO42,MAX(0,INT((Lists!G$21-N($J42))/7)+1))-MIN($AO42,MAX(0,INT((Lists!G$22-N($J42))/7)+1))),IF($AP42="D",$H42*MAX(0,MIN(Lists!G$21,N($J42)+$AO42)-MAX(Lists!G$22,N($J42)))/$AO42,IF($AP42="M",$H42/$AO42*(IF(Lists!G$21&lt;$J42,0,MIN($AO42,(((YEAR(Lists!G$21)-YEAR($J42))*12+MONTH(Lists!G$21)-MONTH($J42))-(EDATE($J42,((YEAR(Lists!G$21)-YEAR($J42))*12+MONTH(Lists!G$21)-MONTH($J42)))&gt;Lists!G$21)+1)))-IF(Lists!G$22&lt;$J42,0,MIN($AO42,(((YEAR(Lists!G$22)-YEAR($J42))*12+MONTH(Lists!G$22)-MONTH($J42))-(EDATE($J42,((YEAR(Lists!G$22)-YEAR($J42))*12+MONTH(Lists!G$22)-MONTH($J42)))&gt;Lists!G$22)+1)))),IF($AP42="F",IF(N($K42)&lt;=0,0,MIN(MAX(0,$H42),N($K42)*IF(Lists!G$21&lt;$J42,0,(((YEAR(Lists!G$21)-YEAR($J42))*12+MONTH(Lists!G$21)-MONTH($J42))-(EDATE($J42,((YEAR(Lists!G$21)-YEAR($J42))*12+MONTH(Lists!G$21)-MONTH($J42)))&gt;Lists!G$21)+1)))-MIN(MAX(0,$H42),N($K42)*IF(Lists!G$22&lt;$J42,0,(((YEAR(Lists!G$22)-YEAR($J42))*12+MONTH(Lists!G$22)-MONTH($J42))-(EDATE($J42,((YEAR(Lists!G$22)-YEAR($J42))*12+MONTH(Lists!G$22)-MONTH($J42)))&gt;Lists!G$22)+1)))),N($C42)*IF($AE42-$AD42&lt;1,($AD42&gt;Lists!G$22)*($AD42&lt;=Lists!G$21),MAX(0,MIN(Lists!G$21,$AE42)-MAX(Lists!G$22,$AD42))/($AE42-$AD42))+N($D42)*IF($AG42-$AF42&lt;1,($AF42&gt;Lists!G$22)*($AF42&lt;=Lists!G$21),MAX(0,MIN(Lists!G$21,$AG42)-MAX(Lists!G$22,$AF42))/($AG42-$AF42))+N($E42)*IF($AI42-$AH42&lt;1,($AH42&gt;Lists!G$22)*($AH42&lt;=Lists!G$21),MAX(0,MIN(Lists!G$21,$AI42)-MAX(Lists!G$22,$AH42))/($AI42-$AH42))+N($F42)*IF($AK42-$AJ42&lt;1,($AJ42&gt;Lists!G$22)*($AJ42&lt;=Lists!G$21),MAX(0,MIN(Lists!G$21,$AK42)-MAX(Lists!G$22,$AJ42))/($AK42-$AJ42))+N($G42)*IF($AM42-$AL42&lt;1,($AL42&gt;Lists!G$22)*($AL42&lt;=Lists!G$21),MAX(0,MIN(Lists!G$21,$AM42)-MAX(Lists!G$22,$AL42))/($AM42-$AL42))))))))</f>
        <v>0</v>
      </c>
      <c r="R42" s="53" t="n">
        <f aca="false">IF($H42=0,0,IF($AP42="X",0,IF($AP42="S",$H42/$AO42*(MIN($AO42,MAX(0,INT((Lists!H$21-N($J42))/7)+1))-MIN($AO42,MAX(0,INT((Lists!H$22-N($J42))/7)+1))),IF($AP42="D",$H42*MAX(0,MIN(Lists!H$21,N($J42)+$AO42)-MAX(Lists!H$22,N($J42)))/$AO42,IF($AP42="M",$H42/$AO42*(IF(Lists!H$21&lt;$J42,0,MIN($AO42,(((YEAR(Lists!H$21)-YEAR($J42))*12+MONTH(Lists!H$21)-MONTH($J42))-(EDATE($J42,((YEAR(Lists!H$21)-YEAR($J42))*12+MONTH(Lists!H$21)-MONTH($J42)))&gt;Lists!H$21)+1)))-IF(Lists!H$22&lt;$J42,0,MIN($AO42,(((YEAR(Lists!H$22)-YEAR($J42))*12+MONTH(Lists!H$22)-MONTH($J42))-(EDATE($J42,((YEAR(Lists!H$22)-YEAR($J42))*12+MONTH(Lists!H$22)-MONTH($J42)))&gt;Lists!H$22)+1)))),IF($AP42="F",IF(N($K42)&lt;=0,0,MIN(MAX(0,$H42),N($K42)*IF(Lists!H$21&lt;$J42,0,(((YEAR(Lists!H$21)-YEAR($J42))*12+MONTH(Lists!H$21)-MONTH($J42))-(EDATE($J42,((YEAR(Lists!H$21)-YEAR($J42))*12+MONTH(Lists!H$21)-MONTH($J42)))&gt;Lists!H$21)+1)))-MIN(MAX(0,$H42),N($K42)*IF(Lists!H$22&lt;$J42,0,(((YEAR(Lists!H$22)-YEAR($J42))*12+MONTH(Lists!H$22)-MONTH($J42))-(EDATE($J42,((YEAR(Lists!H$22)-YEAR($J42))*12+MONTH(Lists!H$22)-MONTH($J42)))&gt;Lists!H$22)+1)))),N($C42)*IF($AE42-$AD42&lt;1,($AD42&gt;Lists!H$22)*($AD42&lt;=Lists!H$21),MAX(0,MIN(Lists!H$21,$AE42)-MAX(Lists!H$22,$AD42))/($AE42-$AD42))+N($D42)*IF($AG42-$AF42&lt;1,($AF42&gt;Lists!H$22)*($AF42&lt;=Lists!H$21),MAX(0,MIN(Lists!H$21,$AG42)-MAX(Lists!H$22,$AF42))/($AG42-$AF42))+N($E42)*IF($AI42-$AH42&lt;1,($AH42&gt;Lists!H$22)*($AH42&lt;=Lists!H$21),MAX(0,MIN(Lists!H$21,$AI42)-MAX(Lists!H$22,$AH42))/($AI42-$AH42))+N($F42)*IF($AK42-$AJ42&lt;1,($AJ42&gt;Lists!H$22)*($AJ42&lt;=Lists!H$21),MAX(0,MIN(Lists!H$21,$AK42)-MAX(Lists!H$22,$AJ42))/($AK42-$AJ42))+N($G42)*IF($AM42-$AL42&lt;1,($AL42&gt;Lists!H$22)*($AL42&lt;=Lists!H$21),MAX(0,MIN(Lists!H$21,$AM42)-MAX(Lists!H$22,$AL42))/($AM42-$AL42))))))))</f>
        <v>0</v>
      </c>
      <c r="S42" s="53" t="n">
        <f aca="false">IF($H42=0,0,IF($AP42="X",0,IF($AP42="S",$H42/$AO42*(MIN($AO42,MAX(0,INT((Lists!I$21-N($J42))/7)+1))-MIN($AO42,MAX(0,INT((Lists!I$22-N($J42))/7)+1))),IF($AP42="D",$H42*MAX(0,MIN(Lists!I$21,N($J42)+$AO42)-MAX(Lists!I$22,N($J42)))/$AO42,IF($AP42="M",$H42/$AO42*(IF(Lists!I$21&lt;$J42,0,MIN($AO42,(((YEAR(Lists!I$21)-YEAR($J42))*12+MONTH(Lists!I$21)-MONTH($J42))-(EDATE($J42,((YEAR(Lists!I$21)-YEAR($J42))*12+MONTH(Lists!I$21)-MONTH($J42)))&gt;Lists!I$21)+1)))-IF(Lists!I$22&lt;$J42,0,MIN($AO42,(((YEAR(Lists!I$22)-YEAR($J42))*12+MONTH(Lists!I$22)-MONTH($J42))-(EDATE($J42,((YEAR(Lists!I$22)-YEAR($J42))*12+MONTH(Lists!I$22)-MONTH($J42)))&gt;Lists!I$22)+1)))),IF($AP42="F",IF(N($K42)&lt;=0,0,MIN(MAX(0,$H42),N($K42)*IF(Lists!I$21&lt;$J42,0,(((YEAR(Lists!I$21)-YEAR($J42))*12+MONTH(Lists!I$21)-MONTH($J42))-(EDATE($J42,((YEAR(Lists!I$21)-YEAR($J42))*12+MONTH(Lists!I$21)-MONTH($J42)))&gt;Lists!I$21)+1)))-MIN(MAX(0,$H42),N($K42)*IF(Lists!I$22&lt;$J42,0,(((YEAR(Lists!I$22)-YEAR($J42))*12+MONTH(Lists!I$22)-MONTH($J42))-(EDATE($J42,((YEAR(Lists!I$22)-YEAR($J42))*12+MONTH(Lists!I$22)-MONTH($J42)))&gt;Lists!I$22)+1)))),N($C42)*IF($AE42-$AD42&lt;1,($AD42&gt;Lists!I$22)*($AD42&lt;=Lists!I$21),MAX(0,MIN(Lists!I$21,$AE42)-MAX(Lists!I$22,$AD42))/($AE42-$AD42))+N($D42)*IF($AG42-$AF42&lt;1,($AF42&gt;Lists!I$22)*($AF42&lt;=Lists!I$21),MAX(0,MIN(Lists!I$21,$AG42)-MAX(Lists!I$22,$AF42))/($AG42-$AF42))+N($E42)*IF($AI42-$AH42&lt;1,($AH42&gt;Lists!I$22)*($AH42&lt;=Lists!I$21),MAX(0,MIN(Lists!I$21,$AI42)-MAX(Lists!I$22,$AH42))/($AI42-$AH42))+N($F42)*IF($AK42-$AJ42&lt;1,($AJ42&gt;Lists!I$22)*($AJ42&lt;=Lists!I$21),MAX(0,MIN(Lists!I$21,$AK42)-MAX(Lists!I$22,$AJ42))/($AK42-$AJ42))+N($G42)*IF($AM42-$AL42&lt;1,($AL42&gt;Lists!I$22)*($AL42&lt;=Lists!I$21),MAX(0,MIN(Lists!I$21,$AM42)-MAX(Lists!I$22,$AL42))/($AM42-$AL42))))))))</f>
        <v>0</v>
      </c>
      <c r="T42" s="53" t="n">
        <f aca="false">IF($H42=0,0,IF($AP42="X",0,IF($AP42="S",$H42/$AO42*(MIN($AO42,MAX(0,INT((Lists!J$21-N($J42))/7)+1))-MIN($AO42,MAX(0,INT((Lists!J$22-N($J42))/7)+1))),IF($AP42="D",$H42*MAX(0,MIN(Lists!J$21,N($J42)+$AO42)-MAX(Lists!J$22,N($J42)))/$AO42,IF($AP42="M",$H42/$AO42*(IF(Lists!J$21&lt;$J42,0,MIN($AO42,(((YEAR(Lists!J$21)-YEAR($J42))*12+MONTH(Lists!J$21)-MONTH($J42))-(EDATE($J42,((YEAR(Lists!J$21)-YEAR($J42))*12+MONTH(Lists!J$21)-MONTH($J42)))&gt;Lists!J$21)+1)))-IF(Lists!J$22&lt;$J42,0,MIN($AO42,(((YEAR(Lists!J$22)-YEAR($J42))*12+MONTH(Lists!J$22)-MONTH($J42))-(EDATE($J42,((YEAR(Lists!J$22)-YEAR($J42))*12+MONTH(Lists!J$22)-MONTH($J42)))&gt;Lists!J$22)+1)))),IF($AP42="F",IF(N($K42)&lt;=0,0,MIN(MAX(0,$H42),N($K42)*IF(Lists!J$21&lt;$J42,0,(((YEAR(Lists!J$21)-YEAR($J42))*12+MONTH(Lists!J$21)-MONTH($J42))-(EDATE($J42,((YEAR(Lists!J$21)-YEAR($J42))*12+MONTH(Lists!J$21)-MONTH($J42)))&gt;Lists!J$21)+1)))-MIN(MAX(0,$H42),N($K42)*IF(Lists!J$22&lt;$J42,0,(((YEAR(Lists!J$22)-YEAR($J42))*12+MONTH(Lists!J$22)-MONTH($J42))-(EDATE($J42,((YEAR(Lists!J$22)-YEAR($J42))*12+MONTH(Lists!J$22)-MONTH($J42)))&gt;Lists!J$22)+1)))),N($C42)*IF($AE42-$AD42&lt;1,($AD42&gt;Lists!J$22)*($AD42&lt;=Lists!J$21),MAX(0,MIN(Lists!J$21,$AE42)-MAX(Lists!J$22,$AD42))/($AE42-$AD42))+N($D42)*IF($AG42-$AF42&lt;1,($AF42&gt;Lists!J$22)*($AF42&lt;=Lists!J$21),MAX(0,MIN(Lists!J$21,$AG42)-MAX(Lists!J$22,$AF42))/($AG42-$AF42))+N($E42)*IF($AI42-$AH42&lt;1,($AH42&gt;Lists!J$22)*($AH42&lt;=Lists!J$21),MAX(0,MIN(Lists!J$21,$AI42)-MAX(Lists!J$22,$AH42))/($AI42-$AH42))+N($F42)*IF($AK42-$AJ42&lt;1,($AJ42&gt;Lists!J$22)*($AJ42&lt;=Lists!J$21),MAX(0,MIN(Lists!J$21,$AK42)-MAX(Lists!J$22,$AJ42))/($AK42-$AJ42))+N($G42)*IF($AM42-$AL42&lt;1,($AL42&gt;Lists!J$22)*($AL42&lt;=Lists!J$21),MAX(0,MIN(Lists!J$21,$AM42)-MAX(Lists!J$22,$AL42))/($AM42-$AL42))))))))</f>
        <v>0</v>
      </c>
      <c r="U42" s="53" t="n">
        <f aca="false">IF($H42=0,0,IF($AP42="X",0,IF($AP42="S",$H42/$AO42*(MIN($AO42,MAX(0,INT((Lists!K$21-N($J42))/7)+1))-MIN($AO42,MAX(0,INT((Lists!K$22-N($J42))/7)+1))),IF($AP42="D",$H42*MAX(0,MIN(Lists!K$21,N($J42)+$AO42)-MAX(Lists!K$22,N($J42)))/$AO42,IF($AP42="M",$H42/$AO42*(IF(Lists!K$21&lt;$J42,0,MIN($AO42,(((YEAR(Lists!K$21)-YEAR($J42))*12+MONTH(Lists!K$21)-MONTH($J42))-(EDATE($J42,((YEAR(Lists!K$21)-YEAR($J42))*12+MONTH(Lists!K$21)-MONTH($J42)))&gt;Lists!K$21)+1)))-IF(Lists!K$22&lt;$J42,0,MIN($AO42,(((YEAR(Lists!K$22)-YEAR($J42))*12+MONTH(Lists!K$22)-MONTH($J42))-(EDATE($J42,((YEAR(Lists!K$22)-YEAR($J42))*12+MONTH(Lists!K$22)-MONTH($J42)))&gt;Lists!K$22)+1)))),IF($AP42="F",IF(N($K42)&lt;=0,0,MIN(MAX(0,$H42),N($K42)*IF(Lists!K$21&lt;$J42,0,(((YEAR(Lists!K$21)-YEAR($J42))*12+MONTH(Lists!K$21)-MONTH($J42))-(EDATE($J42,((YEAR(Lists!K$21)-YEAR($J42))*12+MONTH(Lists!K$21)-MONTH($J42)))&gt;Lists!K$21)+1)))-MIN(MAX(0,$H42),N($K42)*IF(Lists!K$22&lt;$J42,0,(((YEAR(Lists!K$22)-YEAR($J42))*12+MONTH(Lists!K$22)-MONTH($J42))-(EDATE($J42,((YEAR(Lists!K$22)-YEAR($J42))*12+MONTH(Lists!K$22)-MONTH($J42)))&gt;Lists!K$22)+1)))),N($C42)*IF($AE42-$AD42&lt;1,($AD42&gt;Lists!K$22)*($AD42&lt;=Lists!K$21),MAX(0,MIN(Lists!K$21,$AE42)-MAX(Lists!K$22,$AD42))/($AE42-$AD42))+N($D42)*IF($AG42-$AF42&lt;1,($AF42&gt;Lists!K$22)*($AF42&lt;=Lists!K$21),MAX(0,MIN(Lists!K$21,$AG42)-MAX(Lists!K$22,$AF42))/($AG42-$AF42))+N($E42)*IF($AI42-$AH42&lt;1,($AH42&gt;Lists!K$22)*($AH42&lt;=Lists!K$21),MAX(0,MIN(Lists!K$21,$AI42)-MAX(Lists!K$22,$AH42))/($AI42-$AH42))+N($F42)*IF($AK42-$AJ42&lt;1,($AJ42&gt;Lists!K$22)*($AJ42&lt;=Lists!K$21),MAX(0,MIN(Lists!K$21,$AK42)-MAX(Lists!K$22,$AJ42))/($AK42-$AJ42))+N($G42)*IF($AM42-$AL42&lt;1,($AL42&gt;Lists!K$22)*($AL42&lt;=Lists!K$21),MAX(0,MIN(Lists!K$21,$AM42)-MAX(Lists!K$22,$AL42))/($AM42-$AL42))))))))</f>
        <v>0</v>
      </c>
      <c r="V42" s="53" t="n">
        <f aca="false">IF($H42=0,0,IF($AP42="X",0,IF($AP42="S",$H42/$AO42*(MIN($AO42,MAX(0,INT((Lists!L$21-N($J42))/7)+1))-MIN($AO42,MAX(0,INT((Lists!L$22-N($J42))/7)+1))),IF($AP42="D",$H42*MAX(0,MIN(Lists!L$21,N($J42)+$AO42)-MAX(Lists!L$22,N($J42)))/$AO42,IF($AP42="M",$H42/$AO42*(IF(Lists!L$21&lt;$J42,0,MIN($AO42,(((YEAR(Lists!L$21)-YEAR($J42))*12+MONTH(Lists!L$21)-MONTH($J42))-(EDATE($J42,((YEAR(Lists!L$21)-YEAR($J42))*12+MONTH(Lists!L$21)-MONTH($J42)))&gt;Lists!L$21)+1)))-IF(Lists!L$22&lt;$J42,0,MIN($AO42,(((YEAR(Lists!L$22)-YEAR($J42))*12+MONTH(Lists!L$22)-MONTH($J42))-(EDATE($J42,((YEAR(Lists!L$22)-YEAR($J42))*12+MONTH(Lists!L$22)-MONTH($J42)))&gt;Lists!L$22)+1)))),IF($AP42="F",IF(N($K42)&lt;=0,0,MIN(MAX(0,$H42),N($K42)*IF(Lists!L$21&lt;$J42,0,(((YEAR(Lists!L$21)-YEAR($J42))*12+MONTH(Lists!L$21)-MONTH($J42))-(EDATE($J42,((YEAR(Lists!L$21)-YEAR($J42))*12+MONTH(Lists!L$21)-MONTH($J42)))&gt;Lists!L$21)+1)))-MIN(MAX(0,$H42),N($K42)*IF(Lists!L$22&lt;$J42,0,(((YEAR(Lists!L$22)-YEAR($J42))*12+MONTH(Lists!L$22)-MONTH($J42))-(EDATE($J42,((YEAR(Lists!L$22)-YEAR($J42))*12+MONTH(Lists!L$22)-MONTH($J42)))&gt;Lists!L$22)+1)))),N($C42)*IF($AE42-$AD42&lt;1,($AD42&gt;Lists!L$22)*($AD42&lt;=Lists!L$21),MAX(0,MIN(Lists!L$21,$AE42)-MAX(Lists!L$22,$AD42))/($AE42-$AD42))+N($D42)*IF($AG42-$AF42&lt;1,($AF42&gt;Lists!L$22)*($AF42&lt;=Lists!L$21),MAX(0,MIN(Lists!L$21,$AG42)-MAX(Lists!L$22,$AF42))/($AG42-$AF42))+N($E42)*IF($AI42-$AH42&lt;1,($AH42&gt;Lists!L$22)*($AH42&lt;=Lists!L$21),MAX(0,MIN(Lists!L$21,$AI42)-MAX(Lists!L$22,$AH42))/($AI42-$AH42))+N($F42)*IF($AK42-$AJ42&lt;1,($AJ42&gt;Lists!L$22)*($AJ42&lt;=Lists!L$21),MAX(0,MIN(Lists!L$21,$AK42)-MAX(Lists!L$22,$AJ42))/($AK42-$AJ42))+N($G42)*IF($AM42-$AL42&lt;1,($AL42&gt;Lists!L$22)*($AL42&lt;=Lists!L$21),MAX(0,MIN(Lists!L$21,$AM42)-MAX(Lists!L$22,$AL42))/($AM42-$AL42))))))))</f>
        <v>0</v>
      </c>
      <c r="W42" s="53" t="n">
        <f aca="false">IF($H42=0,0,IF($AP42="X",0,IF($AP42="S",$H42/$AO42*(MIN($AO42,MAX(0,INT((Lists!M$21-N($J42))/7)+1))-MIN($AO42,MAX(0,INT((Lists!M$22-N($J42))/7)+1))),IF($AP42="D",$H42*MAX(0,MIN(Lists!M$21,N($J42)+$AO42)-MAX(Lists!M$22,N($J42)))/$AO42,IF($AP42="M",$H42/$AO42*(IF(Lists!M$21&lt;$J42,0,MIN($AO42,(((YEAR(Lists!M$21)-YEAR($J42))*12+MONTH(Lists!M$21)-MONTH($J42))-(EDATE($J42,((YEAR(Lists!M$21)-YEAR($J42))*12+MONTH(Lists!M$21)-MONTH($J42)))&gt;Lists!M$21)+1)))-IF(Lists!M$22&lt;$J42,0,MIN($AO42,(((YEAR(Lists!M$22)-YEAR($J42))*12+MONTH(Lists!M$22)-MONTH($J42))-(EDATE($J42,((YEAR(Lists!M$22)-YEAR($J42))*12+MONTH(Lists!M$22)-MONTH($J42)))&gt;Lists!M$22)+1)))),IF($AP42="F",IF(N($K42)&lt;=0,0,MIN(MAX(0,$H42),N($K42)*IF(Lists!M$21&lt;$J42,0,(((YEAR(Lists!M$21)-YEAR($J42))*12+MONTH(Lists!M$21)-MONTH($J42))-(EDATE($J42,((YEAR(Lists!M$21)-YEAR($J42))*12+MONTH(Lists!M$21)-MONTH($J42)))&gt;Lists!M$21)+1)))-MIN(MAX(0,$H42),N($K42)*IF(Lists!M$22&lt;$J42,0,(((YEAR(Lists!M$22)-YEAR($J42))*12+MONTH(Lists!M$22)-MONTH($J42))-(EDATE($J42,((YEAR(Lists!M$22)-YEAR($J42))*12+MONTH(Lists!M$22)-MONTH($J42)))&gt;Lists!M$22)+1)))),N($C42)*IF($AE42-$AD42&lt;1,($AD42&gt;Lists!M$22)*($AD42&lt;=Lists!M$21),MAX(0,MIN(Lists!M$21,$AE42)-MAX(Lists!M$22,$AD42))/($AE42-$AD42))+N($D42)*IF($AG42-$AF42&lt;1,($AF42&gt;Lists!M$22)*($AF42&lt;=Lists!M$21),MAX(0,MIN(Lists!M$21,$AG42)-MAX(Lists!M$22,$AF42))/($AG42-$AF42))+N($E42)*IF($AI42-$AH42&lt;1,($AH42&gt;Lists!M$22)*($AH42&lt;=Lists!M$21),MAX(0,MIN(Lists!M$21,$AI42)-MAX(Lists!M$22,$AH42))/($AI42-$AH42))+N($F42)*IF($AK42-$AJ42&lt;1,($AJ42&gt;Lists!M$22)*($AJ42&lt;=Lists!M$21),MAX(0,MIN(Lists!M$21,$AK42)-MAX(Lists!M$22,$AJ42))/($AK42-$AJ42))+N($G42)*IF($AM42-$AL42&lt;1,($AL42&gt;Lists!M$22)*($AL42&lt;=Lists!M$21),MAX(0,MIN(Lists!M$21,$AM42)-MAX(Lists!M$22,$AL42))/($AM42-$AL42))))))))</f>
        <v>0</v>
      </c>
      <c r="X42" s="53" t="n">
        <f aca="false">IF($H42=0,0,IF($AP42="X",0,IF($AP42="S",$H42/$AO42*(MIN($AO42,MAX(0,INT((Lists!N$21-N($J42))/7)+1))-MIN($AO42,MAX(0,INT((Lists!N$22-N($J42))/7)+1))),IF($AP42="D",$H42*MAX(0,MIN(Lists!N$21,N($J42)+$AO42)-MAX(Lists!N$22,N($J42)))/$AO42,IF($AP42="M",$H42/$AO42*(IF(Lists!N$21&lt;$J42,0,MIN($AO42,(((YEAR(Lists!N$21)-YEAR($J42))*12+MONTH(Lists!N$21)-MONTH($J42))-(EDATE($J42,((YEAR(Lists!N$21)-YEAR($J42))*12+MONTH(Lists!N$21)-MONTH($J42)))&gt;Lists!N$21)+1)))-IF(Lists!N$22&lt;$J42,0,MIN($AO42,(((YEAR(Lists!N$22)-YEAR($J42))*12+MONTH(Lists!N$22)-MONTH($J42))-(EDATE($J42,((YEAR(Lists!N$22)-YEAR($J42))*12+MONTH(Lists!N$22)-MONTH($J42)))&gt;Lists!N$22)+1)))),IF($AP42="F",IF(N($K42)&lt;=0,0,MIN(MAX(0,$H42),N($K42)*IF(Lists!N$21&lt;$J42,0,(((YEAR(Lists!N$21)-YEAR($J42))*12+MONTH(Lists!N$21)-MONTH($J42))-(EDATE($J42,((YEAR(Lists!N$21)-YEAR($J42))*12+MONTH(Lists!N$21)-MONTH($J42)))&gt;Lists!N$21)+1)))-MIN(MAX(0,$H42),N($K42)*IF(Lists!N$22&lt;$J42,0,(((YEAR(Lists!N$22)-YEAR($J42))*12+MONTH(Lists!N$22)-MONTH($J42))-(EDATE($J42,((YEAR(Lists!N$22)-YEAR($J42))*12+MONTH(Lists!N$22)-MONTH($J42)))&gt;Lists!N$22)+1)))),N($C42)*IF($AE42-$AD42&lt;1,($AD42&gt;Lists!N$22)*($AD42&lt;=Lists!N$21),MAX(0,MIN(Lists!N$21,$AE42)-MAX(Lists!N$22,$AD42))/($AE42-$AD42))+N($D42)*IF($AG42-$AF42&lt;1,($AF42&gt;Lists!N$22)*($AF42&lt;=Lists!N$21),MAX(0,MIN(Lists!N$21,$AG42)-MAX(Lists!N$22,$AF42))/($AG42-$AF42))+N($E42)*IF($AI42-$AH42&lt;1,($AH42&gt;Lists!N$22)*($AH42&lt;=Lists!N$21),MAX(0,MIN(Lists!N$21,$AI42)-MAX(Lists!N$22,$AH42))/($AI42-$AH42))+N($F42)*IF($AK42-$AJ42&lt;1,($AJ42&gt;Lists!N$22)*($AJ42&lt;=Lists!N$21),MAX(0,MIN(Lists!N$21,$AK42)-MAX(Lists!N$22,$AJ42))/($AK42-$AJ42))+N($G42)*IF($AM42-$AL42&lt;1,($AL42&gt;Lists!N$22)*($AL42&lt;=Lists!N$21),MAX(0,MIN(Lists!N$21,$AM42)-MAX(Lists!N$22,$AL42))/($AM42-$AL42))))))))</f>
        <v>0</v>
      </c>
      <c r="Y42" s="53" t="n">
        <f aca="false">IF($H42=0,0,IF($AP42="X",0,IF($AP42="S",$H42/$AO42*(MIN($AO42,MAX(0,INT((Lists!O$21-N($J42))/7)+1))-MIN($AO42,MAX(0,INT((Lists!O$22-N($J42))/7)+1))),IF($AP42="D",$H42*MAX(0,MIN(Lists!O$21,N($J42)+$AO42)-MAX(Lists!O$22,N($J42)))/$AO42,IF($AP42="M",$H42/$AO42*(IF(Lists!O$21&lt;$J42,0,MIN($AO42,(((YEAR(Lists!O$21)-YEAR($J42))*12+MONTH(Lists!O$21)-MONTH($J42))-(EDATE($J42,((YEAR(Lists!O$21)-YEAR($J42))*12+MONTH(Lists!O$21)-MONTH($J42)))&gt;Lists!O$21)+1)))-IF(Lists!O$22&lt;$J42,0,MIN($AO42,(((YEAR(Lists!O$22)-YEAR($J42))*12+MONTH(Lists!O$22)-MONTH($J42))-(EDATE($J42,((YEAR(Lists!O$22)-YEAR($J42))*12+MONTH(Lists!O$22)-MONTH($J42)))&gt;Lists!O$22)+1)))),IF($AP42="F",IF(N($K42)&lt;=0,0,MIN(MAX(0,$H42),N($K42)*IF(Lists!O$21&lt;$J42,0,(((YEAR(Lists!O$21)-YEAR($J42))*12+MONTH(Lists!O$21)-MONTH($J42))-(EDATE($J42,((YEAR(Lists!O$21)-YEAR($J42))*12+MONTH(Lists!O$21)-MONTH($J42)))&gt;Lists!O$21)+1)))-MIN(MAX(0,$H42),N($K42)*IF(Lists!O$22&lt;$J42,0,(((YEAR(Lists!O$22)-YEAR($J42))*12+MONTH(Lists!O$22)-MONTH($J42))-(EDATE($J42,((YEAR(Lists!O$22)-YEAR($J42))*12+MONTH(Lists!O$22)-MONTH($J42)))&gt;Lists!O$22)+1)))),N($C42)*IF($AE42-$AD42&lt;1,($AD42&gt;Lists!O$22)*($AD42&lt;=Lists!O$21),MAX(0,MIN(Lists!O$21,$AE42)-MAX(Lists!O$22,$AD42))/($AE42-$AD42))+N($D42)*IF($AG42-$AF42&lt;1,($AF42&gt;Lists!O$22)*($AF42&lt;=Lists!O$21),MAX(0,MIN(Lists!O$21,$AG42)-MAX(Lists!O$22,$AF42))/($AG42-$AF42))+N($E42)*IF($AI42-$AH42&lt;1,($AH42&gt;Lists!O$22)*($AH42&lt;=Lists!O$21),MAX(0,MIN(Lists!O$21,$AI42)-MAX(Lists!O$22,$AH42))/($AI42-$AH42))+N($F42)*IF($AK42-$AJ42&lt;1,($AJ42&gt;Lists!O$22)*($AJ42&lt;=Lists!O$21),MAX(0,MIN(Lists!O$21,$AK42)-MAX(Lists!O$22,$AJ42))/($AK42-$AJ42))+N($G42)*IF($AM42-$AL42&lt;1,($AL42&gt;Lists!O$22)*($AL42&lt;=Lists!O$21),MAX(0,MIN(Lists!O$21,$AM42)-MAX(Lists!O$22,$AL42))/($AM42-$AL42))))))))</f>
        <v>0</v>
      </c>
      <c r="Z42" s="46" t="n">
        <f aca="false">SUM(M42:Y42)</f>
        <v>0</v>
      </c>
      <c r="AA42" s="92" t="n">
        <f aca="false">H42-Z42</f>
        <v>0</v>
      </c>
      <c r="AB42" s="55"/>
      <c r="AC42" s="2"/>
      <c r="AD42" s="93" t="n">
        <f aca="false">Setup!$D$10+MAX(0,$AN42-30)</f>
        <v>46365</v>
      </c>
      <c r="AE42" s="93" t="n">
        <f aca="false">Setup!$D$10+IF($AN42-30&lt;0,MAX(Setup!$D$22,$AN42-0),$AN42-0)</f>
        <v>46395</v>
      </c>
      <c r="AF42" s="93" t="n">
        <f aca="false">Setup!$D$10+MAX(0,$AN42-60)</f>
        <v>46335</v>
      </c>
      <c r="AG42" s="93" t="n">
        <f aca="false">Setup!$D$10+IF($AN42-60&lt;0,MAX(Setup!$D$22,$AN42-31),$AN42-31)</f>
        <v>46364</v>
      </c>
      <c r="AH42" s="93" t="n">
        <f aca="false">Setup!$D$10+MAX(0,$AN42-90)</f>
        <v>46335</v>
      </c>
      <c r="AI42" s="93" t="n">
        <f aca="false">Setup!$D$10+IF($AN42-90&lt;0,MAX(Setup!$D$22,$AN42-61),$AN42-61)</f>
        <v>46363</v>
      </c>
      <c r="AJ42" s="93" t="n">
        <f aca="false">Setup!$D$10+MAX(0,$AN42-120)</f>
        <v>46335</v>
      </c>
      <c r="AK42" s="93" t="n">
        <f aca="false">Setup!$D$10+IF($AN42-120&lt;0,MAX(Setup!$D$22,$AN42-91),$AN42-91)</f>
        <v>46363</v>
      </c>
      <c r="AL42" s="93" t="n">
        <f aca="false">IF(Setup!$D$23="Yes",2958465,Setup!$D$10)</f>
        <v>2958465</v>
      </c>
      <c r="AM42" s="93" t="n">
        <f aca="false">IF(AL42=2958465,AL42,Setup!$D$10+Setup!$D$22)</f>
        <v>2958465</v>
      </c>
      <c r="AN42" s="94" t="n">
        <f aca="false">IF(N(L42)=0,Setup!$D$20,L42)</f>
        <v>60</v>
      </c>
      <c r="AO42" s="94" t="n">
        <f aca="false">MAX(1,ROUND(N(K42),0))</f>
        <v>1</v>
      </c>
      <c r="AP42" s="95" t="str">
        <f aca="false">IF(I42="Doubtful","X",IF(N(J42)=0,"A",IF(I42="Specific date","S",IF(I42="Spread over days","D",IF(I42="Monthly on set day","M",IF(I42="Monthly fixed amount","F","A"))))))</f>
        <v>A</v>
      </c>
    </row>
    <row r="43" customFormat="false" ht="15" hidden="false" customHeight="false" outlineLevel="0" collapsed="false">
      <c r="A43" s="87" t="n">
        <v>35</v>
      </c>
      <c r="B43" s="55"/>
      <c r="C43" s="88"/>
      <c r="D43" s="88"/>
      <c r="E43" s="88"/>
      <c r="F43" s="88"/>
      <c r="G43" s="88"/>
      <c r="H43" s="89" t="n">
        <f aca="false">SUM(C43:G43)</f>
        <v>0</v>
      </c>
      <c r="I43" s="58"/>
      <c r="J43" s="90"/>
      <c r="K43" s="91"/>
      <c r="L43" s="80"/>
      <c r="M43" s="53" t="n">
        <f aca="false">IF($H43=0,0,IF($AP43="X",0,IF($AP43="S",$H43/$AO43*(MIN($AO43,MAX(0,INT((Lists!C$21-N($J43))/7)+1))-MIN($AO43,MAX(0,INT((Lists!C$22-N($J43))/7)+1))),IF($AP43="D",$H43*MAX(0,MIN(Lists!C$21,N($J43)+$AO43)-MAX(Lists!C$22,N($J43)))/$AO43,IF($AP43="M",$H43/$AO43*(IF(Lists!C$21&lt;$J43,0,MIN($AO43,(((YEAR(Lists!C$21)-YEAR($J43))*12+MONTH(Lists!C$21)-MONTH($J43))-(EDATE($J43,((YEAR(Lists!C$21)-YEAR($J43))*12+MONTH(Lists!C$21)-MONTH($J43)))&gt;Lists!C$21)+1)))-IF(Lists!C$22&lt;$J43,0,MIN($AO43,(((YEAR(Lists!C$22)-YEAR($J43))*12+MONTH(Lists!C$22)-MONTH($J43))-(EDATE($J43,((YEAR(Lists!C$22)-YEAR($J43))*12+MONTH(Lists!C$22)-MONTH($J43)))&gt;Lists!C$22)+1)))),IF($AP43="F",IF(N($K43)&lt;=0,0,MIN(MAX(0,$H43),N($K43)*IF(Lists!C$21&lt;$J43,0,(((YEAR(Lists!C$21)-YEAR($J43))*12+MONTH(Lists!C$21)-MONTH($J43))-(EDATE($J43,((YEAR(Lists!C$21)-YEAR($J43))*12+MONTH(Lists!C$21)-MONTH($J43)))&gt;Lists!C$21)+1)))-MIN(MAX(0,$H43),N($K43)*IF(Lists!C$22&lt;$J43,0,(((YEAR(Lists!C$22)-YEAR($J43))*12+MONTH(Lists!C$22)-MONTH($J43))-(EDATE($J43,((YEAR(Lists!C$22)-YEAR($J43))*12+MONTH(Lists!C$22)-MONTH($J43)))&gt;Lists!C$22)+1)))),N($C43)*IF($AE43-$AD43&lt;1,($AD43&gt;Lists!C$22)*($AD43&lt;=Lists!C$21),MAX(0,MIN(Lists!C$21,$AE43)-MAX(Lists!C$22,$AD43))/($AE43-$AD43))+N($D43)*IF($AG43-$AF43&lt;1,($AF43&gt;Lists!C$22)*($AF43&lt;=Lists!C$21),MAX(0,MIN(Lists!C$21,$AG43)-MAX(Lists!C$22,$AF43))/($AG43-$AF43))+N($E43)*IF($AI43-$AH43&lt;1,($AH43&gt;Lists!C$22)*($AH43&lt;=Lists!C$21),MAX(0,MIN(Lists!C$21,$AI43)-MAX(Lists!C$22,$AH43))/($AI43-$AH43))+N($F43)*IF($AK43-$AJ43&lt;1,($AJ43&gt;Lists!C$22)*($AJ43&lt;=Lists!C$21),MAX(0,MIN(Lists!C$21,$AK43)-MAX(Lists!C$22,$AJ43))/($AK43-$AJ43))+N($G43)*IF($AM43-$AL43&lt;1,($AL43&gt;Lists!C$22)*($AL43&lt;=Lists!C$21),MAX(0,MIN(Lists!C$21,$AM43)-MAX(Lists!C$22,$AL43))/($AM43-$AL43))))))))</f>
        <v>0</v>
      </c>
      <c r="N43" s="53" t="n">
        <f aca="false">IF($H43=0,0,IF($AP43="X",0,IF($AP43="S",$H43/$AO43*(MIN($AO43,MAX(0,INT((Lists!D$21-N($J43))/7)+1))-MIN($AO43,MAX(0,INT((Lists!D$22-N($J43))/7)+1))),IF($AP43="D",$H43*MAX(0,MIN(Lists!D$21,N($J43)+$AO43)-MAX(Lists!D$22,N($J43)))/$AO43,IF($AP43="M",$H43/$AO43*(IF(Lists!D$21&lt;$J43,0,MIN($AO43,(((YEAR(Lists!D$21)-YEAR($J43))*12+MONTH(Lists!D$21)-MONTH($J43))-(EDATE($J43,((YEAR(Lists!D$21)-YEAR($J43))*12+MONTH(Lists!D$21)-MONTH($J43)))&gt;Lists!D$21)+1)))-IF(Lists!D$22&lt;$J43,0,MIN($AO43,(((YEAR(Lists!D$22)-YEAR($J43))*12+MONTH(Lists!D$22)-MONTH($J43))-(EDATE($J43,((YEAR(Lists!D$22)-YEAR($J43))*12+MONTH(Lists!D$22)-MONTH($J43)))&gt;Lists!D$22)+1)))),IF($AP43="F",IF(N($K43)&lt;=0,0,MIN(MAX(0,$H43),N($K43)*IF(Lists!D$21&lt;$J43,0,(((YEAR(Lists!D$21)-YEAR($J43))*12+MONTH(Lists!D$21)-MONTH($J43))-(EDATE($J43,((YEAR(Lists!D$21)-YEAR($J43))*12+MONTH(Lists!D$21)-MONTH($J43)))&gt;Lists!D$21)+1)))-MIN(MAX(0,$H43),N($K43)*IF(Lists!D$22&lt;$J43,0,(((YEAR(Lists!D$22)-YEAR($J43))*12+MONTH(Lists!D$22)-MONTH($J43))-(EDATE($J43,((YEAR(Lists!D$22)-YEAR($J43))*12+MONTH(Lists!D$22)-MONTH($J43)))&gt;Lists!D$22)+1)))),N($C43)*IF($AE43-$AD43&lt;1,($AD43&gt;Lists!D$22)*($AD43&lt;=Lists!D$21),MAX(0,MIN(Lists!D$21,$AE43)-MAX(Lists!D$22,$AD43))/($AE43-$AD43))+N($D43)*IF($AG43-$AF43&lt;1,($AF43&gt;Lists!D$22)*($AF43&lt;=Lists!D$21),MAX(0,MIN(Lists!D$21,$AG43)-MAX(Lists!D$22,$AF43))/($AG43-$AF43))+N($E43)*IF($AI43-$AH43&lt;1,($AH43&gt;Lists!D$22)*($AH43&lt;=Lists!D$21),MAX(0,MIN(Lists!D$21,$AI43)-MAX(Lists!D$22,$AH43))/($AI43-$AH43))+N($F43)*IF($AK43-$AJ43&lt;1,($AJ43&gt;Lists!D$22)*($AJ43&lt;=Lists!D$21),MAX(0,MIN(Lists!D$21,$AK43)-MAX(Lists!D$22,$AJ43))/($AK43-$AJ43))+N($G43)*IF($AM43-$AL43&lt;1,($AL43&gt;Lists!D$22)*($AL43&lt;=Lists!D$21),MAX(0,MIN(Lists!D$21,$AM43)-MAX(Lists!D$22,$AL43))/($AM43-$AL43))))))))</f>
        <v>0</v>
      </c>
      <c r="O43" s="53" t="n">
        <f aca="false">IF($H43=0,0,IF($AP43="X",0,IF($AP43="S",$H43/$AO43*(MIN($AO43,MAX(0,INT((Lists!E$21-N($J43))/7)+1))-MIN($AO43,MAX(0,INT((Lists!E$22-N($J43))/7)+1))),IF($AP43="D",$H43*MAX(0,MIN(Lists!E$21,N($J43)+$AO43)-MAX(Lists!E$22,N($J43)))/$AO43,IF($AP43="M",$H43/$AO43*(IF(Lists!E$21&lt;$J43,0,MIN($AO43,(((YEAR(Lists!E$21)-YEAR($J43))*12+MONTH(Lists!E$21)-MONTH($J43))-(EDATE($J43,((YEAR(Lists!E$21)-YEAR($J43))*12+MONTH(Lists!E$21)-MONTH($J43)))&gt;Lists!E$21)+1)))-IF(Lists!E$22&lt;$J43,0,MIN($AO43,(((YEAR(Lists!E$22)-YEAR($J43))*12+MONTH(Lists!E$22)-MONTH($J43))-(EDATE($J43,((YEAR(Lists!E$22)-YEAR($J43))*12+MONTH(Lists!E$22)-MONTH($J43)))&gt;Lists!E$22)+1)))),IF($AP43="F",IF(N($K43)&lt;=0,0,MIN(MAX(0,$H43),N($K43)*IF(Lists!E$21&lt;$J43,0,(((YEAR(Lists!E$21)-YEAR($J43))*12+MONTH(Lists!E$21)-MONTH($J43))-(EDATE($J43,((YEAR(Lists!E$21)-YEAR($J43))*12+MONTH(Lists!E$21)-MONTH($J43)))&gt;Lists!E$21)+1)))-MIN(MAX(0,$H43),N($K43)*IF(Lists!E$22&lt;$J43,0,(((YEAR(Lists!E$22)-YEAR($J43))*12+MONTH(Lists!E$22)-MONTH($J43))-(EDATE($J43,((YEAR(Lists!E$22)-YEAR($J43))*12+MONTH(Lists!E$22)-MONTH($J43)))&gt;Lists!E$22)+1)))),N($C43)*IF($AE43-$AD43&lt;1,($AD43&gt;Lists!E$22)*($AD43&lt;=Lists!E$21),MAX(0,MIN(Lists!E$21,$AE43)-MAX(Lists!E$22,$AD43))/($AE43-$AD43))+N($D43)*IF($AG43-$AF43&lt;1,($AF43&gt;Lists!E$22)*($AF43&lt;=Lists!E$21),MAX(0,MIN(Lists!E$21,$AG43)-MAX(Lists!E$22,$AF43))/($AG43-$AF43))+N($E43)*IF($AI43-$AH43&lt;1,($AH43&gt;Lists!E$22)*($AH43&lt;=Lists!E$21),MAX(0,MIN(Lists!E$21,$AI43)-MAX(Lists!E$22,$AH43))/($AI43-$AH43))+N($F43)*IF($AK43-$AJ43&lt;1,($AJ43&gt;Lists!E$22)*($AJ43&lt;=Lists!E$21),MAX(0,MIN(Lists!E$21,$AK43)-MAX(Lists!E$22,$AJ43))/($AK43-$AJ43))+N($G43)*IF($AM43-$AL43&lt;1,($AL43&gt;Lists!E$22)*($AL43&lt;=Lists!E$21),MAX(0,MIN(Lists!E$21,$AM43)-MAX(Lists!E$22,$AL43))/($AM43-$AL43))))))))</f>
        <v>0</v>
      </c>
      <c r="P43" s="53" t="n">
        <f aca="false">IF($H43=0,0,IF($AP43="X",0,IF($AP43="S",$H43/$AO43*(MIN($AO43,MAX(0,INT((Lists!F$21-N($J43))/7)+1))-MIN($AO43,MAX(0,INT((Lists!F$22-N($J43))/7)+1))),IF($AP43="D",$H43*MAX(0,MIN(Lists!F$21,N($J43)+$AO43)-MAX(Lists!F$22,N($J43)))/$AO43,IF($AP43="M",$H43/$AO43*(IF(Lists!F$21&lt;$J43,0,MIN($AO43,(((YEAR(Lists!F$21)-YEAR($J43))*12+MONTH(Lists!F$21)-MONTH($J43))-(EDATE($J43,((YEAR(Lists!F$21)-YEAR($J43))*12+MONTH(Lists!F$21)-MONTH($J43)))&gt;Lists!F$21)+1)))-IF(Lists!F$22&lt;$J43,0,MIN($AO43,(((YEAR(Lists!F$22)-YEAR($J43))*12+MONTH(Lists!F$22)-MONTH($J43))-(EDATE($J43,((YEAR(Lists!F$22)-YEAR($J43))*12+MONTH(Lists!F$22)-MONTH($J43)))&gt;Lists!F$22)+1)))),IF($AP43="F",IF(N($K43)&lt;=0,0,MIN(MAX(0,$H43),N($K43)*IF(Lists!F$21&lt;$J43,0,(((YEAR(Lists!F$21)-YEAR($J43))*12+MONTH(Lists!F$21)-MONTH($J43))-(EDATE($J43,((YEAR(Lists!F$21)-YEAR($J43))*12+MONTH(Lists!F$21)-MONTH($J43)))&gt;Lists!F$21)+1)))-MIN(MAX(0,$H43),N($K43)*IF(Lists!F$22&lt;$J43,0,(((YEAR(Lists!F$22)-YEAR($J43))*12+MONTH(Lists!F$22)-MONTH($J43))-(EDATE($J43,((YEAR(Lists!F$22)-YEAR($J43))*12+MONTH(Lists!F$22)-MONTH($J43)))&gt;Lists!F$22)+1)))),N($C43)*IF($AE43-$AD43&lt;1,($AD43&gt;Lists!F$22)*($AD43&lt;=Lists!F$21),MAX(0,MIN(Lists!F$21,$AE43)-MAX(Lists!F$22,$AD43))/($AE43-$AD43))+N($D43)*IF($AG43-$AF43&lt;1,($AF43&gt;Lists!F$22)*($AF43&lt;=Lists!F$21),MAX(0,MIN(Lists!F$21,$AG43)-MAX(Lists!F$22,$AF43))/($AG43-$AF43))+N($E43)*IF($AI43-$AH43&lt;1,($AH43&gt;Lists!F$22)*($AH43&lt;=Lists!F$21),MAX(0,MIN(Lists!F$21,$AI43)-MAX(Lists!F$22,$AH43))/($AI43-$AH43))+N($F43)*IF($AK43-$AJ43&lt;1,($AJ43&gt;Lists!F$22)*($AJ43&lt;=Lists!F$21),MAX(0,MIN(Lists!F$21,$AK43)-MAX(Lists!F$22,$AJ43))/($AK43-$AJ43))+N($G43)*IF($AM43-$AL43&lt;1,($AL43&gt;Lists!F$22)*($AL43&lt;=Lists!F$21),MAX(0,MIN(Lists!F$21,$AM43)-MAX(Lists!F$22,$AL43))/($AM43-$AL43))))))))</f>
        <v>0</v>
      </c>
      <c r="Q43" s="53" t="n">
        <f aca="false">IF($H43=0,0,IF($AP43="X",0,IF($AP43="S",$H43/$AO43*(MIN($AO43,MAX(0,INT((Lists!G$21-N($J43))/7)+1))-MIN($AO43,MAX(0,INT((Lists!G$22-N($J43))/7)+1))),IF($AP43="D",$H43*MAX(0,MIN(Lists!G$21,N($J43)+$AO43)-MAX(Lists!G$22,N($J43)))/$AO43,IF($AP43="M",$H43/$AO43*(IF(Lists!G$21&lt;$J43,0,MIN($AO43,(((YEAR(Lists!G$21)-YEAR($J43))*12+MONTH(Lists!G$21)-MONTH($J43))-(EDATE($J43,((YEAR(Lists!G$21)-YEAR($J43))*12+MONTH(Lists!G$21)-MONTH($J43)))&gt;Lists!G$21)+1)))-IF(Lists!G$22&lt;$J43,0,MIN($AO43,(((YEAR(Lists!G$22)-YEAR($J43))*12+MONTH(Lists!G$22)-MONTH($J43))-(EDATE($J43,((YEAR(Lists!G$22)-YEAR($J43))*12+MONTH(Lists!G$22)-MONTH($J43)))&gt;Lists!G$22)+1)))),IF($AP43="F",IF(N($K43)&lt;=0,0,MIN(MAX(0,$H43),N($K43)*IF(Lists!G$21&lt;$J43,0,(((YEAR(Lists!G$21)-YEAR($J43))*12+MONTH(Lists!G$21)-MONTH($J43))-(EDATE($J43,((YEAR(Lists!G$21)-YEAR($J43))*12+MONTH(Lists!G$21)-MONTH($J43)))&gt;Lists!G$21)+1)))-MIN(MAX(0,$H43),N($K43)*IF(Lists!G$22&lt;$J43,0,(((YEAR(Lists!G$22)-YEAR($J43))*12+MONTH(Lists!G$22)-MONTH($J43))-(EDATE($J43,((YEAR(Lists!G$22)-YEAR($J43))*12+MONTH(Lists!G$22)-MONTH($J43)))&gt;Lists!G$22)+1)))),N($C43)*IF($AE43-$AD43&lt;1,($AD43&gt;Lists!G$22)*($AD43&lt;=Lists!G$21),MAX(0,MIN(Lists!G$21,$AE43)-MAX(Lists!G$22,$AD43))/($AE43-$AD43))+N($D43)*IF($AG43-$AF43&lt;1,($AF43&gt;Lists!G$22)*($AF43&lt;=Lists!G$21),MAX(0,MIN(Lists!G$21,$AG43)-MAX(Lists!G$22,$AF43))/($AG43-$AF43))+N($E43)*IF($AI43-$AH43&lt;1,($AH43&gt;Lists!G$22)*($AH43&lt;=Lists!G$21),MAX(0,MIN(Lists!G$21,$AI43)-MAX(Lists!G$22,$AH43))/($AI43-$AH43))+N($F43)*IF($AK43-$AJ43&lt;1,($AJ43&gt;Lists!G$22)*($AJ43&lt;=Lists!G$21),MAX(0,MIN(Lists!G$21,$AK43)-MAX(Lists!G$22,$AJ43))/($AK43-$AJ43))+N($G43)*IF($AM43-$AL43&lt;1,($AL43&gt;Lists!G$22)*($AL43&lt;=Lists!G$21),MAX(0,MIN(Lists!G$21,$AM43)-MAX(Lists!G$22,$AL43))/($AM43-$AL43))))))))</f>
        <v>0</v>
      </c>
      <c r="R43" s="53" t="n">
        <f aca="false">IF($H43=0,0,IF($AP43="X",0,IF($AP43="S",$H43/$AO43*(MIN($AO43,MAX(0,INT((Lists!H$21-N($J43))/7)+1))-MIN($AO43,MAX(0,INT((Lists!H$22-N($J43))/7)+1))),IF($AP43="D",$H43*MAX(0,MIN(Lists!H$21,N($J43)+$AO43)-MAX(Lists!H$22,N($J43)))/$AO43,IF($AP43="M",$H43/$AO43*(IF(Lists!H$21&lt;$J43,0,MIN($AO43,(((YEAR(Lists!H$21)-YEAR($J43))*12+MONTH(Lists!H$21)-MONTH($J43))-(EDATE($J43,((YEAR(Lists!H$21)-YEAR($J43))*12+MONTH(Lists!H$21)-MONTH($J43)))&gt;Lists!H$21)+1)))-IF(Lists!H$22&lt;$J43,0,MIN($AO43,(((YEAR(Lists!H$22)-YEAR($J43))*12+MONTH(Lists!H$22)-MONTH($J43))-(EDATE($J43,((YEAR(Lists!H$22)-YEAR($J43))*12+MONTH(Lists!H$22)-MONTH($J43)))&gt;Lists!H$22)+1)))),IF($AP43="F",IF(N($K43)&lt;=0,0,MIN(MAX(0,$H43),N($K43)*IF(Lists!H$21&lt;$J43,0,(((YEAR(Lists!H$21)-YEAR($J43))*12+MONTH(Lists!H$21)-MONTH($J43))-(EDATE($J43,((YEAR(Lists!H$21)-YEAR($J43))*12+MONTH(Lists!H$21)-MONTH($J43)))&gt;Lists!H$21)+1)))-MIN(MAX(0,$H43),N($K43)*IF(Lists!H$22&lt;$J43,0,(((YEAR(Lists!H$22)-YEAR($J43))*12+MONTH(Lists!H$22)-MONTH($J43))-(EDATE($J43,((YEAR(Lists!H$22)-YEAR($J43))*12+MONTH(Lists!H$22)-MONTH($J43)))&gt;Lists!H$22)+1)))),N($C43)*IF($AE43-$AD43&lt;1,($AD43&gt;Lists!H$22)*($AD43&lt;=Lists!H$21),MAX(0,MIN(Lists!H$21,$AE43)-MAX(Lists!H$22,$AD43))/($AE43-$AD43))+N($D43)*IF($AG43-$AF43&lt;1,($AF43&gt;Lists!H$22)*($AF43&lt;=Lists!H$21),MAX(0,MIN(Lists!H$21,$AG43)-MAX(Lists!H$22,$AF43))/($AG43-$AF43))+N($E43)*IF($AI43-$AH43&lt;1,($AH43&gt;Lists!H$22)*($AH43&lt;=Lists!H$21),MAX(0,MIN(Lists!H$21,$AI43)-MAX(Lists!H$22,$AH43))/($AI43-$AH43))+N($F43)*IF($AK43-$AJ43&lt;1,($AJ43&gt;Lists!H$22)*($AJ43&lt;=Lists!H$21),MAX(0,MIN(Lists!H$21,$AK43)-MAX(Lists!H$22,$AJ43))/($AK43-$AJ43))+N($G43)*IF($AM43-$AL43&lt;1,($AL43&gt;Lists!H$22)*($AL43&lt;=Lists!H$21),MAX(0,MIN(Lists!H$21,$AM43)-MAX(Lists!H$22,$AL43))/($AM43-$AL43))))))))</f>
        <v>0</v>
      </c>
      <c r="S43" s="53" t="n">
        <f aca="false">IF($H43=0,0,IF($AP43="X",0,IF($AP43="S",$H43/$AO43*(MIN($AO43,MAX(0,INT((Lists!I$21-N($J43))/7)+1))-MIN($AO43,MAX(0,INT((Lists!I$22-N($J43))/7)+1))),IF($AP43="D",$H43*MAX(0,MIN(Lists!I$21,N($J43)+$AO43)-MAX(Lists!I$22,N($J43)))/$AO43,IF($AP43="M",$H43/$AO43*(IF(Lists!I$21&lt;$J43,0,MIN($AO43,(((YEAR(Lists!I$21)-YEAR($J43))*12+MONTH(Lists!I$21)-MONTH($J43))-(EDATE($J43,((YEAR(Lists!I$21)-YEAR($J43))*12+MONTH(Lists!I$21)-MONTH($J43)))&gt;Lists!I$21)+1)))-IF(Lists!I$22&lt;$J43,0,MIN($AO43,(((YEAR(Lists!I$22)-YEAR($J43))*12+MONTH(Lists!I$22)-MONTH($J43))-(EDATE($J43,((YEAR(Lists!I$22)-YEAR($J43))*12+MONTH(Lists!I$22)-MONTH($J43)))&gt;Lists!I$22)+1)))),IF($AP43="F",IF(N($K43)&lt;=0,0,MIN(MAX(0,$H43),N($K43)*IF(Lists!I$21&lt;$J43,0,(((YEAR(Lists!I$21)-YEAR($J43))*12+MONTH(Lists!I$21)-MONTH($J43))-(EDATE($J43,((YEAR(Lists!I$21)-YEAR($J43))*12+MONTH(Lists!I$21)-MONTH($J43)))&gt;Lists!I$21)+1)))-MIN(MAX(0,$H43),N($K43)*IF(Lists!I$22&lt;$J43,0,(((YEAR(Lists!I$22)-YEAR($J43))*12+MONTH(Lists!I$22)-MONTH($J43))-(EDATE($J43,((YEAR(Lists!I$22)-YEAR($J43))*12+MONTH(Lists!I$22)-MONTH($J43)))&gt;Lists!I$22)+1)))),N($C43)*IF($AE43-$AD43&lt;1,($AD43&gt;Lists!I$22)*($AD43&lt;=Lists!I$21),MAX(0,MIN(Lists!I$21,$AE43)-MAX(Lists!I$22,$AD43))/($AE43-$AD43))+N($D43)*IF($AG43-$AF43&lt;1,($AF43&gt;Lists!I$22)*($AF43&lt;=Lists!I$21),MAX(0,MIN(Lists!I$21,$AG43)-MAX(Lists!I$22,$AF43))/($AG43-$AF43))+N($E43)*IF($AI43-$AH43&lt;1,($AH43&gt;Lists!I$22)*($AH43&lt;=Lists!I$21),MAX(0,MIN(Lists!I$21,$AI43)-MAX(Lists!I$22,$AH43))/($AI43-$AH43))+N($F43)*IF($AK43-$AJ43&lt;1,($AJ43&gt;Lists!I$22)*($AJ43&lt;=Lists!I$21),MAX(0,MIN(Lists!I$21,$AK43)-MAX(Lists!I$22,$AJ43))/($AK43-$AJ43))+N($G43)*IF($AM43-$AL43&lt;1,($AL43&gt;Lists!I$22)*($AL43&lt;=Lists!I$21),MAX(0,MIN(Lists!I$21,$AM43)-MAX(Lists!I$22,$AL43))/($AM43-$AL43))))))))</f>
        <v>0</v>
      </c>
      <c r="T43" s="53" t="n">
        <f aca="false">IF($H43=0,0,IF($AP43="X",0,IF($AP43="S",$H43/$AO43*(MIN($AO43,MAX(0,INT((Lists!J$21-N($J43))/7)+1))-MIN($AO43,MAX(0,INT((Lists!J$22-N($J43))/7)+1))),IF($AP43="D",$H43*MAX(0,MIN(Lists!J$21,N($J43)+$AO43)-MAX(Lists!J$22,N($J43)))/$AO43,IF($AP43="M",$H43/$AO43*(IF(Lists!J$21&lt;$J43,0,MIN($AO43,(((YEAR(Lists!J$21)-YEAR($J43))*12+MONTH(Lists!J$21)-MONTH($J43))-(EDATE($J43,((YEAR(Lists!J$21)-YEAR($J43))*12+MONTH(Lists!J$21)-MONTH($J43)))&gt;Lists!J$21)+1)))-IF(Lists!J$22&lt;$J43,0,MIN($AO43,(((YEAR(Lists!J$22)-YEAR($J43))*12+MONTH(Lists!J$22)-MONTH($J43))-(EDATE($J43,((YEAR(Lists!J$22)-YEAR($J43))*12+MONTH(Lists!J$22)-MONTH($J43)))&gt;Lists!J$22)+1)))),IF($AP43="F",IF(N($K43)&lt;=0,0,MIN(MAX(0,$H43),N($K43)*IF(Lists!J$21&lt;$J43,0,(((YEAR(Lists!J$21)-YEAR($J43))*12+MONTH(Lists!J$21)-MONTH($J43))-(EDATE($J43,((YEAR(Lists!J$21)-YEAR($J43))*12+MONTH(Lists!J$21)-MONTH($J43)))&gt;Lists!J$21)+1)))-MIN(MAX(0,$H43),N($K43)*IF(Lists!J$22&lt;$J43,0,(((YEAR(Lists!J$22)-YEAR($J43))*12+MONTH(Lists!J$22)-MONTH($J43))-(EDATE($J43,((YEAR(Lists!J$22)-YEAR($J43))*12+MONTH(Lists!J$22)-MONTH($J43)))&gt;Lists!J$22)+1)))),N($C43)*IF($AE43-$AD43&lt;1,($AD43&gt;Lists!J$22)*($AD43&lt;=Lists!J$21),MAX(0,MIN(Lists!J$21,$AE43)-MAX(Lists!J$22,$AD43))/($AE43-$AD43))+N($D43)*IF($AG43-$AF43&lt;1,($AF43&gt;Lists!J$22)*($AF43&lt;=Lists!J$21),MAX(0,MIN(Lists!J$21,$AG43)-MAX(Lists!J$22,$AF43))/($AG43-$AF43))+N($E43)*IF($AI43-$AH43&lt;1,($AH43&gt;Lists!J$22)*($AH43&lt;=Lists!J$21),MAX(0,MIN(Lists!J$21,$AI43)-MAX(Lists!J$22,$AH43))/($AI43-$AH43))+N($F43)*IF($AK43-$AJ43&lt;1,($AJ43&gt;Lists!J$22)*($AJ43&lt;=Lists!J$21),MAX(0,MIN(Lists!J$21,$AK43)-MAX(Lists!J$22,$AJ43))/($AK43-$AJ43))+N($G43)*IF($AM43-$AL43&lt;1,($AL43&gt;Lists!J$22)*($AL43&lt;=Lists!J$21),MAX(0,MIN(Lists!J$21,$AM43)-MAX(Lists!J$22,$AL43))/($AM43-$AL43))))))))</f>
        <v>0</v>
      </c>
      <c r="U43" s="53" t="n">
        <f aca="false">IF($H43=0,0,IF($AP43="X",0,IF($AP43="S",$H43/$AO43*(MIN($AO43,MAX(0,INT((Lists!K$21-N($J43))/7)+1))-MIN($AO43,MAX(0,INT((Lists!K$22-N($J43))/7)+1))),IF($AP43="D",$H43*MAX(0,MIN(Lists!K$21,N($J43)+$AO43)-MAX(Lists!K$22,N($J43)))/$AO43,IF($AP43="M",$H43/$AO43*(IF(Lists!K$21&lt;$J43,0,MIN($AO43,(((YEAR(Lists!K$21)-YEAR($J43))*12+MONTH(Lists!K$21)-MONTH($J43))-(EDATE($J43,((YEAR(Lists!K$21)-YEAR($J43))*12+MONTH(Lists!K$21)-MONTH($J43)))&gt;Lists!K$21)+1)))-IF(Lists!K$22&lt;$J43,0,MIN($AO43,(((YEAR(Lists!K$22)-YEAR($J43))*12+MONTH(Lists!K$22)-MONTH($J43))-(EDATE($J43,((YEAR(Lists!K$22)-YEAR($J43))*12+MONTH(Lists!K$22)-MONTH($J43)))&gt;Lists!K$22)+1)))),IF($AP43="F",IF(N($K43)&lt;=0,0,MIN(MAX(0,$H43),N($K43)*IF(Lists!K$21&lt;$J43,0,(((YEAR(Lists!K$21)-YEAR($J43))*12+MONTH(Lists!K$21)-MONTH($J43))-(EDATE($J43,((YEAR(Lists!K$21)-YEAR($J43))*12+MONTH(Lists!K$21)-MONTH($J43)))&gt;Lists!K$21)+1)))-MIN(MAX(0,$H43),N($K43)*IF(Lists!K$22&lt;$J43,0,(((YEAR(Lists!K$22)-YEAR($J43))*12+MONTH(Lists!K$22)-MONTH($J43))-(EDATE($J43,((YEAR(Lists!K$22)-YEAR($J43))*12+MONTH(Lists!K$22)-MONTH($J43)))&gt;Lists!K$22)+1)))),N($C43)*IF($AE43-$AD43&lt;1,($AD43&gt;Lists!K$22)*($AD43&lt;=Lists!K$21),MAX(0,MIN(Lists!K$21,$AE43)-MAX(Lists!K$22,$AD43))/($AE43-$AD43))+N($D43)*IF($AG43-$AF43&lt;1,($AF43&gt;Lists!K$22)*($AF43&lt;=Lists!K$21),MAX(0,MIN(Lists!K$21,$AG43)-MAX(Lists!K$22,$AF43))/($AG43-$AF43))+N($E43)*IF($AI43-$AH43&lt;1,($AH43&gt;Lists!K$22)*($AH43&lt;=Lists!K$21),MAX(0,MIN(Lists!K$21,$AI43)-MAX(Lists!K$22,$AH43))/($AI43-$AH43))+N($F43)*IF($AK43-$AJ43&lt;1,($AJ43&gt;Lists!K$22)*($AJ43&lt;=Lists!K$21),MAX(0,MIN(Lists!K$21,$AK43)-MAX(Lists!K$22,$AJ43))/($AK43-$AJ43))+N($G43)*IF($AM43-$AL43&lt;1,($AL43&gt;Lists!K$22)*($AL43&lt;=Lists!K$21),MAX(0,MIN(Lists!K$21,$AM43)-MAX(Lists!K$22,$AL43))/($AM43-$AL43))))))))</f>
        <v>0</v>
      </c>
      <c r="V43" s="53" t="n">
        <f aca="false">IF($H43=0,0,IF($AP43="X",0,IF($AP43="S",$H43/$AO43*(MIN($AO43,MAX(0,INT((Lists!L$21-N($J43))/7)+1))-MIN($AO43,MAX(0,INT((Lists!L$22-N($J43))/7)+1))),IF($AP43="D",$H43*MAX(0,MIN(Lists!L$21,N($J43)+$AO43)-MAX(Lists!L$22,N($J43)))/$AO43,IF($AP43="M",$H43/$AO43*(IF(Lists!L$21&lt;$J43,0,MIN($AO43,(((YEAR(Lists!L$21)-YEAR($J43))*12+MONTH(Lists!L$21)-MONTH($J43))-(EDATE($J43,((YEAR(Lists!L$21)-YEAR($J43))*12+MONTH(Lists!L$21)-MONTH($J43)))&gt;Lists!L$21)+1)))-IF(Lists!L$22&lt;$J43,0,MIN($AO43,(((YEAR(Lists!L$22)-YEAR($J43))*12+MONTH(Lists!L$22)-MONTH($J43))-(EDATE($J43,((YEAR(Lists!L$22)-YEAR($J43))*12+MONTH(Lists!L$22)-MONTH($J43)))&gt;Lists!L$22)+1)))),IF($AP43="F",IF(N($K43)&lt;=0,0,MIN(MAX(0,$H43),N($K43)*IF(Lists!L$21&lt;$J43,0,(((YEAR(Lists!L$21)-YEAR($J43))*12+MONTH(Lists!L$21)-MONTH($J43))-(EDATE($J43,((YEAR(Lists!L$21)-YEAR($J43))*12+MONTH(Lists!L$21)-MONTH($J43)))&gt;Lists!L$21)+1)))-MIN(MAX(0,$H43),N($K43)*IF(Lists!L$22&lt;$J43,0,(((YEAR(Lists!L$22)-YEAR($J43))*12+MONTH(Lists!L$22)-MONTH($J43))-(EDATE($J43,((YEAR(Lists!L$22)-YEAR($J43))*12+MONTH(Lists!L$22)-MONTH($J43)))&gt;Lists!L$22)+1)))),N($C43)*IF($AE43-$AD43&lt;1,($AD43&gt;Lists!L$22)*($AD43&lt;=Lists!L$21),MAX(0,MIN(Lists!L$21,$AE43)-MAX(Lists!L$22,$AD43))/($AE43-$AD43))+N($D43)*IF($AG43-$AF43&lt;1,($AF43&gt;Lists!L$22)*($AF43&lt;=Lists!L$21),MAX(0,MIN(Lists!L$21,$AG43)-MAX(Lists!L$22,$AF43))/($AG43-$AF43))+N($E43)*IF($AI43-$AH43&lt;1,($AH43&gt;Lists!L$22)*($AH43&lt;=Lists!L$21),MAX(0,MIN(Lists!L$21,$AI43)-MAX(Lists!L$22,$AH43))/($AI43-$AH43))+N($F43)*IF($AK43-$AJ43&lt;1,($AJ43&gt;Lists!L$22)*($AJ43&lt;=Lists!L$21),MAX(0,MIN(Lists!L$21,$AK43)-MAX(Lists!L$22,$AJ43))/($AK43-$AJ43))+N($G43)*IF($AM43-$AL43&lt;1,($AL43&gt;Lists!L$22)*($AL43&lt;=Lists!L$21),MAX(0,MIN(Lists!L$21,$AM43)-MAX(Lists!L$22,$AL43))/($AM43-$AL43))))))))</f>
        <v>0</v>
      </c>
      <c r="W43" s="53" t="n">
        <f aca="false">IF($H43=0,0,IF($AP43="X",0,IF($AP43="S",$H43/$AO43*(MIN($AO43,MAX(0,INT((Lists!M$21-N($J43))/7)+1))-MIN($AO43,MAX(0,INT((Lists!M$22-N($J43))/7)+1))),IF($AP43="D",$H43*MAX(0,MIN(Lists!M$21,N($J43)+$AO43)-MAX(Lists!M$22,N($J43)))/$AO43,IF($AP43="M",$H43/$AO43*(IF(Lists!M$21&lt;$J43,0,MIN($AO43,(((YEAR(Lists!M$21)-YEAR($J43))*12+MONTH(Lists!M$21)-MONTH($J43))-(EDATE($J43,((YEAR(Lists!M$21)-YEAR($J43))*12+MONTH(Lists!M$21)-MONTH($J43)))&gt;Lists!M$21)+1)))-IF(Lists!M$22&lt;$J43,0,MIN($AO43,(((YEAR(Lists!M$22)-YEAR($J43))*12+MONTH(Lists!M$22)-MONTH($J43))-(EDATE($J43,((YEAR(Lists!M$22)-YEAR($J43))*12+MONTH(Lists!M$22)-MONTH($J43)))&gt;Lists!M$22)+1)))),IF($AP43="F",IF(N($K43)&lt;=0,0,MIN(MAX(0,$H43),N($K43)*IF(Lists!M$21&lt;$J43,0,(((YEAR(Lists!M$21)-YEAR($J43))*12+MONTH(Lists!M$21)-MONTH($J43))-(EDATE($J43,((YEAR(Lists!M$21)-YEAR($J43))*12+MONTH(Lists!M$21)-MONTH($J43)))&gt;Lists!M$21)+1)))-MIN(MAX(0,$H43),N($K43)*IF(Lists!M$22&lt;$J43,0,(((YEAR(Lists!M$22)-YEAR($J43))*12+MONTH(Lists!M$22)-MONTH($J43))-(EDATE($J43,((YEAR(Lists!M$22)-YEAR($J43))*12+MONTH(Lists!M$22)-MONTH($J43)))&gt;Lists!M$22)+1)))),N($C43)*IF($AE43-$AD43&lt;1,($AD43&gt;Lists!M$22)*($AD43&lt;=Lists!M$21),MAX(0,MIN(Lists!M$21,$AE43)-MAX(Lists!M$22,$AD43))/($AE43-$AD43))+N($D43)*IF($AG43-$AF43&lt;1,($AF43&gt;Lists!M$22)*($AF43&lt;=Lists!M$21),MAX(0,MIN(Lists!M$21,$AG43)-MAX(Lists!M$22,$AF43))/($AG43-$AF43))+N($E43)*IF($AI43-$AH43&lt;1,($AH43&gt;Lists!M$22)*($AH43&lt;=Lists!M$21),MAX(0,MIN(Lists!M$21,$AI43)-MAX(Lists!M$22,$AH43))/($AI43-$AH43))+N($F43)*IF($AK43-$AJ43&lt;1,($AJ43&gt;Lists!M$22)*($AJ43&lt;=Lists!M$21),MAX(0,MIN(Lists!M$21,$AK43)-MAX(Lists!M$22,$AJ43))/($AK43-$AJ43))+N($G43)*IF($AM43-$AL43&lt;1,($AL43&gt;Lists!M$22)*($AL43&lt;=Lists!M$21),MAX(0,MIN(Lists!M$21,$AM43)-MAX(Lists!M$22,$AL43))/($AM43-$AL43))))))))</f>
        <v>0</v>
      </c>
      <c r="X43" s="53" t="n">
        <f aca="false">IF($H43=0,0,IF($AP43="X",0,IF($AP43="S",$H43/$AO43*(MIN($AO43,MAX(0,INT((Lists!N$21-N($J43))/7)+1))-MIN($AO43,MAX(0,INT((Lists!N$22-N($J43))/7)+1))),IF($AP43="D",$H43*MAX(0,MIN(Lists!N$21,N($J43)+$AO43)-MAX(Lists!N$22,N($J43)))/$AO43,IF($AP43="M",$H43/$AO43*(IF(Lists!N$21&lt;$J43,0,MIN($AO43,(((YEAR(Lists!N$21)-YEAR($J43))*12+MONTH(Lists!N$21)-MONTH($J43))-(EDATE($J43,((YEAR(Lists!N$21)-YEAR($J43))*12+MONTH(Lists!N$21)-MONTH($J43)))&gt;Lists!N$21)+1)))-IF(Lists!N$22&lt;$J43,0,MIN($AO43,(((YEAR(Lists!N$22)-YEAR($J43))*12+MONTH(Lists!N$22)-MONTH($J43))-(EDATE($J43,((YEAR(Lists!N$22)-YEAR($J43))*12+MONTH(Lists!N$22)-MONTH($J43)))&gt;Lists!N$22)+1)))),IF($AP43="F",IF(N($K43)&lt;=0,0,MIN(MAX(0,$H43),N($K43)*IF(Lists!N$21&lt;$J43,0,(((YEAR(Lists!N$21)-YEAR($J43))*12+MONTH(Lists!N$21)-MONTH($J43))-(EDATE($J43,((YEAR(Lists!N$21)-YEAR($J43))*12+MONTH(Lists!N$21)-MONTH($J43)))&gt;Lists!N$21)+1)))-MIN(MAX(0,$H43),N($K43)*IF(Lists!N$22&lt;$J43,0,(((YEAR(Lists!N$22)-YEAR($J43))*12+MONTH(Lists!N$22)-MONTH($J43))-(EDATE($J43,((YEAR(Lists!N$22)-YEAR($J43))*12+MONTH(Lists!N$22)-MONTH($J43)))&gt;Lists!N$22)+1)))),N($C43)*IF($AE43-$AD43&lt;1,($AD43&gt;Lists!N$22)*($AD43&lt;=Lists!N$21),MAX(0,MIN(Lists!N$21,$AE43)-MAX(Lists!N$22,$AD43))/($AE43-$AD43))+N($D43)*IF($AG43-$AF43&lt;1,($AF43&gt;Lists!N$22)*($AF43&lt;=Lists!N$21),MAX(0,MIN(Lists!N$21,$AG43)-MAX(Lists!N$22,$AF43))/($AG43-$AF43))+N($E43)*IF($AI43-$AH43&lt;1,($AH43&gt;Lists!N$22)*($AH43&lt;=Lists!N$21),MAX(0,MIN(Lists!N$21,$AI43)-MAX(Lists!N$22,$AH43))/($AI43-$AH43))+N($F43)*IF($AK43-$AJ43&lt;1,($AJ43&gt;Lists!N$22)*($AJ43&lt;=Lists!N$21),MAX(0,MIN(Lists!N$21,$AK43)-MAX(Lists!N$22,$AJ43))/($AK43-$AJ43))+N($G43)*IF($AM43-$AL43&lt;1,($AL43&gt;Lists!N$22)*($AL43&lt;=Lists!N$21),MAX(0,MIN(Lists!N$21,$AM43)-MAX(Lists!N$22,$AL43))/($AM43-$AL43))))))))</f>
        <v>0</v>
      </c>
      <c r="Y43" s="53" t="n">
        <f aca="false">IF($H43=0,0,IF($AP43="X",0,IF($AP43="S",$H43/$AO43*(MIN($AO43,MAX(0,INT((Lists!O$21-N($J43))/7)+1))-MIN($AO43,MAX(0,INT((Lists!O$22-N($J43))/7)+1))),IF($AP43="D",$H43*MAX(0,MIN(Lists!O$21,N($J43)+$AO43)-MAX(Lists!O$22,N($J43)))/$AO43,IF($AP43="M",$H43/$AO43*(IF(Lists!O$21&lt;$J43,0,MIN($AO43,(((YEAR(Lists!O$21)-YEAR($J43))*12+MONTH(Lists!O$21)-MONTH($J43))-(EDATE($J43,((YEAR(Lists!O$21)-YEAR($J43))*12+MONTH(Lists!O$21)-MONTH($J43)))&gt;Lists!O$21)+1)))-IF(Lists!O$22&lt;$J43,0,MIN($AO43,(((YEAR(Lists!O$22)-YEAR($J43))*12+MONTH(Lists!O$22)-MONTH($J43))-(EDATE($J43,((YEAR(Lists!O$22)-YEAR($J43))*12+MONTH(Lists!O$22)-MONTH($J43)))&gt;Lists!O$22)+1)))),IF($AP43="F",IF(N($K43)&lt;=0,0,MIN(MAX(0,$H43),N($K43)*IF(Lists!O$21&lt;$J43,0,(((YEAR(Lists!O$21)-YEAR($J43))*12+MONTH(Lists!O$21)-MONTH($J43))-(EDATE($J43,((YEAR(Lists!O$21)-YEAR($J43))*12+MONTH(Lists!O$21)-MONTH($J43)))&gt;Lists!O$21)+1)))-MIN(MAX(0,$H43),N($K43)*IF(Lists!O$22&lt;$J43,0,(((YEAR(Lists!O$22)-YEAR($J43))*12+MONTH(Lists!O$22)-MONTH($J43))-(EDATE($J43,((YEAR(Lists!O$22)-YEAR($J43))*12+MONTH(Lists!O$22)-MONTH($J43)))&gt;Lists!O$22)+1)))),N($C43)*IF($AE43-$AD43&lt;1,($AD43&gt;Lists!O$22)*($AD43&lt;=Lists!O$21),MAX(0,MIN(Lists!O$21,$AE43)-MAX(Lists!O$22,$AD43))/($AE43-$AD43))+N($D43)*IF($AG43-$AF43&lt;1,($AF43&gt;Lists!O$22)*($AF43&lt;=Lists!O$21),MAX(0,MIN(Lists!O$21,$AG43)-MAX(Lists!O$22,$AF43))/($AG43-$AF43))+N($E43)*IF($AI43-$AH43&lt;1,($AH43&gt;Lists!O$22)*($AH43&lt;=Lists!O$21),MAX(0,MIN(Lists!O$21,$AI43)-MAX(Lists!O$22,$AH43))/($AI43-$AH43))+N($F43)*IF($AK43-$AJ43&lt;1,($AJ43&gt;Lists!O$22)*($AJ43&lt;=Lists!O$21),MAX(0,MIN(Lists!O$21,$AK43)-MAX(Lists!O$22,$AJ43))/($AK43-$AJ43))+N($G43)*IF($AM43-$AL43&lt;1,($AL43&gt;Lists!O$22)*($AL43&lt;=Lists!O$21),MAX(0,MIN(Lists!O$21,$AM43)-MAX(Lists!O$22,$AL43))/($AM43-$AL43))))))))</f>
        <v>0</v>
      </c>
      <c r="Z43" s="46" t="n">
        <f aca="false">SUM(M43:Y43)</f>
        <v>0</v>
      </c>
      <c r="AA43" s="92" t="n">
        <f aca="false">H43-Z43</f>
        <v>0</v>
      </c>
      <c r="AB43" s="55"/>
      <c r="AC43" s="2"/>
      <c r="AD43" s="93" t="n">
        <f aca="false">Setup!$D$10+MAX(0,$AN43-30)</f>
        <v>46365</v>
      </c>
      <c r="AE43" s="93" t="n">
        <f aca="false">Setup!$D$10+IF($AN43-30&lt;0,MAX(Setup!$D$22,$AN43-0),$AN43-0)</f>
        <v>46395</v>
      </c>
      <c r="AF43" s="93" t="n">
        <f aca="false">Setup!$D$10+MAX(0,$AN43-60)</f>
        <v>46335</v>
      </c>
      <c r="AG43" s="93" t="n">
        <f aca="false">Setup!$D$10+IF($AN43-60&lt;0,MAX(Setup!$D$22,$AN43-31),$AN43-31)</f>
        <v>46364</v>
      </c>
      <c r="AH43" s="93" t="n">
        <f aca="false">Setup!$D$10+MAX(0,$AN43-90)</f>
        <v>46335</v>
      </c>
      <c r="AI43" s="93" t="n">
        <f aca="false">Setup!$D$10+IF($AN43-90&lt;0,MAX(Setup!$D$22,$AN43-61),$AN43-61)</f>
        <v>46363</v>
      </c>
      <c r="AJ43" s="93" t="n">
        <f aca="false">Setup!$D$10+MAX(0,$AN43-120)</f>
        <v>46335</v>
      </c>
      <c r="AK43" s="93" t="n">
        <f aca="false">Setup!$D$10+IF($AN43-120&lt;0,MAX(Setup!$D$22,$AN43-91),$AN43-91)</f>
        <v>46363</v>
      </c>
      <c r="AL43" s="93" t="n">
        <f aca="false">IF(Setup!$D$23="Yes",2958465,Setup!$D$10)</f>
        <v>2958465</v>
      </c>
      <c r="AM43" s="93" t="n">
        <f aca="false">IF(AL43=2958465,AL43,Setup!$D$10+Setup!$D$22)</f>
        <v>2958465</v>
      </c>
      <c r="AN43" s="94" t="n">
        <f aca="false">IF(N(L43)=0,Setup!$D$20,L43)</f>
        <v>60</v>
      </c>
      <c r="AO43" s="94" t="n">
        <f aca="false">MAX(1,ROUND(N(K43),0))</f>
        <v>1</v>
      </c>
      <c r="AP43" s="95" t="str">
        <f aca="false">IF(I43="Doubtful","X",IF(N(J43)=0,"A",IF(I43="Specific date","S",IF(I43="Spread over days","D",IF(I43="Monthly on set day","M",IF(I43="Monthly fixed amount","F","A"))))))</f>
        <v>A</v>
      </c>
    </row>
    <row r="44" customFormat="false" ht="15" hidden="false" customHeight="false" outlineLevel="0" collapsed="false">
      <c r="A44" s="87" t="n">
        <v>36</v>
      </c>
      <c r="B44" s="55"/>
      <c r="C44" s="88"/>
      <c r="D44" s="88"/>
      <c r="E44" s="88"/>
      <c r="F44" s="88"/>
      <c r="G44" s="88"/>
      <c r="H44" s="89" t="n">
        <f aca="false">SUM(C44:G44)</f>
        <v>0</v>
      </c>
      <c r="I44" s="58"/>
      <c r="J44" s="90"/>
      <c r="K44" s="91"/>
      <c r="L44" s="80"/>
      <c r="M44" s="53" t="n">
        <f aca="false">IF($H44=0,0,IF($AP44="X",0,IF($AP44="S",$H44/$AO44*(MIN($AO44,MAX(0,INT((Lists!C$21-N($J44))/7)+1))-MIN($AO44,MAX(0,INT((Lists!C$22-N($J44))/7)+1))),IF($AP44="D",$H44*MAX(0,MIN(Lists!C$21,N($J44)+$AO44)-MAX(Lists!C$22,N($J44)))/$AO44,IF($AP44="M",$H44/$AO44*(IF(Lists!C$21&lt;$J44,0,MIN($AO44,(((YEAR(Lists!C$21)-YEAR($J44))*12+MONTH(Lists!C$21)-MONTH($J44))-(EDATE($J44,((YEAR(Lists!C$21)-YEAR($J44))*12+MONTH(Lists!C$21)-MONTH($J44)))&gt;Lists!C$21)+1)))-IF(Lists!C$22&lt;$J44,0,MIN($AO44,(((YEAR(Lists!C$22)-YEAR($J44))*12+MONTH(Lists!C$22)-MONTH($J44))-(EDATE($J44,((YEAR(Lists!C$22)-YEAR($J44))*12+MONTH(Lists!C$22)-MONTH($J44)))&gt;Lists!C$22)+1)))),IF($AP44="F",IF(N($K44)&lt;=0,0,MIN(MAX(0,$H44),N($K44)*IF(Lists!C$21&lt;$J44,0,(((YEAR(Lists!C$21)-YEAR($J44))*12+MONTH(Lists!C$21)-MONTH($J44))-(EDATE($J44,((YEAR(Lists!C$21)-YEAR($J44))*12+MONTH(Lists!C$21)-MONTH($J44)))&gt;Lists!C$21)+1)))-MIN(MAX(0,$H44),N($K44)*IF(Lists!C$22&lt;$J44,0,(((YEAR(Lists!C$22)-YEAR($J44))*12+MONTH(Lists!C$22)-MONTH($J44))-(EDATE($J44,((YEAR(Lists!C$22)-YEAR($J44))*12+MONTH(Lists!C$22)-MONTH($J44)))&gt;Lists!C$22)+1)))),N($C44)*IF($AE44-$AD44&lt;1,($AD44&gt;Lists!C$22)*($AD44&lt;=Lists!C$21),MAX(0,MIN(Lists!C$21,$AE44)-MAX(Lists!C$22,$AD44))/($AE44-$AD44))+N($D44)*IF($AG44-$AF44&lt;1,($AF44&gt;Lists!C$22)*($AF44&lt;=Lists!C$21),MAX(0,MIN(Lists!C$21,$AG44)-MAX(Lists!C$22,$AF44))/($AG44-$AF44))+N($E44)*IF($AI44-$AH44&lt;1,($AH44&gt;Lists!C$22)*($AH44&lt;=Lists!C$21),MAX(0,MIN(Lists!C$21,$AI44)-MAX(Lists!C$22,$AH44))/($AI44-$AH44))+N($F44)*IF($AK44-$AJ44&lt;1,($AJ44&gt;Lists!C$22)*($AJ44&lt;=Lists!C$21),MAX(0,MIN(Lists!C$21,$AK44)-MAX(Lists!C$22,$AJ44))/($AK44-$AJ44))+N($G44)*IF($AM44-$AL44&lt;1,($AL44&gt;Lists!C$22)*($AL44&lt;=Lists!C$21),MAX(0,MIN(Lists!C$21,$AM44)-MAX(Lists!C$22,$AL44))/($AM44-$AL44))))))))</f>
        <v>0</v>
      </c>
      <c r="N44" s="53" t="n">
        <f aca="false">IF($H44=0,0,IF($AP44="X",0,IF($AP44="S",$H44/$AO44*(MIN($AO44,MAX(0,INT((Lists!D$21-N($J44))/7)+1))-MIN($AO44,MAX(0,INT((Lists!D$22-N($J44))/7)+1))),IF($AP44="D",$H44*MAX(0,MIN(Lists!D$21,N($J44)+$AO44)-MAX(Lists!D$22,N($J44)))/$AO44,IF($AP44="M",$H44/$AO44*(IF(Lists!D$21&lt;$J44,0,MIN($AO44,(((YEAR(Lists!D$21)-YEAR($J44))*12+MONTH(Lists!D$21)-MONTH($J44))-(EDATE($J44,((YEAR(Lists!D$21)-YEAR($J44))*12+MONTH(Lists!D$21)-MONTH($J44)))&gt;Lists!D$21)+1)))-IF(Lists!D$22&lt;$J44,0,MIN($AO44,(((YEAR(Lists!D$22)-YEAR($J44))*12+MONTH(Lists!D$22)-MONTH($J44))-(EDATE($J44,((YEAR(Lists!D$22)-YEAR($J44))*12+MONTH(Lists!D$22)-MONTH($J44)))&gt;Lists!D$22)+1)))),IF($AP44="F",IF(N($K44)&lt;=0,0,MIN(MAX(0,$H44),N($K44)*IF(Lists!D$21&lt;$J44,0,(((YEAR(Lists!D$21)-YEAR($J44))*12+MONTH(Lists!D$21)-MONTH($J44))-(EDATE($J44,((YEAR(Lists!D$21)-YEAR($J44))*12+MONTH(Lists!D$21)-MONTH($J44)))&gt;Lists!D$21)+1)))-MIN(MAX(0,$H44),N($K44)*IF(Lists!D$22&lt;$J44,0,(((YEAR(Lists!D$22)-YEAR($J44))*12+MONTH(Lists!D$22)-MONTH($J44))-(EDATE($J44,((YEAR(Lists!D$22)-YEAR($J44))*12+MONTH(Lists!D$22)-MONTH($J44)))&gt;Lists!D$22)+1)))),N($C44)*IF($AE44-$AD44&lt;1,($AD44&gt;Lists!D$22)*($AD44&lt;=Lists!D$21),MAX(0,MIN(Lists!D$21,$AE44)-MAX(Lists!D$22,$AD44))/($AE44-$AD44))+N($D44)*IF($AG44-$AF44&lt;1,($AF44&gt;Lists!D$22)*($AF44&lt;=Lists!D$21),MAX(0,MIN(Lists!D$21,$AG44)-MAX(Lists!D$22,$AF44))/($AG44-$AF44))+N($E44)*IF($AI44-$AH44&lt;1,($AH44&gt;Lists!D$22)*($AH44&lt;=Lists!D$21),MAX(0,MIN(Lists!D$21,$AI44)-MAX(Lists!D$22,$AH44))/($AI44-$AH44))+N($F44)*IF($AK44-$AJ44&lt;1,($AJ44&gt;Lists!D$22)*($AJ44&lt;=Lists!D$21),MAX(0,MIN(Lists!D$21,$AK44)-MAX(Lists!D$22,$AJ44))/($AK44-$AJ44))+N($G44)*IF($AM44-$AL44&lt;1,($AL44&gt;Lists!D$22)*($AL44&lt;=Lists!D$21),MAX(0,MIN(Lists!D$21,$AM44)-MAX(Lists!D$22,$AL44))/($AM44-$AL44))))))))</f>
        <v>0</v>
      </c>
      <c r="O44" s="53" t="n">
        <f aca="false">IF($H44=0,0,IF($AP44="X",0,IF($AP44="S",$H44/$AO44*(MIN($AO44,MAX(0,INT((Lists!E$21-N($J44))/7)+1))-MIN($AO44,MAX(0,INT((Lists!E$22-N($J44))/7)+1))),IF($AP44="D",$H44*MAX(0,MIN(Lists!E$21,N($J44)+$AO44)-MAX(Lists!E$22,N($J44)))/$AO44,IF($AP44="M",$H44/$AO44*(IF(Lists!E$21&lt;$J44,0,MIN($AO44,(((YEAR(Lists!E$21)-YEAR($J44))*12+MONTH(Lists!E$21)-MONTH($J44))-(EDATE($J44,((YEAR(Lists!E$21)-YEAR($J44))*12+MONTH(Lists!E$21)-MONTH($J44)))&gt;Lists!E$21)+1)))-IF(Lists!E$22&lt;$J44,0,MIN($AO44,(((YEAR(Lists!E$22)-YEAR($J44))*12+MONTH(Lists!E$22)-MONTH($J44))-(EDATE($J44,((YEAR(Lists!E$22)-YEAR($J44))*12+MONTH(Lists!E$22)-MONTH($J44)))&gt;Lists!E$22)+1)))),IF($AP44="F",IF(N($K44)&lt;=0,0,MIN(MAX(0,$H44),N($K44)*IF(Lists!E$21&lt;$J44,0,(((YEAR(Lists!E$21)-YEAR($J44))*12+MONTH(Lists!E$21)-MONTH($J44))-(EDATE($J44,((YEAR(Lists!E$21)-YEAR($J44))*12+MONTH(Lists!E$21)-MONTH($J44)))&gt;Lists!E$21)+1)))-MIN(MAX(0,$H44),N($K44)*IF(Lists!E$22&lt;$J44,0,(((YEAR(Lists!E$22)-YEAR($J44))*12+MONTH(Lists!E$22)-MONTH($J44))-(EDATE($J44,((YEAR(Lists!E$22)-YEAR($J44))*12+MONTH(Lists!E$22)-MONTH($J44)))&gt;Lists!E$22)+1)))),N($C44)*IF($AE44-$AD44&lt;1,($AD44&gt;Lists!E$22)*($AD44&lt;=Lists!E$21),MAX(0,MIN(Lists!E$21,$AE44)-MAX(Lists!E$22,$AD44))/($AE44-$AD44))+N($D44)*IF($AG44-$AF44&lt;1,($AF44&gt;Lists!E$22)*($AF44&lt;=Lists!E$21),MAX(0,MIN(Lists!E$21,$AG44)-MAX(Lists!E$22,$AF44))/($AG44-$AF44))+N($E44)*IF($AI44-$AH44&lt;1,($AH44&gt;Lists!E$22)*($AH44&lt;=Lists!E$21),MAX(0,MIN(Lists!E$21,$AI44)-MAX(Lists!E$22,$AH44))/($AI44-$AH44))+N($F44)*IF($AK44-$AJ44&lt;1,($AJ44&gt;Lists!E$22)*($AJ44&lt;=Lists!E$21),MAX(0,MIN(Lists!E$21,$AK44)-MAX(Lists!E$22,$AJ44))/($AK44-$AJ44))+N($G44)*IF($AM44-$AL44&lt;1,($AL44&gt;Lists!E$22)*($AL44&lt;=Lists!E$21),MAX(0,MIN(Lists!E$21,$AM44)-MAX(Lists!E$22,$AL44))/($AM44-$AL44))))))))</f>
        <v>0</v>
      </c>
      <c r="P44" s="53" t="n">
        <f aca="false">IF($H44=0,0,IF($AP44="X",0,IF($AP44="S",$H44/$AO44*(MIN($AO44,MAX(0,INT((Lists!F$21-N($J44))/7)+1))-MIN($AO44,MAX(0,INT((Lists!F$22-N($J44))/7)+1))),IF($AP44="D",$H44*MAX(0,MIN(Lists!F$21,N($J44)+$AO44)-MAX(Lists!F$22,N($J44)))/$AO44,IF($AP44="M",$H44/$AO44*(IF(Lists!F$21&lt;$J44,0,MIN($AO44,(((YEAR(Lists!F$21)-YEAR($J44))*12+MONTH(Lists!F$21)-MONTH($J44))-(EDATE($J44,((YEAR(Lists!F$21)-YEAR($J44))*12+MONTH(Lists!F$21)-MONTH($J44)))&gt;Lists!F$21)+1)))-IF(Lists!F$22&lt;$J44,0,MIN($AO44,(((YEAR(Lists!F$22)-YEAR($J44))*12+MONTH(Lists!F$22)-MONTH($J44))-(EDATE($J44,((YEAR(Lists!F$22)-YEAR($J44))*12+MONTH(Lists!F$22)-MONTH($J44)))&gt;Lists!F$22)+1)))),IF($AP44="F",IF(N($K44)&lt;=0,0,MIN(MAX(0,$H44),N($K44)*IF(Lists!F$21&lt;$J44,0,(((YEAR(Lists!F$21)-YEAR($J44))*12+MONTH(Lists!F$21)-MONTH($J44))-(EDATE($J44,((YEAR(Lists!F$21)-YEAR($J44))*12+MONTH(Lists!F$21)-MONTH($J44)))&gt;Lists!F$21)+1)))-MIN(MAX(0,$H44),N($K44)*IF(Lists!F$22&lt;$J44,0,(((YEAR(Lists!F$22)-YEAR($J44))*12+MONTH(Lists!F$22)-MONTH($J44))-(EDATE($J44,((YEAR(Lists!F$22)-YEAR($J44))*12+MONTH(Lists!F$22)-MONTH($J44)))&gt;Lists!F$22)+1)))),N($C44)*IF($AE44-$AD44&lt;1,($AD44&gt;Lists!F$22)*($AD44&lt;=Lists!F$21),MAX(0,MIN(Lists!F$21,$AE44)-MAX(Lists!F$22,$AD44))/($AE44-$AD44))+N($D44)*IF($AG44-$AF44&lt;1,($AF44&gt;Lists!F$22)*($AF44&lt;=Lists!F$21),MAX(0,MIN(Lists!F$21,$AG44)-MAX(Lists!F$22,$AF44))/($AG44-$AF44))+N($E44)*IF($AI44-$AH44&lt;1,($AH44&gt;Lists!F$22)*($AH44&lt;=Lists!F$21),MAX(0,MIN(Lists!F$21,$AI44)-MAX(Lists!F$22,$AH44))/($AI44-$AH44))+N($F44)*IF($AK44-$AJ44&lt;1,($AJ44&gt;Lists!F$22)*($AJ44&lt;=Lists!F$21),MAX(0,MIN(Lists!F$21,$AK44)-MAX(Lists!F$22,$AJ44))/($AK44-$AJ44))+N($G44)*IF($AM44-$AL44&lt;1,($AL44&gt;Lists!F$22)*($AL44&lt;=Lists!F$21),MAX(0,MIN(Lists!F$21,$AM44)-MAX(Lists!F$22,$AL44))/($AM44-$AL44))))))))</f>
        <v>0</v>
      </c>
      <c r="Q44" s="53" t="n">
        <f aca="false">IF($H44=0,0,IF($AP44="X",0,IF($AP44="S",$H44/$AO44*(MIN($AO44,MAX(0,INT((Lists!G$21-N($J44))/7)+1))-MIN($AO44,MAX(0,INT((Lists!G$22-N($J44))/7)+1))),IF($AP44="D",$H44*MAX(0,MIN(Lists!G$21,N($J44)+$AO44)-MAX(Lists!G$22,N($J44)))/$AO44,IF($AP44="M",$H44/$AO44*(IF(Lists!G$21&lt;$J44,0,MIN($AO44,(((YEAR(Lists!G$21)-YEAR($J44))*12+MONTH(Lists!G$21)-MONTH($J44))-(EDATE($J44,((YEAR(Lists!G$21)-YEAR($J44))*12+MONTH(Lists!G$21)-MONTH($J44)))&gt;Lists!G$21)+1)))-IF(Lists!G$22&lt;$J44,0,MIN($AO44,(((YEAR(Lists!G$22)-YEAR($J44))*12+MONTH(Lists!G$22)-MONTH($J44))-(EDATE($J44,((YEAR(Lists!G$22)-YEAR($J44))*12+MONTH(Lists!G$22)-MONTH($J44)))&gt;Lists!G$22)+1)))),IF($AP44="F",IF(N($K44)&lt;=0,0,MIN(MAX(0,$H44),N($K44)*IF(Lists!G$21&lt;$J44,0,(((YEAR(Lists!G$21)-YEAR($J44))*12+MONTH(Lists!G$21)-MONTH($J44))-(EDATE($J44,((YEAR(Lists!G$21)-YEAR($J44))*12+MONTH(Lists!G$21)-MONTH($J44)))&gt;Lists!G$21)+1)))-MIN(MAX(0,$H44),N($K44)*IF(Lists!G$22&lt;$J44,0,(((YEAR(Lists!G$22)-YEAR($J44))*12+MONTH(Lists!G$22)-MONTH($J44))-(EDATE($J44,((YEAR(Lists!G$22)-YEAR($J44))*12+MONTH(Lists!G$22)-MONTH($J44)))&gt;Lists!G$22)+1)))),N($C44)*IF($AE44-$AD44&lt;1,($AD44&gt;Lists!G$22)*($AD44&lt;=Lists!G$21),MAX(0,MIN(Lists!G$21,$AE44)-MAX(Lists!G$22,$AD44))/($AE44-$AD44))+N($D44)*IF($AG44-$AF44&lt;1,($AF44&gt;Lists!G$22)*($AF44&lt;=Lists!G$21),MAX(0,MIN(Lists!G$21,$AG44)-MAX(Lists!G$22,$AF44))/($AG44-$AF44))+N($E44)*IF($AI44-$AH44&lt;1,($AH44&gt;Lists!G$22)*($AH44&lt;=Lists!G$21),MAX(0,MIN(Lists!G$21,$AI44)-MAX(Lists!G$22,$AH44))/($AI44-$AH44))+N($F44)*IF($AK44-$AJ44&lt;1,($AJ44&gt;Lists!G$22)*($AJ44&lt;=Lists!G$21),MAX(0,MIN(Lists!G$21,$AK44)-MAX(Lists!G$22,$AJ44))/($AK44-$AJ44))+N($G44)*IF($AM44-$AL44&lt;1,($AL44&gt;Lists!G$22)*($AL44&lt;=Lists!G$21),MAX(0,MIN(Lists!G$21,$AM44)-MAX(Lists!G$22,$AL44))/($AM44-$AL44))))))))</f>
        <v>0</v>
      </c>
      <c r="R44" s="53" t="n">
        <f aca="false">IF($H44=0,0,IF($AP44="X",0,IF($AP44="S",$H44/$AO44*(MIN($AO44,MAX(0,INT((Lists!H$21-N($J44))/7)+1))-MIN($AO44,MAX(0,INT((Lists!H$22-N($J44))/7)+1))),IF($AP44="D",$H44*MAX(0,MIN(Lists!H$21,N($J44)+$AO44)-MAX(Lists!H$22,N($J44)))/$AO44,IF($AP44="M",$H44/$AO44*(IF(Lists!H$21&lt;$J44,0,MIN($AO44,(((YEAR(Lists!H$21)-YEAR($J44))*12+MONTH(Lists!H$21)-MONTH($J44))-(EDATE($J44,((YEAR(Lists!H$21)-YEAR($J44))*12+MONTH(Lists!H$21)-MONTH($J44)))&gt;Lists!H$21)+1)))-IF(Lists!H$22&lt;$J44,0,MIN($AO44,(((YEAR(Lists!H$22)-YEAR($J44))*12+MONTH(Lists!H$22)-MONTH($J44))-(EDATE($J44,((YEAR(Lists!H$22)-YEAR($J44))*12+MONTH(Lists!H$22)-MONTH($J44)))&gt;Lists!H$22)+1)))),IF($AP44="F",IF(N($K44)&lt;=0,0,MIN(MAX(0,$H44),N($K44)*IF(Lists!H$21&lt;$J44,0,(((YEAR(Lists!H$21)-YEAR($J44))*12+MONTH(Lists!H$21)-MONTH($J44))-(EDATE($J44,((YEAR(Lists!H$21)-YEAR($J44))*12+MONTH(Lists!H$21)-MONTH($J44)))&gt;Lists!H$21)+1)))-MIN(MAX(0,$H44),N($K44)*IF(Lists!H$22&lt;$J44,0,(((YEAR(Lists!H$22)-YEAR($J44))*12+MONTH(Lists!H$22)-MONTH($J44))-(EDATE($J44,((YEAR(Lists!H$22)-YEAR($J44))*12+MONTH(Lists!H$22)-MONTH($J44)))&gt;Lists!H$22)+1)))),N($C44)*IF($AE44-$AD44&lt;1,($AD44&gt;Lists!H$22)*($AD44&lt;=Lists!H$21),MAX(0,MIN(Lists!H$21,$AE44)-MAX(Lists!H$22,$AD44))/($AE44-$AD44))+N($D44)*IF($AG44-$AF44&lt;1,($AF44&gt;Lists!H$22)*($AF44&lt;=Lists!H$21),MAX(0,MIN(Lists!H$21,$AG44)-MAX(Lists!H$22,$AF44))/($AG44-$AF44))+N($E44)*IF($AI44-$AH44&lt;1,($AH44&gt;Lists!H$22)*($AH44&lt;=Lists!H$21),MAX(0,MIN(Lists!H$21,$AI44)-MAX(Lists!H$22,$AH44))/($AI44-$AH44))+N($F44)*IF($AK44-$AJ44&lt;1,($AJ44&gt;Lists!H$22)*($AJ44&lt;=Lists!H$21),MAX(0,MIN(Lists!H$21,$AK44)-MAX(Lists!H$22,$AJ44))/($AK44-$AJ44))+N($G44)*IF($AM44-$AL44&lt;1,($AL44&gt;Lists!H$22)*($AL44&lt;=Lists!H$21),MAX(0,MIN(Lists!H$21,$AM44)-MAX(Lists!H$22,$AL44))/($AM44-$AL44))))))))</f>
        <v>0</v>
      </c>
      <c r="S44" s="53" t="n">
        <f aca="false">IF($H44=0,0,IF($AP44="X",0,IF($AP44="S",$H44/$AO44*(MIN($AO44,MAX(0,INT((Lists!I$21-N($J44))/7)+1))-MIN($AO44,MAX(0,INT((Lists!I$22-N($J44))/7)+1))),IF($AP44="D",$H44*MAX(0,MIN(Lists!I$21,N($J44)+$AO44)-MAX(Lists!I$22,N($J44)))/$AO44,IF($AP44="M",$H44/$AO44*(IF(Lists!I$21&lt;$J44,0,MIN($AO44,(((YEAR(Lists!I$21)-YEAR($J44))*12+MONTH(Lists!I$21)-MONTH($J44))-(EDATE($J44,((YEAR(Lists!I$21)-YEAR($J44))*12+MONTH(Lists!I$21)-MONTH($J44)))&gt;Lists!I$21)+1)))-IF(Lists!I$22&lt;$J44,0,MIN($AO44,(((YEAR(Lists!I$22)-YEAR($J44))*12+MONTH(Lists!I$22)-MONTH($J44))-(EDATE($J44,((YEAR(Lists!I$22)-YEAR($J44))*12+MONTH(Lists!I$22)-MONTH($J44)))&gt;Lists!I$22)+1)))),IF($AP44="F",IF(N($K44)&lt;=0,0,MIN(MAX(0,$H44),N($K44)*IF(Lists!I$21&lt;$J44,0,(((YEAR(Lists!I$21)-YEAR($J44))*12+MONTH(Lists!I$21)-MONTH($J44))-(EDATE($J44,((YEAR(Lists!I$21)-YEAR($J44))*12+MONTH(Lists!I$21)-MONTH($J44)))&gt;Lists!I$21)+1)))-MIN(MAX(0,$H44),N($K44)*IF(Lists!I$22&lt;$J44,0,(((YEAR(Lists!I$22)-YEAR($J44))*12+MONTH(Lists!I$22)-MONTH($J44))-(EDATE($J44,((YEAR(Lists!I$22)-YEAR($J44))*12+MONTH(Lists!I$22)-MONTH($J44)))&gt;Lists!I$22)+1)))),N($C44)*IF($AE44-$AD44&lt;1,($AD44&gt;Lists!I$22)*($AD44&lt;=Lists!I$21),MAX(0,MIN(Lists!I$21,$AE44)-MAX(Lists!I$22,$AD44))/($AE44-$AD44))+N($D44)*IF($AG44-$AF44&lt;1,($AF44&gt;Lists!I$22)*($AF44&lt;=Lists!I$21),MAX(0,MIN(Lists!I$21,$AG44)-MAX(Lists!I$22,$AF44))/($AG44-$AF44))+N($E44)*IF($AI44-$AH44&lt;1,($AH44&gt;Lists!I$22)*($AH44&lt;=Lists!I$21),MAX(0,MIN(Lists!I$21,$AI44)-MAX(Lists!I$22,$AH44))/($AI44-$AH44))+N($F44)*IF($AK44-$AJ44&lt;1,($AJ44&gt;Lists!I$22)*($AJ44&lt;=Lists!I$21),MAX(0,MIN(Lists!I$21,$AK44)-MAX(Lists!I$22,$AJ44))/($AK44-$AJ44))+N($G44)*IF($AM44-$AL44&lt;1,($AL44&gt;Lists!I$22)*($AL44&lt;=Lists!I$21),MAX(0,MIN(Lists!I$21,$AM44)-MAX(Lists!I$22,$AL44))/($AM44-$AL44))))))))</f>
        <v>0</v>
      </c>
      <c r="T44" s="53" t="n">
        <f aca="false">IF($H44=0,0,IF($AP44="X",0,IF($AP44="S",$H44/$AO44*(MIN($AO44,MAX(0,INT((Lists!J$21-N($J44))/7)+1))-MIN($AO44,MAX(0,INT((Lists!J$22-N($J44))/7)+1))),IF($AP44="D",$H44*MAX(0,MIN(Lists!J$21,N($J44)+$AO44)-MAX(Lists!J$22,N($J44)))/$AO44,IF($AP44="M",$H44/$AO44*(IF(Lists!J$21&lt;$J44,0,MIN($AO44,(((YEAR(Lists!J$21)-YEAR($J44))*12+MONTH(Lists!J$21)-MONTH($J44))-(EDATE($J44,((YEAR(Lists!J$21)-YEAR($J44))*12+MONTH(Lists!J$21)-MONTH($J44)))&gt;Lists!J$21)+1)))-IF(Lists!J$22&lt;$J44,0,MIN($AO44,(((YEAR(Lists!J$22)-YEAR($J44))*12+MONTH(Lists!J$22)-MONTH($J44))-(EDATE($J44,((YEAR(Lists!J$22)-YEAR($J44))*12+MONTH(Lists!J$22)-MONTH($J44)))&gt;Lists!J$22)+1)))),IF($AP44="F",IF(N($K44)&lt;=0,0,MIN(MAX(0,$H44),N($K44)*IF(Lists!J$21&lt;$J44,0,(((YEAR(Lists!J$21)-YEAR($J44))*12+MONTH(Lists!J$21)-MONTH($J44))-(EDATE($J44,((YEAR(Lists!J$21)-YEAR($J44))*12+MONTH(Lists!J$21)-MONTH($J44)))&gt;Lists!J$21)+1)))-MIN(MAX(0,$H44),N($K44)*IF(Lists!J$22&lt;$J44,0,(((YEAR(Lists!J$22)-YEAR($J44))*12+MONTH(Lists!J$22)-MONTH($J44))-(EDATE($J44,((YEAR(Lists!J$22)-YEAR($J44))*12+MONTH(Lists!J$22)-MONTH($J44)))&gt;Lists!J$22)+1)))),N($C44)*IF($AE44-$AD44&lt;1,($AD44&gt;Lists!J$22)*($AD44&lt;=Lists!J$21),MAX(0,MIN(Lists!J$21,$AE44)-MAX(Lists!J$22,$AD44))/($AE44-$AD44))+N($D44)*IF($AG44-$AF44&lt;1,($AF44&gt;Lists!J$22)*($AF44&lt;=Lists!J$21),MAX(0,MIN(Lists!J$21,$AG44)-MAX(Lists!J$22,$AF44))/($AG44-$AF44))+N($E44)*IF($AI44-$AH44&lt;1,($AH44&gt;Lists!J$22)*($AH44&lt;=Lists!J$21),MAX(0,MIN(Lists!J$21,$AI44)-MAX(Lists!J$22,$AH44))/($AI44-$AH44))+N($F44)*IF($AK44-$AJ44&lt;1,($AJ44&gt;Lists!J$22)*($AJ44&lt;=Lists!J$21),MAX(0,MIN(Lists!J$21,$AK44)-MAX(Lists!J$22,$AJ44))/($AK44-$AJ44))+N($G44)*IF($AM44-$AL44&lt;1,($AL44&gt;Lists!J$22)*($AL44&lt;=Lists!J$21),MAX(0,MIN(Lists!J$21,$AM44)-MAX(Lists!J$22,$AL44))/($AM44-$AL44))))))))</f>
        <v>0</v>
      </c>
      <c r="U44" s="53" t="n">
        <f aca="false">IF($H44=0,0,IF($AP44="X",0,IF($AP44="S",$H44/$AO44*(MIN($AO44,MAX(0,INT((Lists!K$21-N($J44))/7)+1))-MIN($AO44,MAX(0,INT((Lists!K$22-N($J44))/7)+1))),IF($AP44="D",$H44*MAX(0,MIN(Lists!K$21,N($J44)+$AO44)-MAX(Lists!K$22,N($J44)))/$AO44,IF($AP44="M",$H44/$AO44*(IF(Lists!K$21&lt;$J44,0,MIN($AO44,(((YEAR(Lists!K$21)-YEAR($J44))*12+MONTH(Lists!K$21)-MONTH($J44))-(EDATE($J44,((YEAR(Lists!K$21)-YEAR($J44))*12+MONTH(Lists!K$21)-MONTH($J44)))&gt;Lists!K$21)+1)))-IF(Lists!K$22&lt;$J44,0,MIN($AO44,(((YEAR(Lists!K$22)-YEAR($J44))*12+MONTH(Lists!K$22)-MONTH($J44))-(EDATE($J44,((YEAR(Lists!K$22)-YEAR($J44))*12+MONTH(Lists!K$22)-MONTH($J44)))&gt;Lists!K$22)+1)))),IF($AP44="F",IF(N($K44)&lt;=0,0,MIN(MAX(0,$H44),N($K44)*IF(Lists!K$21&lt;$J44,0,(((YEAR(Lists!K$21)-YEAR($J44))*12+MONTH(Lists!K$21)-MONTH($J44))-(EDATE($J44,((YEAR(Lists!K$21)-YEAR($J44))*12+MONTH(Lists!K$21)-MONTH($J44)))&gt;Lists!K$21)+1)))-MIN(MAX(0,$H44),N($K44)*IF(Lists!K$22&lt;$J44,0,(((YEAR(Lists!K$22)-YEAR($J44))*12+MONTH(Lists!K$22)-MONTH($J44))-(EDATE($J44,((YEAR(Lists!K$22)-YEAR($J44))*12+MONTH(Lists!K$22)-MONTH($J44)))&gt;Lists!K$22)+1)))),N($C44)*IF($AE44-$AD44&lt;1,($AD44&gt;Lists!K$22)*($AD44&lt;=Lists!K$21),MAX(0,MIN(Lists!K$21,$AE44)-MAX(Lists!K$22,$AD44))/($AE44-$AD44))+N($D44)*IF($AG44-$AF44&lt;1,($AF44&gt;Lists!K$22)*($AF44&lt;=Lists!K$21),MAX(0,MIN(Lists!K$21,$AG44)-MAX(Lists!K$22,$AF44))/($AG44-$AF44))+N($E44)*IF($AI44-$AH44&lt;1,($AH44&gt;Lists!K$22)*($AH44&lt;=Lists!K$21),MAX(0,MIN(Lists!K$21,$AI44)-MAX(Lists!K$22,$AH44))/($AI44-$AH44))+N($F44)*IF($AK44-$AJ44&lt;1,($AJ44&gt;Lists!K$22)*($AJ44&lt;=Lists!K$21),MAX(0,MIN(Lists!K$21,$AK44)-MAX(Lists!K$22,$AJ44))/($AK44-$AJ44))+N($G44)*IF($AM44-$AL44&lt;1,($AL44&gt;Lists!K$22)*($AL44&lt;=Lists!K$21),MAX(0,MIN(Lists!K$21,$AM44)-MAX(Lists!K$22,$AL44))/($AM44-$AL44))))))))</f>
        <v>0</v>
      </c>
      <c r="V44" s="53" t="n">
        <f aca="false">IF($H44=0,0,IF($AP44="X",0,IF($AP44="S",$H44/$AO44*(MIN($AO44,MAX(0,INT((Lists!L$21-N($J44))/7)+1))-MIN($AO44,MAX(0,INT((Lists!L$22-N($J44))/7)+1))),IF($AP44="D",$H44*MAX(0,MIN(Lists!L$21,N($J44)+$AO44)-MAX(Lists!L$22,N($J44)))/$AO44,IF($AP44="M",$H44/$AO44*(IF(Lists!L$21&lt;$J44,0,MIN($AO44,(((YEAR(Lists!L$21)-YEAR($J44))*12+MONTH(Lists!L$21)-MONTH($J44))-(EDATE($J44,((YEAR(Lists!L$21)-YEAR($J44))*12+MONTH(Lists!L$21)-MONTH($J44)))&gt;Lists!L$21)+1)))-IF(Lists!L$22&lt;$J44,0,MIN($AO44,(((YEAR(Lists!L$22)-YEAR($J44))*12+MONTH(Lists!L$22)-MONTH($J44))-(EDATE($J44,((YEAR(Lists!L$22)-YEAR($J44))*12+MONTH(Lists!L$22)-MONTH($J44)))&gt;Lists!L$22)+1)))),IF($AP44="F",IF(N($K44)&lt;=0,0,MIN(MAX(0,$H44),N($K44)*IF(Lists!L$21&lt;$J44,0,(((YEAR(Lists!L$21)-YEAR($J44))*12+MONTH(Lists!L$21)-MONTH($J44))-(EDATE($J44,((YEAR(Lists!L$21)-YEAR($J44))*12+MONTH(Lists!L$21)-MONTH($J44)))&gt;Lists!L$21)+1)))-MIN(MAX(0,$H44),N($K44)*IF(Lists!L$22&lt;$J44,0,(((YEAR(Lists!L$22)-YEAR($J44))*12+MONTH(Lists!L$22)-MONTH($J44))-(EDATE($J44,((YEAR(Lists!L$22)-YEAR($J44))*12+MONTH(Lists!L$22)-MONTH($J44)))&gt;Lists!L$22)+1)))),N($C44)*IF($AE44-$AD44&lt;1,($AD44&gt;Lists!L$22)*($AD44&lt;=Lists!L$21),MAX(0,MIN(Lists!L$21,$AE44)-MAX(Lists!L$22,$AD44))/($AE44-$AD44))+N($D44)*IF($AG44-$AF44&lt;1,($AF44&gt;Lists!L$22)*($AF44&lt;=Lists!L$21),MAX(0,MIN(Lists!L$21,$AG44)-MAX(Lists!L$22,$AF44))/($AG44-$AF44))+N($E44)*IF($AI44-$AH44&lt;1,($AH44&gt;Lists!L$22)*($AH44&lt;=Lists!L$21),MAX(0,MIN(Lists!L$21,$AI44)-MAX(Lists!L$22,$AH44))/($AI44-$AH44))+N($F44)*IF($AK44-$AJ44&lt;1,($AJ44&gt;Lists!L$22)*($AJ44&lt;=Lists!L$21),MAX(0,MIN(Lists!L$21,$AK44)-MAX(Lists!L$22,$AJ44))/($AK44-$AJ44))+N($G44)*IF($AM44-$AL44&lt;1,($AL44&gt;Lists!L$22)*($AL44&lt;=Lists!L$21),MAX(0,MIN(Lists!L$21,$AM44)-MAX(Lists!L$22,$AL44))/($AM44-$AL44))))))))</f>
        <v>0</v>
      </c>
      <c r="W44" s="53" t="n">
        <f aca="false">IF($H44=0,0,IF($AP44="X",0,IF($AP44="S",$H44/$AO44*(MIN($AO44,MAX(0,INT((Lists!M$21-N($J44))/7)+1))-MIN($AO44,MAX(0,INT((Lists!M$22-N($J44))/7)+1))),IF($AP44="D",$H44*MAX(0,MIN(Lists!M$21,N($J44)+$AO44)-MAX(Lists!M$22,N($J44)))/$AO44,IF($AP44="M",$H44/$AO44*(IF(Lists!M$21&lt;$J44,0,MIN($AO44,(((YEAR(Lists!M$21)-YEAR($J44))*12+MONTH(Lists!M$21)-MONTH($J44))-(EDATE($J44,((YEAR(Lists!M$21)-YEAR($J44))*12+MONTH(Lists!M$21)-MONTH($J44)))&gt;Lists!M$21)+1)))-IF(Lists!M$22&lt;$J44,0,MIN($AO44,(((YEAR(Lists!M$22)-YEAR($J44))*12+MONTH(Lists!M$22)-MONTH($J44))-(EDATE($J44,((YEAR(Lists!M$22)-YEAR($J44))*12+MONTH(Lists!M$22)-MONTH($J44)))&gt;Lists!M$22)+1)))),IF($AP44="F",IF(N($K44)&lt;=0,0,MIN(MAX(0,$H44),N($K44)*IF(Lists!M$21&lt;$J44,0,(((YEAR(Lists!M$21)-YEAR($J44))*12+MONTH(Lists!M$21)-MONTH($J44))-(EDATE($J44,((YEAR(Lists!M$21)-YEAR($J44))*12+MONTH(Lists!M$21)-MONTH($J44)))&gt;Lists!M$21)+1)))-MIN(MAX(0,$H44),N($K44)*IF(Lists!M$22&lt;$J44,0,(((YEAR(Lists!M$22)-YEAR($J44))*12+MONTH(Lists!M$22)-MONTH($J44))-(EDATE($J44,((YEAR(Lists!M$22)-YEAR($J44))*12+MONTH(Lists!M$22)-MONTH($J44)))&gt;Lists!M$22)+1)))),N($C44)*IF($AE44-$AD44&lt;1,($AD44&gt;Lists!M$22)*($AD44&lt;=Lists!M$21),MAX(0,MIN(Lists!M$21,$AE44)-MAX(Lists!M$22,$AD44))/($AE44-$AD44))+N($D44)*IF($AG44-$AF44&lt;1,($AF44&gt;Lists!M$22)*($AF44&lt;=Lists!M$21),MAX(0,MIN(Lists!M$21,$AG44)-MAX(Lists!M$22,$AF44))/($AG44-$AF44))+N($E44)*IF($AI44-$AH44&lt;1,($AH44&gt;Lists!M$22)*($AH44&lt;=Lists!M$21),MAX(0,MIN(Lists!M$21,$AI44)-MAX(Lists!M$22,$AH44))/($AI44-$AH44))+N($F44)*IF($AK44-$AJ44&lt;1,($AJ44&gt;Lists!M$22)*($AJ44&lt;=Lists!M$21),MAX(0,MIN(Lists!M$21,$AK44)-MAX(Lists!M$22,$AJ44))/($AK44-$AJ44))+N($G44)*IF($AM44-$AL44&lt;1,($AL44&gt;Lists!M$22)*($AL44&lt;=Lists!M$21),MAX(0,MIN(Lists!M$21,$AM44)-MAX(Lists!M$22,$AL44))/($AM44-$AL44))))))))</f>
        <v>0</v>
      </c>
      <c r="X44" s="53" t="n">
        <f aca="false">IF($H44=0,0,IF($AP44="X",0,IF($AP44="S",$H44/$AO44*(MIN($AO44,MAX(0,INT((Lists!N$21-N($J44))/7)+1))-MIN($AO44,MAX(0,INT((Lists!N$22-N($J44))/7)+1))),IF($AP44="D",$H44*MAX(0,MIN(Lists!N$21,N($J44)+$AO44)-MAX(Lists!N$22,N($J44)))/$AO44,IF($AP44="M",$H44/$AO44*(IF(Lists!N$21&lt;$J44,0,MIN($AO44,(((YEAR(Lists!N$21)-YEAR($J44))*12+MONTH(Lists!N$21)-MONTH($J44))-(EDATE($J44,((YEAR(Lists!N$21)-YEAR($J44))*12+MONTH(Lists!N$21)-MONTH($J44)))&gt;Lists!N$21)+1)))-IF(Lists!N$22&lt;$J44,0,MIN($AO44,(((YEAR(Lists!N$22)-YEAR($J44))*12+MONTH(Lists!N$22)-MONTH($J44))-(EDATE($J44,((YEAR(Lists!N$22)-YEAR($J44))*12+MONTH(Lists!N$22)-MONTH($J44)))&gt;Lists!N$22)+1)))),IF($AP44="F",IF(N($K44)&lt;=0,0,MIN(MAX(0,$H44),N($K44)*IF(Lists!N$21&lt;$J44,0,(((YEAR(Lists!N$21)-YEAR($J44))*12+MONTH(Lists!N$21)-MONTH($J44))-(EDATE($J44,((YEAR(Lists!N$21)-YEAR($J44))*12+MONTH(Lists!N$21)-MONTH($J44)))&gt;Lists!N$21)+1)))-MIN(MAX(0,$H44),N($K44)*IF(Lists!N$22&lt;$J44,0,(((YEAR(Lists!N$22)-YEAR($J44))*12+MONTH(Lists!N$22)-MONTH($J44))-(EDATE($J44,((YEAR(Lists!N$22)-YEAR($J44))*12+MONTH(Lists!N$22)-MONTH($J44)))&gt;Lists!N$22)+1)))),N($C44)*IF($AE44-$AD44&lt;1,($AD44&gt;Lists!N$22)*($AD44&lt;=Lists!N$21),MAX(0,MIN(Lists!N$21,$AE44)-MAX(Lists!N$22,$AD44))/($AE44-$AD44))+N($D44)*IF($AG44-$AF44&lt;1,($AF44&gt;Lists!N$22)*($AF44&lt;=Lists!N$21),MAX(0,MIN(Lists!N$21,$AG44)-MAX(Lists!N$22,$AF44))/($AG44-$AF44))+N($E44)*IF($AI44-$AH44&lt;1,($AH44&gt;Lists!N$22)*($AH44&lt;=Lists!N$21),MAX(0,MIN(Lists!N$21,$AI44)-MAX(Lists!N$22,$AH44))/($AI44-$AH44))+N($F44)*IF($AK44-$AJ44&lt;1,($AJ44&gt;Lists!N$22)*($AJ44&lt;=Lists!N$21),MAX(0,MIN(Lists!N$21,$AK44)-MAX(Lists!N$22,$AJ44))/($AK44-$AJ44))+N($G44)*IF($AM44-$AL44&lt;1,($AL44&gt;Lists!N$22)*($AL44&lt;=Lists!N$21),MAX(0,MIN(Lists!N$21,$AM44)-MAX(Lists!N$22,$AL44))/($AM44-$AL44))))))))</f>
        <v>0</v>
      </c>
      <c r="Y44" s="53" t="n">
        <f aca="false">IF($H44=0,0,IF($AP44="X",0,IF($AP44="S",$H44/$AO44*(MIN($AO44,MAX(0,INT((Lists!O$21-N($J44))/7)+1))-MIN($AO44,MAX(0,INT((Lists!O$22-N($J44))/7)+1))),IF($AP44="D",$H44*MAX(0,MIN(Lists!O$21,N($J44)+$AO44)-MAX(Lists!O$22,N($J44)))/$AO44,IF($AP44="M",$H44/$AO44*(IF(Lists!O$21&lt;$J44,0,MIN($AO44,(((YEAR(Lists!O$21)-YEAR($J44))*12+MONTH(Lists!O$21)-MONTH($J44))-(EDATE($J44,((YEAR(Lists!O$21)-YEAR($J44))*12+MONTH(Lists!O$21)-MONTH($J44)))&gt;Lists!O$21)+1)))-IF(Lists!O$22&lt;$J44,0,MIN($AO44,(((YEAR(Lists!O$22)-YEAR($J44))*12+MONTH(Lists!O$22)-MONTH($J44))-(EDATE($J44,((YEAR(Lists!O$22)-YEAR($J44))*12+MONTH(Lists!O$22)-MONTH($J44)))&gt;Lists!O$22)+1)))),IF($AP44="F",IF(N($K44)&lt;=0,0,MIN(MAX(0,$H44),N($K44)*IF(Lists!O$21&lt;$J44,0,(((YEAR(Lists!O$21)-YEAR($J44))*12+MONTH(Lists!O$21)-MONTH($J44))-(EDATE($J44,((YEAR(Lists!O$21)-YEAR($J44))*12+MONTH(Lists!O$21)-MONTH($J44)))&gt;Lists!O$21)+1)))-MIN(MAX(0,$H44),N($K44)*IF(Lists!O$22&lt;$J44,0,(((YEAR(Lists!O$22)-YEAR($J44))*12+MONTH(Lists!O$22)-MONTH($J44))-(EDATE($J44,((YEAR(Lists!O$22)-YEAR($J44))*12+MONTH(Lists!O$22)-MONTH($J44)))&gt;Lists!O$22)+1)))),N($C44)*IF($AE44-$AD44&lt;1,($AD44&gt;Lists!O$22)*($AD44&lt;=Lists!O$21),MAX(0,MIN(Lists!O$21,$AE44)-MAX(Lists!O$22,$AD44))/($AE44-$AD44))+N($D44)*IF($AG44-$AF44&lt;1,($AF44&gt;Lists!O$22)*($AF44&lt;=Lists!O$21),MAX(0,MIN(Lists!O$21,$AG44)-MAX(Lists!O$22,$AF44))/($AG44-$AF44))+N($E44)*IF($AI44-$AH44&lt;1,($AH44&gt;Lists!O$22)*($AH44&lt;=Lists!O$21),MAX(0,MIN(Lists!O$21,$AI44)-MAX(Lists!O$22,$AH44))/($AI44-$AH44))+N($F44)*IF($AK44-$AJ44&lt;1,($AJ44&gt;Lists!O$22)*($AJ44&lt;=Lists!O$21),MAX(0,MIN(Lists!O$21,$AK44)-MAX(Lists!O$22,$AJ44))/($AK44-$AJ44))+N($G44)*IF($AM44-$AL44&lt;1,($AL44&gt;Lists!O$22)*($AL44&lt;=Lists!O$21),MAX(0,MIN(Lists!O$21,$AM44)-MAX(Lists!O$22,$AL44))/($AM44-$AL44))))))))</f>
        <v>0</v>
      </c>
      <c r="Z44" s="46" t="n">
        <f aca="false">SUM(M44:Y44)</f>
        <v>0</v>
      </c>
      <c r="AA44" s="92" t="n">
        <f aca="false">H44-Z44</f>
        <v>0</v>
      </c>
      <c r="AB44" s="55"/>
      <c r="AC44" s="2"/>
      <c r="AD44" s="93" t="n">
        <f aca="false">Setup!$D$10+MAX(0,$AN44-30)</f>
        <v>46365</v>
      </c>
      <c r="AE44" s="93" t="n">
        <f aca="false">Setup!$D$10+IF($AN44-30&lt;0,MAX(Setup!$D$22,$AN44-0),$AN44-0)</f>
        <v>46395</v>
      </c>
      <c r="AF44" s="93" t="n">
        <f aca="false">Setup!$D$10+MAX(0,$AN44-60)</f>
        <v>46335</v>
      </c>
      <c r="AG44" s="93" t="n">
        <f aca="false">Setup!$D$10+IF($AN44-60&lt;0,MAX(Setup!$D$22,$AN44-31),$AN44-31)</f>
        <v>46364</v>
      </c>
      <c r="AH44" s="93" t="n">
        <f aca="false">Setup!$D$10+MAX(0,$AN44-90)</f>
        <v>46335</v>
      </c>
      <c r="AI44" s="93" t="n">
        <f aca="false">Setup!$D$10+IF($AN44-90&lt;0,MAX(Setup!$D$22,$AN44-61),$AN44-61)</f>
        <v>46363</v>
      </c>
      <c r="AJ44" s="93" t="n">
        <f aca="false">Setup!$D$10+MAX(0,$AN44-120)</f>
        <v>46335</v>
      </c>
      <c r="AK44" s="93" t="n">
        <f aca="false">Setup!$D$10+IF($AN44-120&lt;0,MAX(Setup!$D$22,$AN44-91),$AN44-91)</f>
        <v>46363</v>
      </c>
      <c r="AL44" s="93" t="n">
        <f aca="false">IF(Setup!$D$23="Yes",2958465,Setup!$D$10)</f>
        <v>2958465</v>
      </c>
      <c r="AM44" s="93" t="n">
        <f aca="false">IF(AL44=2958465,AL44,Setup!$D$10+Setup!$D$22)</f>
        <v>2958465</v>
      </c>
      <c r="AN44" s="94" t="n">
        <f aca="false">IF(N(L44)=0,Setup!$D$20,L44)</f>
        <v>60</v>
      </c>
      <c r="AO44" s="94" t="n">
        <f aca="false">MAX(1,ROUND(N(K44),0))</f>
        <v>1</v>
      </c>
      <c r="AP44" s="95" t="str">
        <f aca="false">IF(I44="Doubtful","X",IF(N(J44)=0,"A",IF(I44="Specific date","S",IF(I44="Spread over days","D",IF(I44="Monthly on set day","M",IF(I44="Monthly fixed amount","F","A"))))))</f>
        <v>A</v>
      </c>
    </row>
    <row r="45" customFormat="false" ht="15" hidden="false" customHeight="false" outlineLevel="0" collapsed="false">
      <c r="A45" s="87" t="n">
        <v>37</v>
      </c>
      <c r="B45" s="55"/>
      <c r="C45" s="88"/>
      <c r="D45" s="88"/>
      <c r="E45" s="88"/>
      <c r="F45" s="88"/>
      <c r="G45" s="88"/>
      <c r="H45" s="89" t="n">
        <f aca="false">SUM(C45:G45)</f>
        <v>0</v>
      </c>
      <c r="I45" s="58"/>
      <c r="J45" s="90"/>
      <c r="K45" s="91"/>
      <c r="L45" s="80"/>
      <c r="M45" s="53" t="n">
        <f aca="false">IF($H45=0,0,IF($AP45="X",0,IF($AP45="S",$H45/$AO45*(MIN($AO45,MAX(0,INT((Lists!C$21-N($J45))/7)+1))-MIN($AO45,MAX(0,INT((Lists!C$22-N($J45))/7)+1))),IF($AP45="D",$H45*MAX(0,MIN(Lists!C$21,N($J45)+$AO45)-MAX(Lists!C$22,N($J45)))/$AO45,IF($AP45="M",$H45/$AO45*(IF(Lists!C$21&lt;$J45,0,MIN($AO45,(((YEAR(Lists!C$21)-YEAR($J45))*12+MONTH(Lists!C$21)-MONTH($J45))-(EDATE($J45,((YEAR(Lists!C$21)-YEAR($J45))*12+MONTH(Lists!C$21)-MONTH($J45)))&gt;Lists!C$21)+1)))-IF(Lists!C$22&lt;$J45,0,MIN($AO45,(((YEAR(Lists!C$22)-YEAR($J45))*12+MONTH(Lists!C$22)-MONTH($J45))-(EDATE($J45,((YEAR(Lists!C$22)-YEAR($J45))*12+MONTH(Lists!C$22)-MONTH($J45)))&gt;Lists!C$22)+1)))),IF($AP45="F",IF(N($K45)&lt;=0,0,MIN(MAX(0,$H45),N($K45)*IF(Lists!C$21&lt;$J45,0,(((YEAR(Lists!C$21)-YEAR($J45))*12+MONTH(Lists!C$21)-MONTH($J45))-(EDATE($J45,((YEAR(Lists!C$21)-YEAR($J45))*12+MONTH(Lists!C$21)-MONTH($J45)))&gt;Lists!C$21)+1)))-MIN(MAX(0,$H45),N($K45)*IF(Lists!C$22&lt;$J45,0,(((YEAR(Lists!C$22)-YEAR($J45))*12+MONTH(Lists!C$22)-MONTH($J45))-(EDATE($J45,((YEAR(Lists!C$22)-YEAR($J45))*12+MONTH(Lists!C$22)-MONTH($J45)))&gt;Lists!C$22)+1)))),N($C45)*IF($AE45-$AD45&lt;1,($AD45&gt;Lists!C$22)*($AD45&lt;=Lists!C$21),MAX(0,MIN(Lists!C$21,$AE45)-MAX(Lists!C$22,$AD45))/($AE45-$AD45))+N($D45)*IF($AG45-$AF45&lt;1,($AF45&gt;Lists!C$22)*($AF45&lt;=Lists!C$21),MAX(0,MIN(Lists!C$21,$AG45)-MAX(Lists!C$22,$AF45))/($AG45-$AF45))+N($E45)*IF($AI45-$AH45&lt;1,($AH45&gt;Lists!C$22)*($AH45&lt;=Lists!C$21),MAX(0,MIN(Lists!C$21,$AI45)-MAX(Lists!C$22,$AH45))/($AI45-$AH45))+N($F45)*IF($AK45-$AJ45&lt;1,($AJ45&gt;Lists!C$22)*($AJ45&lt;=Lists!C$21),MAX(0,MIN(Lists!C$21,$AK45)-MAX(Lists!C$22,$AJ45))/($AK45-$AJ45))+N($G45)*IF($AM45-$AL45&lt;1,($AL45&gt;Lists!C$22)*($AL45&lt;=Lists!C$21),MAX(0,MIN(Lists!C$21,$AM45)-MAX(Lists!C$22,$AL45))/($AM45-$AL45))))))))</f>
        <v>0</v>
      </c>
      <c r="N45" s="53" t="n">
        <f aca="false">IF($H45=0,0,IF($AP45="X",0,IF($AP45="S",$H45/$AO45*(MIN($AO45,MAX(0,INT((Lists!D$21-N($J45))/7)+1))-MIN($AO45,MAX(0,INT((Lists!D$22-N($J45))/7)+1))),IF($AP45="D",$H45*MAX(0,MIN(Lists!D$21,N($J45)+$AO45)-MAX(Lists!D$22,N($J45)))/$AO45,IF($AP45="M",$H45/$AO45*(IF(Lists!D$21&lt;$J45,0,MIN($AO45,(((YEAR(Lists!D$21)-YEAR($J45))*12+MONTH(Lists!D$21)-MONTH($J45))-(EDATE($J45,((YEAR(Lists!D$21)-YEAR($J45))*12+MONTH(Lists!D$21)-MONTH($J45)))&gt;Lists!D$21)+1)))-IF(Lists!D$22&lt;$J45,0,MIN($AO45,(((YEAR(Lists!D$22)-YEAR($J45))*12+MONTH(Lists!D$22)-MONTH($J45))-(EDATE($J45,((YEAR(Lists!D$22)-YEAR($J45))*12+MONTH(Lists!D$22)-MONTH($J45)))&gt;Lists!D$22)+1)))),IF($AP45="F",IF(N($K45)&lt;=0,0,MIN(MAX(0,$H45),N($K45)*IF(Lists!D$21&lt;$J45,0,(((YEAR(Lists!D$21)-YEAR($J45))*12+MONTH(Lists!D$21)-MONTH($J45))-(EDATE($J45,((YEAR(Lists!D$21)-YEAR($J45))*12+MONTH(Lists!D$21)-MONTH($J45)))&gt;Lists!D$21)+1)))-MIN(MAX(0,$H45),N($K45)*IF(Lists!D$22&lt;$J45,0,(((YEAR(Lists!D$22)-YEAR($J45))*12+MONTH(Lists!D$22)-MONTH($J45))-(EDATE($J45,((YEAR(Lists!D$22)-YEAR($J45))*12+MONTH(Lists!D$22)-MONTH($J45)))&gt;Lists!D$22)+1)))),N($C45)*IF($AE45-$AD45&lt;1,($AD45&gt;Lists!D$22)*($AD45&lt;=Lists!D$21),MAX(0,MIN(Lists!D$21,$AE45)-MAX(Lists!D$22,$AD45))/($AE45-$AD45))+N($D45)*IF($AG45-$AF45&lt;1,($AF45&gt;Lists!D$22)*($AF45&lt;=Lists!D$21),MAX(0,MIN(Lists!D$21,$AG45)-MAX(Lists!D$22,$AF45))/($AG45-$AF45))+N($E45)*IF($AI45-$AH45&lt;1,($AH45&gt;Lists!D$22)*($AH45&lt;=Lists!D$21),MAX(0,MIN(Lists!D$21,$AI45)-MAX(Lists!D$22,$AH45))/($AI45-$AH45))+N($F45)*IF($AK45-$AJ45&lt;1,($AJ45&gt;Lists!D$22)*($AJ45&lt;=Lists!D$21),MAX(0,MIN(Lists!D$21,$AK45)-MAX(Lists!D$22,$AJ45))/($AK45-$AJ45))+N($G45)*IF($AM45-$AL45&lt;1,($AL45&gt;Lists!D$22)*($AL45&lt;=Lists!D$21),MAX(0,MIN(Lists!D$21,$AM45)-MAX(Lists!D$22,$AL45))/($AM45-$AL45))))))))</f>
        <v>0</v>
      </c>
      <c r="O45" s="53" t="n">
        <f aca="false">IF($H45=0,0,IF($AP45="X",0,IF($AP45="S",$H45/$AO45*(MIN($AO45,MAX(0,INT((Lists!E$21-N($J45))/7)+1))-MIN($AO45,MAX(0,INT((Lists!E$22-N($J45))/7)+1))),IF($AP45="D",$H45*MAX(0,MIN(Lists!E$21,N($J45)+$AO45)-MAX(Lists!E$22,N($J45)))/$AO45,IF($AP45="M",$H45/$AO45*(IF(Lists!E$21&lt;$J45,0,MIN($AO45,(((YEAR(Lists!E$21)-YEAR($J45))*12+MONTH(Lists!E$21)-MONTH($J45))-(EDATE($J45,((YEAR(Lists!E$21)-YEAR($J45))*12+MONTH(Lists!E$21)-MONTH($J45)))&gt;Lists!E$21)+1)))-IF(Lists!E$22&lt;$J45,0,MIN($AO45,(((YEAR(Lists!E$22)-YEAR($J45))*12+MONTH(Lists!E$22)-MONTH($J45))-(EDATE($J45,((YEAR(Lists!E$22)-YEAR($J45))*12+MONTH(Lists!E$22)-MONTH($J45)))&gt;Lists!E$22)+1)))),IF($AP45="F",IF(N($K45)&lt;=0,0,MIN(MAX(0,$H45),N($K45)*IF(Lists!E$21&lt;$J45,0,(((YEAR(Lists!E$21)-YEAR($J45))*12+MONTH(Lists!E$21)-MONTH($J45))-(EDATE($J45,((YEAR(Lists!E$21)-YEAR($J45))*12+MONTH(Lists!E$21)-MONTH($J45)))&gt;Lists!E$21)+1)))-MIN(MAX(0,$H45),N($K45)*IF(Lists!E$22&lt;$J45,0,(((YEAR(Lists!E$22)-YEAR($J45))*12+MONTH(Lists!E$22)-MONTH($J45))-(EDATE($J45,((YEAR(Lists!E$22)-YEAR($J45))*12+MONTH(Lists!E$22)-MONTH($J45)))&gt;Lists!E$22)+1)))),N($C45)*IF($AE45-$AD45&lt;1,($AD45&gt;Lists!E$22)*($AD45&lt;=Lists!E$21),MAX(0,MIN(Lists!E$21,$AE45)-MAX(Lists!E$22,$AD45))/($AE45-$AD45))+N($D45)*IF($AG45-$AF45&lt;1,($AF45&gt;Lists!E$22)*($AF45&lt;=Lists!E$21),MAX(0,MIN(Lists!E$21,$AG45)-MAX(Lists!E$22,$AF45))/($AG45-$AF45))+N($E45)*IF($AI45-$AH45&lt;1,($AH45&gt;Lists!E$22)*($AH45&lt;=Lists!E$21),MAX(0,MIN(Lists!E$21,$AI45)-MAX(Lists!E$22,$AH45))/($AI45-$AH45))+N($F45)*IF($AK45-$AJ45&lt;1,($AJ45&gt;Lists!E$22)*($AJ45&lt;=Lists!E$21),MAX(0,MIN(Lists!E$21,$AK45)-MAX(Lists!E$22,$AJ45))/($AK45-$AJ45))+N($G45)*IF($AM45-$AL45&lt;1,($AL45&gt;Lists!E$22)*($AL45&lt;=Lists!E$21),MAX(0,MIN(Lists!E$21,$AM45)-MAX(Lists!E$22,$AL45))/($AM45-$AL45))))))))</f>
        <v>0</v>
      </c>
      <c r="P45" s="53" t="n">
        <f aca="false">IF($H45=0,0,IF($AP45="X",0,IF($AP45="S",$H45/$AO45*(MIN($AO45,MAX(0,INT((Lists!F$21-N($J45))/7)+1))-MIN($AO45,MAX(0,INT((Lists!F$22-N($J45))/7)+1))),IF($AP45="D",$H45*MAX(0,MIN(Lists!F$21,N($J45)+$AO45)-MAX(Lists!F$22,N($J45)))/$AO45,IF($AP45="M",$H45/$AO45*(IF(Lists!F$21&lt;$J45,0,MIN($AO45,(((YEAR(Lists!F$21)-YEAR($J45))*12+MONTH(Lists!F$21)-MONTH($J45))-(EDATE($J45,((YEAR(Lists!F$21)-YEAR($J45))*12+MONTH(Lists!F$21)-MONTH($J45)))&gt;Lists!F$21)+1)))-IF(Lists!F$22&lt;$J45,0,MIN($AO45,(((YEAR(Lists!F$22)-YEAR($J45))*12+MONTH(Lists!F$22)-MONTH($J45))-(EDATE($J45,((YEAR(Lists!F$22)-YEAR($J45))*12+MONTH(Lists!F$22)-MONTH($J45)))&gt;Lists!F$22)+1)))),IF($AP45="F",IF(N($K45)&lt;=0,0,MIN(MAX(0,$H45),N($K45)*IF(Lists!F$21&lt;$J45,0,(((YEAR(Lists!F$21)-YEAR($J45))*12+MONTH(Lists!F$21)-MONTH($J45))-(EDATE($J45,((YEAR(Lists!F$21)-YEAR($J45))*12+MONTH(Lists!F$21)-MONTH($J45)))&gt;Lists!F$21)+1)))-MIN(MAX(0,$H45),N($K45)*IF(Lists!F$22&lt;$J45,0,(((YEAR(Lists!F$22)-YEAR($J45))*12+MONTH(Lists!F$22)-MONTH($J45))-(EDATE($J45,((YEAR(Lists!F$22)-YEAR($J45))*12+MONTH(Lists!F$22)-MONTH($J45)))&gt;Lists!F$22)+1)))),N($C45)*IF($AE45-$AD45&lt;1,($AD45&gt;Lists!F$22)*($AD45&lt;=Lists!F$21),MAX(0,MIN(Lists!F$21,$AE45)-MAX(Lists!F$22,$AD45))/($AE45-$AD45))+N($D45)*IF($AG45-$AF45&lt;1,($AF45&gt;Lists!F$22)*($AF45&lt;=Lists!F$21),MAX(0,MIN(Lists!F$21,$AG45)-MAX(Lists!F$22,$AF45))/($AG45-$AF45))+N($E45)*IF($AI45-$AH45&lt;1,($AH45&gt;Lists!F$22)*($AH45&lt;=Lists!F$21),MAX(0,MIN(Lists!F$21,$AI45)-MAX(Lists!F$22,$AH45))/($AI45-$AH45))+N($F45)*IF($AK45-$AJ45&lt;1,($AJ45&gt;Lists!F$22)*($AJ45&lt;=Lists!F$21),MAX(0,MIN(Lists!F$21,$AK45)-MAX(Lists!F$22,$AJ45))/($AK45-$AJ45))+N($G45)*IF($AM45-$AL45&lt;1,($AL45&gt;Lists!F$22)*($AL45&lt;=Lists!F$21),MAX(0,MIN(Lists!F$21,$AM45)-MAX(Lists!F$22,$AL45))/($AM45-$AL45))))))))</f>
        <v>0</v>
      </c>
      <c r="Q45" s="53" t="n">
        <f aca="false">IF($H45=0,0,IF($AP45="X",0,IF($AP45="S",$H45/$AO45*(MIN($AO45,MAX(0,INT((Lists!G$21-N($J45))/7)+1))-MIN($AO45,MAX(0,INT((Lists!G$22-N($J45))/7)+1))),IF($AP45="D",$H45*MAX(0,MIN(Lists!G$21,N($J45)+$AO45)-MAX(Lists!G$22,N($J45)))/$AO45,IF($AP45="M",$H45/$AO45*(IF(Lists!G$21&lt;$J45,0,MIN($AO45,(((YEAR(Lists!G$21)-YEAR($J45))*12+MONTH(Lists!G$21)-MONTH($J45))-(EDATE($J45,((YEAR(Lists!G$21)-YEAR($J45))*12+MONTH(Lists!G$21)-MONTH($J45)))&gt;Lists!G$21)+1)))-IF(Lists!G$22&lt;$J45,0,MIN($AO45,(((YEAR(Lists!G$22)-YEAR($J45))*12+MONTH(Lists!G$22)-MONTH($J45))-(EDATE($J45,((YEAR(Lists!G$22)-YEAR($J45))*12+MONTH(Lists!G$22)-MONTH($J45)))&gt;Lists!G$22)+1)))),IF($AP45="F",IF(N($K45)&lt;=0,0,MIN(MAX(0,$H45),N($K45)*IF(Lists!G$21&lt;$J45,0,(((YEAR(Lists!G$21)-YEAR($J45))*12+MONTH(Lists!G$21)-MONTH($J45))-(EDATE($J45,((YEAR(Lists!G$21)-YEAR($J45))*12+MONTH(Lists!G$21)-MONTH($J45)))&gt;Lists!G$21)+1)))-MIN(MAX(0,$H45),N($K45)*IF(Lists!G$22&lt;$J45,0,(((YEAR(Lists!G$22)-YEAR($J45))*12+MONTH(Lists!G$22)-MONTH($J45))-(EDATE($J45,((YEAR(Lists!G$22)-YEAR($J45))*12+MONTH(Lists!G$22)-MONTH($J45)))&gt;Lists!G$22)+1)))),N($C45)*IF($AE45-$AD45&lt;1,($AD45&gt;Lists!G$22)*($AD45&lt;=Lists!G$21),MAX(0,MIN(Lists!G$21,$AE45)-MAX(Lists!G$22,$AD45))/($AE45-$AD45))+N($D45)*IF($AG45-$AF45&lt;1,($AF45&gt;Lists!G$22)*($AF45&lt;=Lists!G$21),MAX(0,MIN(Lists!G$21,$AG45)-MAX(Lists!G$22,$AF45))/($AG45-$AF45))+N($E45)*IF($AI45-$AH45&lt;1,($AH45&gt;Lists!G$22)*($AH45&lt;=Lists!G$21),MAX(0,MIN(Lists!G$21,$AI45)-MAX(Lists!G$22,$AH45))/($AI45-$AH45))+N($F45)*IF($AK45-$AJ45&lt;1,($AJ45&gt;Lists!G$22)*($AJ45&lt;=Lists!G$21),MAX(0,MIN(Lists!G$21,$AK45)-MAX(Lists!G$22,$AJ45))/($AK45-$AJ45))+N($G45)*IF($AM45-$AL45&lt;1,($AL45&gt;Lists!G$22)*($AL45&lt;=Lists!G$21),MAX(0,MIN(Lists!G$21,$AM45)-MAX(Lists!G$22,$AL45))/($AM45-$AL45))))))))</f>
        <v>0</v>
      </c>
      <c r="R45" s="53" t="n">
        <f aca="false">IF($H45=0,0,IF($AP45="X",0,IF($AP45="S",$H45/$AO45*(MIN($AO45,MAX(0,INT((Lists!H$21-N($J45))/7)+1))-MIN($AO45,MAX(0,INT((Lists!H$22-N($J45))/7)+1))),IF($AP45="D",$H45*MAX(0,MIN(Lists!H$21,N($J45)+$AO45)-MAX(Lists!H$22,N($J45)))/$AO45,IF($AP45="M",$H45/$AO45*(IF(Lists!H$21&lt;$J45,0,MIN($AO45,(((YEAR(Lists!H$21)-YEAR($J45))*12+MONTH(Lists!H$21)-MONTH($J45))-(EDATE($J45,((YEAR(Lists!H$21)-YEAR($J45))*12+MONTH(Lists!H$21)-MONTH($J45)))&gt;Lists!H$21)+1)))-IF(Lists!H$22&lt;$J45,0,MIN($AO45,(((YEAR(Lists!H$22)-YEAR($J45))*12+MONTH(Lists!H$22)-MONTH($J45))-(EDATE($J45,((YEAR(Lists!H$22)-YEAR($J45))*12+MONTH(Lists!H$22)-MONTH($J45)))&gt;Lists!H$22)+1)))),IF($AP45="F",IF(N($K45)&lt;=0,0,MIN(MAX(0,$H45),N($K45)*IF(Lists!H$21&lt;$J45,0,(((YEAR(Lists!H$21)-YEAR($J45))*12+MONTH(Lists!H$21)-MONTH($J45))-(EDATE($J45,((YEAR(Lists!H$21)-YEAR($J45))*12+MONTH(Lists!H$21)-MONTH($J45)))&gt;Lists!H$21)+1)))-MIN(MAX(0,$H45),N($K45)*IF(Lists!H$22&lt;$J45,0,(((YEAR(Lists!H$22)-YEAR($J45))*12+MONTH(Lists!H$22)-MONTH($J45))-(EDATE($J45,((YEAR(Lists!H$22)-YEAR($J45))*12+MONTH(Lists!H$22)-MONTH($J45)))&gt;Lists!H$22)+1)))),N($C45)*IF($AE45-$AD45&lt;1,($AD45&gt;Lists!H$22)*($AD45&lt;=Lists!H$21),MAX(0,MIN(Lists!H$21,$AE45)-MAX(Lists!H$22,$AD45))/($AE45-$AD45))+N($D45)*IF($AG45-$AF45&lt;1,($AF45&gt;Lists!H$22)*($AF45&lt;=Lists!H$21),MAX(0,MIN(Lists!H$21,$AG45)-MAX(Lists!H$22,$AF45))/($AG45-$AF45))+N($E45)*IF($AI45-$AH45&lt;1,($AH45&gt;Lists!H$22)*($AH45&lt;=Lists!H$21),MAX(0,MIN(Lists!H$21,$AI45)-MAX(Lists!H$22,$AH45))/($AI45-$AH45))+N($F45)*IF($AK45-$AJ45&lt;1,($AJ45&gt;Lists!H$22)*($AJ45&lt;=Lists!H$21),MAX(0,MIN(Lists!H$21,$AK45)-MAX(Lists!H$22,$AJ45))/($AK45-$AJ45))+N($G45)*IF($AM45-$AL45&lt;1,($AL45&gt;Lists!H$22)*($AL45&lt;=Lists!H$21),MAX(0,MIN(Lists!H$21,$AM45)-MAX(Lists!H$22,$AL45))/($AM45-$AL45))))))))</f>
        <v>0</v>
      </c>
      <c r="S45" s="53" t="n">
        <f aca="false">IF($H45=0,0,IF($AP45="X",0,IF($AP45="S",$H45/$AO45*(MIN($AO45,MAX(0,INT((Lists!I$21-N($J45))/7)+1))-MIN($AO45,MAX(0,INT((Lists!I$22-N($J45))/7)+1))),IF($AP45="D",$H45*MAX(0,MIN(Lists!I$21,N($J45)+$AO45)-MAX(Lists!I$22,N($J45)))/$AO45,IF($AP45="M",$H45/$AO45*(IF(Lists!I$21&lt;$J45,0,MIN($AO45,(((YEAR(Lists!I$21)-YEAR($J45))*12+MONTH(Lists!I$21)-MONTH($J45))-(EDATE($J45,((YEAR(Lists!I$21)-YEAR($J45))*12+MONTH(Lists!I$21)-MONTH($J45)))&gt;Lists!I$21)+1)))-IF(Lists!I$22&lt;$J45,0,MIN($AO45,(((YEAR(Lists!I$22)-YEAR($J45))*12+MONTH(Lists!I$22)-MONTH($J45))-(EDATE($J45,((YEAR(Lists!I$22)-YEAR($J45))*12+MONTH(Lists!I$22)-MONTH($J45)))&gt;Lists!I$22)+1)))),IF($AP45="F",IF(N($K45)&lt;=0,0,MIN(MAX(0,$H45),N($K45)*IF(Lists!I$21&lt;$J45,0,(((YEAR(Lists!I$21)-YEAR($J45))*12+MONTH(Lists!I$21)-MONTH($J45))-(EDATE($J45,((YEAR(Lists!I$21)-YEAR($J45))*12+MONTH(Lists!I$21)-MONTH($J45)))&gt;Lists!I$21)+1)))-MIN(MAX(0,$H45),N($K45)*IF(Lists!I$22&lt;$J45,0,(((YEAR(Lists!I$22)-YEAR($J45))*12+MONTH(Lists!I$22)-MONTH($J45))-(EDATE($J45,((YEAR(Lists!I$22)-YEAR($J45))*12+MONTH(Lists!I$22)-MONTH($J45)))&gt;Lists!I$22)+1)))),N($C45)*IF($AE45-$AD45&lt;1,($AD45&gt;Lists!I$22)*($AD45&lt;=Lists!I$21),MAX(0,MIN(Lists!I$21,$AE45)-MAX(Lists!I$22,$AD45))/($AE45-$AD45))+N($D45)*IF($AG45-$AF45&lt;1,($AF45&gt;Lists!I$22)*($AF45&lt;=Lists!I$21),MAX(0,MIN(Lists!I$21,$AG45)-MAX(Lists!I$22,$AF45))/($AG45-$AF45))+N($E45)*IF($AI45-$AH45&lt;1,($AH45&gt;Lists!I$22)*($AH45&lt;=Lists!I$21),MAX(0,MIN(Lists!I$21,$AI45)-MAX(Lists!I$22,$AH45))/($AI45-$AH45))+N($F45)*IF($AK45-$AJ45&lt;1,($AJ45&gt;Lists!I$22)*($AJ45&lt;=Lists!I$21),MAX(0,MIN(Lists!I$21,$AK45)-MAX(Lists!I$22,$AJ45))/($AK45-$AJ45))+N($G45)*IF($AM45-$AL45&lt;1,($AL45&gt;Lists!I$22)*($AL45&lt;=Lists!I$21),MAX(0,MIN(Lists!I$21,$AM45)-MAX(Lists!I$22,$AL45))/($AM45-$AL45))))))))</f>
        <v>0</v>
      </c>
      <c r="T45" s="53" t="n">
        <f aca="false">IF($H45=0,0,IF($AP45="X",0,IF($AP45="S",$H45/$AO45*(MIN($AO45,MAX(0,INT((Lists!J$21-N($J45))/7)+1))-MIN($AO45,MAX(0,INT((Lists!J$22-N($J45))/7)+1))),IF($AP45="D",$H45*MAX(0,MIN(Lists!J$21,N($J45)+$AO45)-MAX(Lists!J$22,N($J45)))/$AO45,IF($AP45="M",$H45/$AO45*(IF(Lists!J$21&lt;$J45,0,MIN($AO45,(((YEAR(Lists!J$21)-YEAR($J45))*12+MONTH(Lists!J$21)-MONTH($J45))-(EDATE($J45,((YEAR(Lists!J$21)-YEAR($J45))*12+MONTH(Lists!J$21)-MONTH($J45)))&gt;Lists!J$21)+1)))-IF(Lists!J$22&lt;$J45,0,MIN($AO45,(((YEAR(Lists!J$22)-YEAR($J45))*12+MONTH(Lists!J$22)-MONTH($J45))-(EDATE($J45,((YEAR(Lists!J$22)-YEAR($J45))*12+MONTH(Lists!J$22)-MONTH($J45)))&gt;Lists!J$22)+1)))),IF($AP45="F",IF(N($K45)&lt;=0,0,MIN(MAX(0,$H45),N($K45)*IF(Lists!J$21&lt;$J45,0,(((YEAR(Lists!J$21)-YEAR($J45))*12+MONTH(Lists!J$21)-MONTH($J45))-(EDATE($J45,((YEAR(Lists!J$21)-YEAR($J45))*12+MONTH(Lists!J$21)-MONTH($J45)))&gt;Lists!J$21)+1)))-MIN(MAX(0,$H45),N($K45)*IF(Lists!J$22&lt;$J45,0,(((YEAR(Lists!J$22)-YEAR($J45))*12+MONTH(Lists!J$22)-MONTH($J45))-(EDATE($J45,((YEAR(Lists!J$22)-YEAR($J45))*12+MONTH(Lists!J$22)-MONTH($J45)))&gt;Lists!J$22)+1)))),N($C45)*IF($AE45-$AD45&lt;1,($AD45&gt;Lists!J$22)*($AD45&lt;=Lists!J$21),MAX(0,MIN(Lists!J$21,$AE45)-MAX(Lists!J$22,$AD45))/($AE45-$AD45))+N($D45)*IF($AG45-$AF45&lt;1,($AF45&gt;Lists!J$22)*($AF45&lt;=Lists!J$21),MAX(0,MIN(Lists!J$21,$AG45)-MAX(Lists!J$22,$AF45))/($AG45-$AF45))+N($E45)*IF($AI45-$AH45&lt;1,($AH45&gt;Lists!J$22)*($AH45&lt;=Lists!J$21),MAX(0,MIN(Lists!J$21,$AI45)-MAX(Lists!J$22,$AH45))/($AI45-$AH45))+N($F45)*IF($AK45-$AJ45&lt;1,($AJ45&gt;Lists!J$22)*($AJ45&lt;=Lists!J$21),MAX(0,MIN(Lists!J$21,$AK45)-MAX(Lists!J$22,$AJ45))/($AK45-$AJ45))+N($G45)*IF($AM45-$AL45&lt;1,($AL45&gt;Lists!J$22)*($AL45&lt;=Lists!J$21),MAX(0,MIN(Lists!J$21,$AM45)-MAX(Lists!J$22,$AL45))/($AM45-$AL45))))))))</f>
        <v>0</v>
      </c>
      <c r="U45" s="53" t="n">
        <f aca="false">IF($H45=0,0,IF($AP45="X",0,IF($AP45="S",$H45/$AO45*(MIN($AO45,MAX(0,INT((Lists!K$21-N($J45))/7)+1))-MIN($AO45,MAX(0,INT((Lists!K$22-N($J45))/7)+1))),IF($AP45="D",$H45*MAX(0,MIN(Lists!K$21,N($J45)+$AO45)-MAX(Lists!K$22,N($J45)))/$AO45,IF($AP45="M",$H45/$AO45*(IF(Lists!K$21&lt;$J45,0,MIN($AO45,(((YEAR(Lists!K$21)-YEAR($J45))*12+MONTH(Lists!K$21)-MONTH($J45))-(EDATE($J45,((YEAR(Lists!K$21)-YEAR($J45))*12+MONTH(Lists!K$21)-MONTH($J45)))&gt;Lists!K$21)+1)))-IF(Lists!K$22&lt;$J45,0,MIN($AO45,(((YEAR(Lists!K$22)-YEAR($J45))*12+MONTH(Lists!K$22)-MONTH($J45))-(EDATE($J45,((YEAR(Lists!K$22)-YEAR($J45))*12+MONTH(Lists!K$22)-MONTH($J45)))&gt;Lists!K$22)+1)))),IF($AP45="F",IF(N($K45)&lt;=0,0,MIN(MAX(0,$H45),N($K45)*IF(Lists!K$21&lt;$J45,0,(((YEAR(Lists!K$21)-YEAR($J45))*12+MONTH(Lists!K$21)-MONTH($J45))-(EDATE($J45,((YEAR(Lists!K$21)-YEAR($J45))*12+MONTH(Lists!K$21)-MONTH($J45)))&gt;Lists!K$21)+1)))-MIN(MAX(0,$H45),N($K45)*IF(Lists!K$22&lt;$J45,0,(((YEAR(Lists!K$22)-YEAR($J45))*12+MONTH(Lists!K$22)-MONTH($J45))-(EDATE($J45,((YEAR(Lists!K$22)-YEAR($J45))*12+MONTH(Lists!K$22)-MONTH($J45)))&gt;Lists!K$22)+1)))),N($C45)*IF($AE45-$AD45&lt;1,($AD45&gt;Lists!K$22)*($AD45&lt;=Lists!K$21),MAX(0,MIN(Lists!K$21,$AE45)-MAX(Lists!K$22,$AD45))/($AE45-$AD45))+N($D45)*IF($AG45-$AF45&lt;1,($AF45&gt;Lists!K$22)*($AF45&lt;=Lists!K$21),MAX(0,MIN(Lists!K$21,$AG45)-MAX(Lists!K$22,$AF45))/($AG45-$AF45))+N($E45)*IF($AI45-$AH45&lt;1,($AH45&gt;Lists!K$22)*($AH45&lt;=Lists!K$21),MAX(0,MIN(Lists!K$21,$AI45)-MAX(Lists!K$22,$AH45))/($AI45-$AH45))+N($F45)*IF($AK45-$AJ45&lt;1,($AJ45&gt;Lists!K$22)*($AJ45&lt;=Lists!K$21),MAX(0,MIN(Lists!K$21,$AK45)-MAX(Lists!K$22,$AJ45))/($AK45-$AJ45))+N($G45)*IF($AM45-$AL45&lt;1,($AL45&gt;Lists!K$22)*($AL45&lt;=Lists!K$21),MAX(0,MIN(Lists!K$21,$AM45)-MAX(Lists!K$22,$AL45))/($AM45-$AL45))))))))</f>
        <v>0</v>
      </c>
      <c r="V45" s="53" t="n">
        <f aca="false">IF($H45=0,0,IF($AP45="X",0,IF($AP45="S",$H45/$AO45*(MIN($AO45,MAX(0,INT((Lists!L$21-N($J45))/7)+1))-MIN($AO45,MAX(0,INT((Lists!L$22-N($J45))/7)+1))),IF($AP45="D",$H45*MAX(0,MIN(Lists!L$21,N($J45)+$AO45)-MAX(Lists!L$22,N($J45)))/$AO45,IF($AP45="M",$H45/$AO45*(IF(Lists!L$21&lt;$J45,0,MIN($AO45,(((YEAR(Lists!L$21)-YEAR($J45))*12+MONTH(Lists!L$21)-MONTH($J45))-(EDATE($J45,((YEAR(Lists!L$21)-YEAR($J45))*12+MONTH(Lists!L$21)-MONTH($J45)))&gt;Lists!L$21)+1)))-IF(Lists!L$22&lt;$J45,0,MIN($AO45,(((YEAR(Lists!L$22)-YEAR($J45))*12+MONTH(Lists!L$22)-MONTH($J45))-(EDATE($J45,((YEAR(Lists!L$22)-YEAR($J45))*12+MONTH(Lists!L$22)-MONTH($J45)))&gt;Lists!L$22)+1)))),IF($AP45="F",IF(N($K45)&lt;=0,0,MIN(MAX(0,$H45),N($K45)*IF(Lists!L$21&lt;$J45,0,(((YEAR(Lists!L$21)-YEAR($J45))*12+MONTH(Lists!L$21)-MONTH($J45))-(EDATE($J45,((YEAR(Lists!L$21)-YEAR($J45))*12+MONTH(Lists!L$21)-MONTH($J45)))&gt;Lists!L$21)+1)))-MIN(MAX(0,$H45),N($K45)*IF(Lists!L$22&lt;$J45,0,(((YEAR(Lists!L$22)-YEAR($J45))*12+MONTH(Lists!L$22)-MONTH($J45))-(EDATE($J45,((YEAR(Lists!L$22)-YEAR($J45))*12+MONTH(Lists!L$22)-MONTH($J45)))&gt;Lists!L$22)+1)))),N($C45)*IF($AE45-$AD45&lt;1,($AD45&gt;Lists!L$22)*($AD45&lt;=Lists!L$21),MAX(0,MIN(Lists!L$21,$AE45)-MAX(Lists!L$22,$AD45))/($AE45-$AD45))+N($D45)*IF($AG45-$AF45&lt;1,($AF45&gt;Lists!L$22)*($AF45&lt;=Lists!L$21),MAX(0,MIN(Lists!L$21,$AG45)-MAX(Lists!L$22,$AF45))/($AG45-$AF45))+N($E45)*IF($AI45-$AH45&lt;1,($AH45&gt;Lists!L$22)*($AH45&lt;=Lists!L$21),MAX(0,MIN(Lists!L$21,$AI45)-MAX(Lists!L$22,$AH45))/($AI45-$AH45))+N($F45)*IF($AK45-$AJ45&lt;1,($AJ45&gt;Lists!L$22)*($AJ45&lt;=Lists!L$21),MAX(0,MIN(Lists!L$21,$AK45)-MAX(Lists!L$22,$AJ45))/($AK45-$AJ45))+N($G45)*IF($AM45-$AL45&lt;1,($AL45&gt;Lists!L$22)*($AL45&lt;=Lists!L$21),MAX(0,MIN(Lists!L$21,$AM45)-MAX(Lists!L$22,$AL45))/($AM45-$AL45))))))))</f>
        <v>0</v>
      </c>
      <c r="W45" s="53" t="n">
        <f aca="false">IF($H45=0,0,IF($AP45="X",0,IF($AP45="S",$H45/$AO45*(MIN($AO45,MAX(0,INT((Lists!M$21-N($J45))/7)+1))-MIN($AO45,MAX(0,INT((Lists!M$22-N($J45))/7)+1))),IF($AP45="D",$H45*MAX(0,MIN(Lists!M$21,N($J45)+$AO45)-MAX(Lists!M$22,N($J45)))/$AO45,IF($AP45="M",$H45/$AO45*(IF(Lists!M$21&lt;$J45,0,MIN($AO45,(((YEAR(Lists!M$21)-YEAR($J45))*12+MONTH(Lists!M$21)-MONTH($J45))-(EDATE($J45,((YEAR(Lists!M$21)-YEAR($J45))*12+MONTH(Lists!M$21)-MONTH($J45)))&gt;Lists!M$21)+1)))-IF(Lists!M$22&lt;$J45,0,MIN($AO45,(((YEAR(Lists!M$22)-YEAR($J45))*12+MONTH(Lists!M$22)-MONTH($J45))-(EDATE($J45,((YEAR(Lists!M$22)-YEAR($J45))*12+MONTH(Lists!M$22)-MONTH($J45)))&gt;Lists!M$22)+1)))),IF($AP45="F",IF(N($K45)&lt;=0,0,MIN(MAX(0,$H45),N($K45)*IF(Lists!M$21&lt;$J45,0,(((YEAR(Lists!M$21)-YEAR($J45))*12+MONTH(Lists!M$21)-MONTH($J45))-(EDATE($J45,((YEAR(Lists!M$21)-YEAR($J45))*12+MONTH(Lists!M$21)-MONTH($J45)))&gt;Lists!M$21)+1)))-MIN(MAX(0,$H45),N($K45)*IF(Lists!M$22&lt;$J45,0,(((YEAR(Lists!M$22)-YEAR($J45))*12+MONTH(Lists!M$22)-MONTH($J45))-(EDATE($J45,((YEAR(Lists!M$22)-YEAR($J45))*12+MONTH(Lists!M$22)-MONTH($J45)))&gt;Lists!M$22)+1)))),N($C45)*IF($AE45-$AD45&lt;1,($AD45&gt;Lists!M$22)*($AD45&lt;=Lists!M$21),MAX(0,MIN(Lists!M$21,$AE45)-MAX(Lists!M$22,$AD45))/($AE45-$AD45))+N($D45)*IF($AG45-$AF45&lt;1,($AF45&gt;Lists!M$22)*($AF45&lt;=Lists!M$21),MAX(0,MIN(Lists!M$21,$AG45)-MAX(Lists!M$22,$AF45))/($AG45-$AF45))+N($E45)*IF($AI45-$AH45&lt;1,($AH45&gt;Lists!M$22)*($AH45&lt;=Lists!M$21),MAX(0,MIN(Lists!M$21,$AI45)-MAX(Lists!M$22,$AH45))/($AI45-$AH45))+N($F45)*IF($AK45-$AJ45&lt;1,($AJ45&gt;Lists!M$22)*($AJ45&lt;=Lists!M$21),MAX(0,MIN(Lists!M$21,$AK45)-MAX(Lists!M$22,$AJ45))/($AK45-$AJ45))+N($G45)*IF($AM45-$AL45&lt;1,($AL45&gt;Lists!M$22)*($AL45&lt;=Lists!M$21),MAX(0,MIN(Lists!M$21,$AM45)-MAX(Lists!M$22,$AL45))/($AM45-$AL45))))))))</f>
        <v>0</v>
      </c>
      <c r="X45" s="53" t="n">
        <f aca="false">IF($H45=0,0,IF($AP45="X",0,IF($AP45="S",$H45/$AO45*(MIN($AO45,MAX(0,INT((Lists!N$21-N($J45))/7)+1))-MIN($AO45,MAX(0,INT((Lists!N$22-N($J45))/7)+1))),IF($AP45="D",$H45*MAX(0,MIN(Lists!N$21,N($J45)+$AO45)-MAX(Lists!N$22,N($J45)))/$AO45,IF($AP45="M",$H45/$AO45*(IF(Lists!N$21&lt;$J45,0,MIN($AO45,(((YEAR(Lists!N$21)-YEAR($J45))*12+MONTH(Lists!N$21)-MONTH($J45))-(EDATE($J45,((YEAR(Lists!N$21)-YEAR($J45))*12+MONTH(Lists!N$21)-MONTH($J45)))&gt;Lists!N$21)+1)))-IF(Lists!N$22&lt;$J45,0,MIN($AO45,(((YEAR(Lists!N$22)-YEAR($J45))*12+MONTH(Lists!N$22)-MONTH($J45))-(EDATE($J45,((YEAR(Lists!N$22)-YEAR($J45))*12+MONTH(Lists!N$22)-MONTH($J45)))&gt;Lists!N$22)+1)))),IF($AP45="F",IF(N($K45)&lt;=0,0,MIN(MAX(0,$H45),N($K45)*IF(Lists!N$21&lt;$J45,0,(((YEAR(Lists!N$21)-YEAR($J45))*12+MONTH(Lists!N$21)-MONTH($J45))-(EDATE($J45,((YEAR(Lists!N$21)-YEAR($J45))*12+MONTH(Lists!N$21)-MONTH($J45)))&gt;Lists!N$21)+1)))-MIN(MAX(0,$H45),N($K45)*IF(Lists!N$22&lt;$J45,0,(((YEAR(Lists!N$22)-YEAR($J45))*12+MONTH(Lists!N$22)-MONTH($J45))-(EDATE($J45,((YEAR(Lists!N$22)-YEAR($J45))*12+MONTH(Lists!N$22)-MONTH($J45)))&gt;Lists!N$22)+1)))),N($C45)*IF($AE45-$AD45&lt;1,($AD45&gt;Lists!N$22)*($AD45&lt;=Lists!N$21),MAX(0,MIN(Lists!N$21,$AE45)-MAX(Lists!N$22,$AD45))/($AE45-$AD45))+N($D45)*IF($AG45-$AF45&lt;1,($AF45&gt;Lists!N$22)*($AF45&lt;=Lists!N$21),MAX(0,MIN(Lists!N$21,$AG45)-MAX(Lists!N$22,$AF45))/($AG45-$AF45))+N($E45)*IF($AI45-$AH45&lt;1,($AH45&gt;Lists!N$22)*($AH45&lt;=Lists!N$21),MAX(0,MIN(Lists!N$21,$AI45)-MAX(Lists!N$22,$AH45))/($AI45-$AH45))+N($F45)*IF($AK45-$AJ45&lt;1,($AJ45&gt;Lists!N$22)*($AJ45&lt;=Lists!N$21),MAX(0,MIN(Lists!N$21,$AK45)-MAX(Lists!N$22,$AJ45))/($AK45-$AJ45))+N($G45)*IF($AM45-$AL45&lt;1,($AL45&gt;Lists!N$22)*($AL45&lt;=Lists!N$21),MAX(0,MIN(Lists!N$21,$AM45)-MAX(Lists!N$22,$AL45))/($AM45-$AL45))))))))</f>
        <v>0</v>
      </c>
      <c r="Y45" s="53" t="n">
        <f aca="false">IF($H45=0,0,IF($AP45="X",0,IF($AP45="S",$H45/$AO45*(MIN($AO45,MAX(0,INT((Lists!O$21-N($J45))/7)+1))-MIN($AO45,MAX(0,INT((Lists!O$22-N($J45))/7)+1))),IF($AP45="D",$H45*MAX(0,MIN(Lists!O$21,N($J45)+$AO45)-MAX(Lists!O$22,N($J45)))/$AO45,IF($AP45="M",$H45/$AO45*(IF(Lists!O$21&lt;$J45,0,MIN($AO45,(((YEAR(Lists!O$21)-YEAR($J45))*12+MONTH(Lists!O$21)-MONTH($J45))-(EDATE($J45,((YEAR(Lists!O$21)-YEAR($J45))*12+MONTH(Lists!O$21)-MONTH($J45)))&gt;Lists!O$21)+1)))-IF(Lists!O$22&lt;$J45,0,MIN($AO45,(((YEAR(Lists!O$22)-YEAR($J45))*12+MONTH(Lists!O$22)-MONTH($J45))-(EDATE($J45,((YEAR(Lists!O$22)-YEAR($J45))*12+MONTH(Lists!O$22)-MONTH($J45)))&gt;Lists!O$22)+1)))),IF($AP45="F",IF(N($K45)&lt;=0,0,MIN(MAX(0,$H45),N($K45)*IF(Lists!O$21&lt;$J45,0,(((YEAR(Lists!O$21)-YEAR($J45))*12+MONTH(Lists!O$21)-MONTH($J45))-(EDATE($J45,((YEAR(Lists!O$21)-YEAR($J45))*12+MONTH(Lists!O$21)-MONTH($J45)))&gt;Lists!O$21)+1)))-MIN(MAX(0,$H45),N($K45)*IF(Lists!O$22&lt;$J45,0,(((YEAR(Lists!O$22)-YEAR($J45))*12+MONTH(Lists!O$22)-MONTH($J45))-(EDATE($J45,((YEAR(Lists!O$22)-YEAR($J45))*12+MONTH(Lists!O$22)-MONTH($J45)))&gt;Lists!O$22)+1)))),N($C45)*IF($AE45-$AD45&lt;1,($AD45&gt;Lists!O$22)*($AD45&lt;=Lists!O$21),MAX(0,MIN(Lists!O$21,$AE45)-MAX(Lists!O$22,$AD45))/($AE45-$AD45))+N($D45)*IF($AG45-$AF45&lt;1,($AF45&gt;Lists!O$22)*($AF45&lt;=Lists!O$21),MAX(0,MIN(Lists!O$21,$AG45)-MAX(Lists!O$22,$AF45))/($AG45-$AF45))+N($E45)*IF($AI45-$AH45&lt;1,($AH45&gt;Lists!O$22)*($AH45&lt;=Lists!O$21),MAX(0,MIN(Lists!O$21,$AI45)-MAX(Lists!O$22,$AH45))/($AI45-$AH45))+N($F45)*IF($AK45-$AJ45&lt;1,($AJ45&gt;Lists!O$22)*($AJ45&lt;=Lists!O$21),MAX(0,MIN(Lists!O$21,$AK45)-MAX(Lists!O$22,$AJ45))/($AK45-$AJ45))+N($G45)*IF($AM45-$AL45&lt;1,($AL45&gt;Lists!O$22)*($AL45&lt;=Lists!O$21),MAX(0,MIN(Lists!O$21,$AM45)-MAX(Lists!O$22,$AL45))/($AM45-$AL45))))))))</f>
        <v>0</v>
      </c>
      <c r="Z45" s="46" t="n">
        <f aca="false">SUM(M45:Y45)</f>
        <v>0</v>
      </c>
      <c r="AA45" s="92" t="n">
        <f aca="false">H45-Z45</f>
        <v>0</v>
      </c>
      <c r="AB45" s="55"/>
      <c r="AC45" s="2"/>
      <c r="AD45" s="93" t="n">
        <f aca="false">Setup!$D$10+MAX(0,$AN45-30)</f>
        <v>46365</v>
      </c>
      <c r="AE45" s="93" t="n">
        <f aca="false">Setup!$D$10+IF($AN45-30&lt;0,MAX(Setup!$D$22,$AN45-0),$AN45-0)</f>
        <v>46395</v>
      </c>
      <c r="AF45" s="93" t="n">
        <f aca="false">Setup!$D$10+MAX(0,$AN45-60)</f>
        <v>46335</v>
      </c>
      <c r="AG45" s="93" t="n">
        <f aca="false">Setup!$D$10+IF($AN45-60&lt;0,MAX(Setup!$D$22,$AN45-31),$AN45-31)</f>
        <v>46364</v>
      </c>
      <c r="AH45" s="93" t="n">
        <f aca="false">Setup!$D$10+MAX(0,$AN45-90)</f>
        <v>46335</v>
      </c>
      <c r="AI45" s="93" t="n">
        <f aca="false">Setup!$D$10+IF($AN45-90&lt;0,MAX(Setup!$D$22,$AN45-61),$AN45-61)</f>
        <v>46363</v>
      </c>
      <c r="AJ45" s="93" t="n">
        <f aca="false">Setup!$D$10+MAX(0,$AN45-120)</f>
        <v>46335</v>
      </c>
      <c r="AK45" s="93" t="n">
        <f aca="false">Setup!$D$10+IF($AN45-120&lt;0,MAX(Setup!$D$22,$AN45-91),$AN45-91)</f>
        <v>46363</v>
      </c>
      <c r="AL45" s="93" t="n">
        <f aca="false">IF(Setup!$D$23="Yes",2958465,Setup!$D$10)</f>
        <v>2958465</v>
      </c>
      <c r="AM45" s="93" t="n">
        <f aca="false">IF(AL45=2958465,AL45,Setup!$D$10+Setup!$D$22)</f>
        <v>2958465</v>
      </c>
      <c r="AN45" s="94" t="n">
        <f aca="false">IF(N(L45)=0,Setup!$D$20,L45)</f>
        <v>60</v>
      </c>
      <c r="AO45" s="94" t="n">
        <f aca="false">MAX(1,ROUND(N(K45),0))</f>
        <v>1</v>
      </c>
      <c r="AP45" s="95" t="str">
        <f aca="false">IF(I45="Doubtful","X",IF(N(J45)=0,"A",IF(I45="Specific date","S",IF(I45="Spread over days","D",IF(I45="Monthly on set day","M",IF(I45="Monthly fixed amount","F","A"))))))</f>
        <v>A</v>
      </c>
    </row>
    <row r="46" customFormat="false" ht="15" hidden="false" customHeight="false" outlineLevel="0" collapsed="false">
      <c r="A46" s="87" t="n">
        <v>38</v>
      </c>
      <c r="B46" s="55"/>
      <c r="C46" s="88"/>
      <c r="D46" s="88"/>
      <c r="E46" s="88"/>
      <c r="F46" s="88"/>
      <c r="G46" s="88"/>
      <c r="H46" s="89" t="n">
        <f aca="false">SUM(C46:G46)</f>
        <v>0</v>
      </c>
      <c r="I46" s="58"/>
      <c r="J46" s="90"/>
      <c r="K46" s="91"/>
      <c r="L46" s="80"/>
      <c r="M46" s="53" t="n">
        <f aca="false">IF($H46=0,0,IF($AP46="X",0,IF($AP46="S",$H46/$AO46*(MIN($AO46,MAX(0,INT((Lists!C$21-N($J46))/7)+1))-MIN($AO46,MAX(0,INT((Lists!C$22-N($J46))/7)+1))),IF($AP46="D",$H46*MAX(0,MIN(Lists!C$21,N($J46)+$AO46)-MAX(Lists!C$22,N($J46)))/$AO46,IF($AP46="M",$H46/$AO46*(IF(Lists!C$21&lt;$J46,0,MIN($AO46,(((YEAR(Lists!C$21)-YEAR($J46))*12+MONTH(Lists!C$21)-MONTH($J46))-(EDATE($J46,((YEAR(Lists!C$21)-YEAR($J46))*12+MONTH(Lists!C$21)-MONTH($J46)))&gt;Lists!C$21)+1)))-IF(Lists!C$22&lt;$J46,0,MIN($AO46,(((YEAR(Lists!C$22)-YEAR($J46))*12+MONTH(Lists!C$22)-MONTH($J46))-(EDATE($J46,((YEAR(Lists!C$22)-YEAR($J46))*12+MONTH(Lists!C$22)-MONTH($J46)))&gt;Lists!C$22)+1)))),IF($AP46="F",IF(N($K46)&lt;=0,0,MIN(MAX(0,$H46),N($K46)*IF(Lists!C$21&lt;$J46,0,(((YEAR(Lists!C$21)-YEAR($J46))*12+MONTH(Lists!C$21)-MONTH($J46))-(EDATE($J46,((YEAR(Lists!C$21)-YEAR($J46))*12+MONTH(Lists!C$21)-MONTH($J46)))&gt;Lists!C$21)+1)))-MIN(MAX(0,$H46),N($K46)*IF(Lists!C$22&lt;$J46,0,(((YEAR(Lists!C$22)-YEAR($J46))*12+MONTH(Lists!C$22)-MONTH($J46))-(EDATE($J46,((YEAR(Lists!C$22)-YEAR($J46))*12+MONTH(Lists!C$22)-MONTH($J46)))&gt;Lists!C$22)+1)))),N($C46)*IF($AE46-$AD46&lt;1,($AD46&gt;Lists!C$22)*($AD46&lt;=Lists!C$21),MAX(0,MIN(Lists!C$21,$AE46)-MAX(Lists!C$22,$AD46))/($AE46-$AD46))+N($D46)*IF($AG46-$AF46&lt;1,($AF46&gt;Lists!C$22)*($AF46&lt;=Lists!C$21),MAX(0,MIN(Lists!C$21,$AG46)-MAX(Lists!C$22,$AF46))/($AG46-$AF46))+N($E46)*IF($AI46-$AH46&lt;1,($AH46&gt;Lists!C$22)*($AH46&lt;=Lists!C$21),MAX(0,MIN(Lists!C$21,$AI46)-MAX(Lists!C$22,$AH46))/($AI46-$AH46))+N($F46)*IF($AK46-$AJ46&lt;1,($AJ46&gt;Lists!C$22)*($AJ46&lt;=Lists!C$21),MAX(0,MIN(Lists!C$21,$AK46)-MAX(Lists!C$22,$AJ46))/($AK46-$AJ46))+N($G46)*IF($AM46-$AL46&lt;1,($AL46&gt;Lists!C$22)*($AL46&lt;=Lists!C$21),MAX(0,MIN(Lists!C$21,$AM46)-MAX(Lists!C$22,$AL46))/($AM46-$AL46))))))))</f>
        <v>0</v>
      </c>
      <c r="N46" s="53" t="n">
        <f aca="false">IF($H46=0,0,IF($AP46="X",0,IF($AP46="S",$H46/$AO46*(MIN($AO46,MAX(0,INT((Lists!D$21-N($J46))/7)+1))-MIN($AO46,MAX(0,INT((Lists!D$22-N($J46))/7)+1))),IF($AP46="D",$H46*MAX(0,MIN(Lists!D$21,N($J46)+$AO46)-MAX(Lists!D$22,N($J46)))/$AO46,IF($AP46="M",$H46/$AO46*(IF(Lists!D$21&lt;$J46,0,MIN($AO46,(((YEAR(Lists!D$21)-YEAR($J46))*12+MONTH(Lists!D$21)-MONTH($J46))-(EDATE($J46,((YEAR(Lists!D$21)-YEAR($J46))*12+MONTH(Lists!D$21)-MONTH($J46)))&gt;Lists!D$21)+1)))-IF(Lists!D$22&lt;$J46,0,MIN($AO46,(((YEAR(Lists!D$22)-YEAR($J46))*12+MONTH(Lists!D$22)-MONTH($J46))-(EDATE($J46,((YEAR(Lists!D$22)-YEAR($J46))*12+MONTH(Lists!D$22)-MONTH($J46)))&gt;Lists!D$22)+1)))),IF($AP46="F",IF(N($K46)&lt;=0,0,MIN(MAX(0,$H46),N($K46)*IF(Lists!D$21&lt;$J46,0,(((YEAR(Lists!D$21)-YEAR($J46))*12+MONTH(Lists!D$21)-MONTH($J46))-(EDATE($J46,((YEAR(Lists!D$21)-YEAR($J46))*12+MONTH(Lists!D$21)-MONTH($J46)))&gt;Lists!D$21)+1)))-MIN(MAX(0,$H46),N($K46)*IF(Lists!D$22&lt;$J46,0,(((YEAR(Lists!D$22)-YEAR($J46))*12+MONTH(Lists!D$22)-MONTH($J46))-(EDATE($J46,((YEAR(Lists!D$22)-YEAR($J46))*12+MONTH(Lists!D$22)-MONTH($J46)))&gt;Lists!D$22)+1)))),N($C46)*IF($AE46-$AD46&lt;1,($AD46&gt;Lists!D$22)*($AD46&lt;=Lists!D$21),MAX(0,MIN(Lists!D$21,$AE46)-MAX(Lists!D$22,$AD46))/($AE46-$AD46))+N($D46)*IF($AG46-$AF46&lt;1,($AF46&gt;Lists!D$22)*($AF46&lt;=Lists!D$21),MAX(0,MIN(Lists!D$21,$AG46)-MAX(Lists!D$22,$AF46))/($AG46-$AF46))+N($E46)*IF($AI46-$AH46&lt;1,($AH46&gt;Lists!D$22)*($AH46&lt;=Lists!D$21),MAX(0,MIN(Lists!D$21,$AI46)-MAX(Lists!D$22,$AH46))/($AI46-$AH46))+N($F46)*IF($AK46-$AJ46&lt;1,($AJ46&gt;Lists!D$22)*($AJ46&lt;=Lists!D$21),MAX(0,MIN(Lists!D$21,$AK46)-MAX(Lists!D$22,$AJ46))/($AK46-$AJ46))+N($G46)*IF($AM46-$AL46&lt;1,($AL46&gt;Lists!D$22)*($AL46&lt;=Lists!D$21),MAX(0,MIN(Lists!D$21,$AM46)-MAX(Lists!D$22,$AL46))/($AM46-$AL46))))))))</f>
        <v>0</v>
      </c>
      <c r="O46" s="53" t="n">
        <f aca="false">IF($H46=0,0,IF($AP46="X",0,IF($AP46="S",$H46/$AO46*(MIN($AO46,MAX(0,INT((Lists!E$21-N($J46))/7)+1))-MIN($AO46,MAX(0,INT((Lists!E$22-N($J46))/7)+1))),IF($AP46="D",$H46*MAX(0,MIN(Lists!E$21,N($J46)+$AO46)-MAX(Lists!E$22,N($J46)))/$AO46,IF($AP46="M",$H46/$AO46*(IF(Lists!E$21&lt;$J46,0,MIN($AO46,(((YEAR(Lists!E$21)-YEAR($J46))*12+MONTH(Lists!E$21)-MONTH($J46))-(EDATE($J46,((YEAR(Lists!E$21)-YEAR($J46))*12+MONTH(Lists!E$21)-MONTH($J46)))&gt;Lists!E$21)+1)))-IF(Lists!E$22&lt;$J46,0,MIN($AO46,(((YEAR(Lists!E$22)-YEAR($J46))*12+MONTH(Lists!E$22)-MONTH($J46))-(EDATE($J46,((YEAR(Lists!E$22)-YEAR($J46))*12+MONTH(Lists!E$22)-MONTH($J46)))&gt;Lists!E$22)+1)))),IF($AP46="F",IF(N($K46)&lt;=0,0,MIN(MAX(0,$H46),N($K46)*IF(Lists!E$21&lt;$J46,0,(((YEAR(Lists!E$21)-YEAR($J46))*12+MONTH(Lists!E$21)-MONTH($J46))-(EDATE($J46,((YEAR(Lists!E$21)-YEAR($J46))*12+MONTH(Lists!E$21)-MONTH($J46)))&gt;Lists!E$21)+1)))-MIN(MAX(0,$H46),N($K46)*IF(Lists!E$22&lt;$J46,0,(((YEAR(Lists!E$22)-YEAR($J46))*12+MONTH(Lists!E$22)-MONTH($J46))-(EDATE($J46,((YEAR(Lists!E$22)-YEAR($J46))*12+MONTH(Lists!E$22)-MONTH($J46)))&gt;Lists!E$22)+1)))),N($C46)*IF($AE46-$AD46&lt;1,($AD46&gt;Lists!E$22)*($AD46&lt;=Lists!E$21),MAX(0,MIN(Lists!E$21,$AE46)-MAX(Lists!E$22,$AD46))/($AE46-$AD46))+N($D46)*IF($AG46-$AF46&lt;1,($AF46&gt;Lists!E$22)*($AF46&lt;=Lists!E$21),MAX(0,MIN(Lists!E$21,$AG46)-MAX(Lists!E$22,$AF46))/($AG46-$AF46))+N($E46)*IF($AI46-$AH46&lt;1,($AH46&gt;Lists!E$22)*($AH46&lt;=Lists!E$21),MAX(0,MIN(Lists!E$21,$AI46)-MAX(Lists!E$22,$AH46))/($AI46-$AH46))+N($F46)*IF($AK46-$AJ46&lt;1,($AJ46&gt;Lists!E$22)*($AJ46&lt;=Lists!E$21),MAX(0,MIN(Lists!E$21,$AK46)-MAX(Lists!E$22,$AJ46))/($AK46-$AJ46))+N($G46)*IF($AM46-$AL46&lt;1,($AL46&gt;Lists!E$22)*($AL46&lt;=Lists!E$21),MAX(0,MIN(Lists!E$21,$AM46)-MAX(Lists!E$22,$AL46))/($AM46-$AL46))))))))</f>
        <v>0</v>
      </c>
      <c r="P46" s="53" t="n">
        <f aca="false">IF($H46=0,0,IF($AP46="X",0,IF($AP46="S",$H46/$AO46*(MIN($AO46,MAX(0,INT((Lists!F$21-N($J46))/7)+1))-MIN($AO46,MAX(0,INT((Lists!F$22-N($J46))/7)+1))),IF($AP46="D",$H46*MAX(0,MIN(Lists!F$21,N($J46)+$AO46)-MAX(Lists!F$22,N($J46)))/$AO46,IF($AP46="M",$H46/$AO46*(IF(Lists!F$21&lt;$J46,0,MIN($AO46,(((YEAR(Lists!F$21)-YEAR($J46))*12+MONTH(Lists!F$21)-MONTH($J46))-(EDATE($J46,((YEAR(Lists!F$21)-YEAR($J46))*12+MONTH(Lists!F$21)-MONTH($J46)))&gt;Lists!F$21)+1)))-IF(Lists!F$22&lt;$J46,0,MIN($AO46,(((YEAR(Lists!F$22)-YEAR($J46))*12+MONTH(Lists!F$22)-MONTH($J46))-(EDATE($J46,((YEAR(Lists!F$22)-YEAR($J46))*12+MONTH(Lists!F$22)-MONTH($J46)))&gt;Lists!F$22)+1)))),IF($AP46="F",IF(N($K46)&lt;=0,0,MIN(MAX(0,$H46),N($K46)*IF(Lists!F$21&lt;$J46,0,(((YEAR(Lists!F$21)-YEAR($J46))*12+MONTH(Lists!F$21)-MONTH($J46))-(EDATE($J46,((YEAR(Lists!F$21)-YEAR($J46))*12+MONTH(Lists!F$21)-MONTH($J46)))&gt;Lists!F$21)+1)))-MIN(MAX(0,$H46),N($K46)*IF(Lists!F$22&lt;$J46,0,(((YEAR(Lists!F$22)-YEAR($J46))*12+MONTH(Lists!F$22)-MONTH($J46))-(EDATE($J46,((YEAR(Lists!F$22)-YEAR($J46))*12+MONTH(Lists!F$22)-MONTH($J46)))&gt;Lists!F$22)+1)))),N($C46)*IF($AE46-$AD46&lt;1,($AD46&gt;Lists!F$22)*($AD46&lt;=Lists!F$21),MAX(0,MIN(Lists!F$21,$AE46)-MAX(Lists!F$22,$AD46))/($AE46-$AD46))+N($D46)*IF($AG46-$AF46&lt;1,($AF46&gt;Lists!F$22)*($AF46&lt;=Lists!F$21),MAX(0,MIN(Lists!F$21,$AG46)-MAX(Lists!F$22,$AF46))/($AG46-$AF46))+N($E46)*IF($AI46-$AH46&lt;1,($AH46&gt;Lists!F$22)*($AH46&lt;=Lists!F$21),MAX(0,MIN(Lists!F$21,$AI46)-MAX(Lists!F$22,$AH46))/($AI46-$AH46))+N($F46)*IF($AK46-$AJ46&lt;1,($AJ46&gt;Lists!F$22)*($AJ46&lt;=Lists!F$21),MAX(0,MIN(Lists!F$21,$AK46)-MAX(Lists!F$22,$AJ46))/($AK46-$AJ46))+N($G46)*IF($AM46-$AL46&lt;1,($AL46&gt;Lists!F$22)*($AL46&lt;=Lists!F$21),MAX(0,MIN(Lists!F$21,$AM46)-MAX(Lists!F$22,$AL46))/($AM46-$AL46))))))))</f>
        <v>0</v>
      </c>
      <c r="Q46" s="53" t="n">
        <f aca="false">IF($H46=0,0,IF($AP46="X",0,IF($AP46="S",$H46/$AO46*(MIN($AO46,MAX(0,INT((Lists!G$21-N($J46))/7)+1))-MIN($AO46,MAX(0,INT((Lists!G$22-N($J46))/7)+1))),IF($AP46="D",$H46*MAX(0,MIN(Lists!G$21,N($J46)+$AO46)-MAX(Lists!G$22,N($J46)))/$AO46,IF($AP46="M",$H46/$AO46*(IF(Lists!G$21&lt;$J46,0,MIN($AO46,(((YEAR(Lists!G$21)-YEAR($J46))*12+MONTH(Lists!G$21)-MONTH($J46))-(EDATE($J46,((YEAR(Lists!G$21)-YEAR($J46))*12+MONTH(Lists!G$21)-MONTH($J46)))&gt;Lists!G$21)+1)))-IF(Lists!G$22&lt;$J46,0,MIN($AO46,(((YEAR(Lists!G$22)-YEAR($J46))*12+MONTH(Lists!G$22)-MONTH($J46))-(EDATE($J46,((YEAR(Lists!G$22)-YEAR($J46))*12+MONTH(Lists!G$22)-MONTH($J46)))&gt;Lists!G$22)+1)))),IF($AP46="F",IF(N($K46)&lt;=0,0,MIN(MAX(0,$H46),N($K46)*IF(Lists!G$21&lt;$J46,0,(((YEAR(Lists!G$21)-YEAR($J46))*12+MONTH(Lists!G$21)-MONTH($J46))-(EDATE($J46,((YEAR(Lists!G$21)-YEAR($J46))*12+MONTH(Lists!G$21)-MONTH($J46)))&gt;Lists!G$21)+1)))-MIN(MAX(0,$H46),N($K46)*IF(Lists!G$22&lt;$J46,0,(((YEAR(Lists!G$22)-YEAR($J46))*12+MONTH(Lists!G$22)-MONTH($J46))-(EDATE($J46,((YEAR(Lists!G$22)-YEAR($J46))*12+MONTH(Lists!G$22)-MONTH($J46)))&gt;Lists!G$22)+1)))),N($C46)*IF($AE46-$AD46&lt;1,($AD46&gt;Lists!G$22)*($AD46&lt;=Lists!G$21),MAX(0,MIN(Lists!G$21,$AE46)-MAX(Lists!G$22,$AD46))/($AE46-$AD46))+N($D46)*IF($AG46-$AF46&lt;1,($AF46&gt;Lists!G$22)*($AF46&lt;=Lists!G$21),MAX(0,MIN(Lists!G$21,$AG46)-MAX(Lists!G$22,$AF46))/($AG46-$AF46))+N($E46)*IF($AI46-$AH46&lt;1,($AH46&gt;Lists!G$22)*($AH46&lt;=Lists!G$21),MAX(0,MIN(Lists!G$21,$AI46)-MAX(Lists!G$22,$AH46))/($AI46-$AH46))+N($F46)*IF($AK46-$AJ46&lt;1,($AJ46&gt;Lists!G$22)*($AJ46&lt;=Lists!G$21),MAX(0,MIN(Lists!G$21,$AK46)-MAX(Lists!G$22,$AJ46))/($AK46-$AJ46))+N($G46)*IF($AM46-$AL46&lt;1,($AL46&gt;Lists!G$22)*($AL46&lt;=Lists!G$21),MAX(0,MIN(Lists!G$21,$AM46)-MAX(Lists!G$22,$AL46))/($AM46-$AL46))))))))</f>
        <v>0</v>
      </c>
      <c r="R46" s="53" t="n">
        <f aca="false">IF($H46=0,0,IF($AP46="X",0,IF($AP46="S",$H46/$AO46*(MIN($AO46,MAX(0,INT((Lists!H$21-N($J46))/7)+1))-MIN($AO46,MAX(0,INT((Lists!H$22-N($J46))/7)+1))),IF($AP46="D",$H46*MAX(0,MIN(Lists!H$21,N($J46)+$AO46)-MAX(Lists!H$22,N($J46)))/$AO46,IF($AP46="M",$H46/$AO46*(IF(Lists!H$21&lt;$J46,0,MIN($AO46,(((YEAR(Lists!H$21)-YEAR($J46))*12+MONTH(Lists!H$21)-MONTH($J46))-(EDATE($J46,((YEAR(Lists!H$21)-YEAR($J46))*12+MONTH(Lists!H$21)-MONTH($J46)))&gt;Lists!H$21)+1)))-IF(Lists!H$22&lt;$J46,0,MIN($AO46,(((YEAR(Lists!H$22)-YEAR($J46))*12+MONTH(Lists!H$22)-MONTH($J46))-(EDATE($J46,((YEAR(Lists!H$22)-YEAR($J46))*12+MONTH(Lists!H$22)-MONTH($J46)))&gt;Lists!H$22)+1)))),IF($AP46="F",IF(N($K46)&lt;=0,0,MIN(MAX(0,$H46),N($K46)*IF(Lists!H$21&lt;$J46,0,(((YEAR(Lists!H$21)-YEAR($J46))*12+MONTH(Lists!H$21)-MONTH($J46))-(EDATE($J46,((YEAR(Lists!H$21)-YEAR($J46))*12+MONTH(Lists!H$21)-MONTH($J46)))&gt;Lists!H$21)+1)))-MIN(MAX(0,$H46),N($K46)*IF(Lists!H$22&lt;$J46,0,(((YEAR(Lists!H$22)-YEAR($J46))*12+MONTH(Lists!H$22)-MONTH($J46))-(EDATE($J46,((YEAR(Lists!H$22)-YEAR($J46))*12+MONTH(Lists!H$22)-MONTH($J46)))&gt;Lists!H$22)+1)))),N($C46)*IF($AE46-$AD46&lt;1,($AD46&gt;Lists!H$22)*($AD46&lt;=Lists!H$21),MAX(0,MIN(Lists!H$21,$AE46)-MAX(Lists!H$22,$AD46))/($AE46-$AD46))+N($D46)*IF($AG46-$AF46&lt;1,($AF46&gt;Lists!H$22)*($AF46&lt;=Lists!H$21),MAX(0,MIN(Lists!H$21,$AG46)-MAX(Lists!H$22,$AF46))/($AG46-$AF46))+N($E46)*IF($AI46-$AH46&lt;1,($AH46&gt;Lists!H$22)*($AH46&lt;=Lists!H$21),MAX(0,MIN(Lists!H$21,$AI46)-MAX(Lists!H$22,$AH46))/($AI46-$AH46))+N($F46)*IF($AK46-$AJ46&lt;1,($AJ46&gt;Lists!H$22)*($AJ46&lt;=Lists!H$21),MAX(0,MIN(Lists!H$21,$AK46)-MAX(Lists!H$22,$AJ46))/($AK46-$AJ46))+N($G46)*IF($AM46-$AL46&lt;1,($AL46&gt;Lists!H$22)*($AL46&lt;=Lists!H$21),MAX(0,MIN(Lists!H$21,$AM46)-MAX(Lists!H$22,$AL46))/($AM46-$AL46))))))))</f>
        <v>0</v>
      </c>
      <c r="S46" s="53" t="n">
        <f aca="false">IF($H46=0,0,IF($AP46="X",0,IF($AP46="S",$H46/$AO46*(MIN($AO46,MAX(0,INT((Lists!I$21-N($J46))/7)+1))-MIN($AO46,MAX(0,INT((Lists!I$22-N($J46))/7)+1))),IF($AP46="D",$H46*MAX(0,MIN(Lists!I$21,N($J46)+$AO46)-MAX(Lists!I$22,N($J46)))/$AO46,IF($AP46="M",$H46/$AO46*(IF(Lists!I$21&lt;$J46,0,MIN($AO46,(((YEAR(Lists!I$21)-YEAR($J46))*12+MONTH(Lists!I$21)-MONTH($J46))-(EDATE($J46,((YEAR(Lists!I$21)-YEAR($J46))*12+MONTH(Lists!I$21)-MONTH($J46)))&gt;Lists!I$21)+1)))-IF(Lists!I$22&lt;$J46,0,MIN($AO46,(((YEAR(Lists!I$22)-YEAR($J46))*12+MONTH(Lists!I$22)-MONTH($J46))-(EDATE($J46,((YEAR(Lists!I$22)-YEAR($J46))*12+MONTH(Lists!I$22)-MONTH($J46)))&gt;Lists!I$22)+1)))),IF($AP46="F",IF(N($K46)&lt;=0,0,MIN(MAX(0,$H46),N($K46)*IF(Lists!I$21&lt;$J46,0,(((YEAR(Lists!I$21)-YEAR($J46))*12+MONTH(Lists!I$21)-MONTH($J46))-(EDATE($J46,((YEAR(Lists!I$21)-YEAR($J46))*12+MONTH(Lists!I$21)-MONTH($J46)))&gt;Lists!I$21)+1)))-MIN(MAX(0,$H46),N($K46)*IF(Lists!I$22&lt;$J46,0,(((YEAR(Lists!I$22)-YEAR($J46))*12+MONTH(Lists!I$22)-MONTH($J46))-(EDATE($J46,((YEAR(Lists!I$22)-YEAR($J46))*12+MONTH(Lists!I$22)-MONTH($J46)))&gt;Lists!I$22)+1)))),N($C46)*IF($AE46-$AD46&lt;1,($AD46&gt;Lists!I$22)*($AD46&lt;=Lists!I$21),MAX(0,MIN(Lists!I$21,$AE46)-MAX(Lists!I$22,$AD46))/($AE46-$AD46))+N($D46)*IF($AG46-$AF46&lt;1,($AF46&gt;Lists!I$22)*($AF46&lt;=Lists!I$21),MAX(0,MIN(Lists!I$21,$AG46)-MAX(Lists!I$22,$AF46))/($AG46-$AF46))+N($E46)*IF($AI46-$AH46&lt;1,($AH46&gt;Lists!I$22)*($AH46&lt;=Lists!I$21),MAX(0,MIN(Lists!I$21,$AI46)-MAX(Lists!I$22,$AH46))/($AI46-$AH46))+N($F46)*IF($AK46-$AJ46&lt;1,($AJ46&gt;Lists!I$22)*($AJ46&lt;=Lists!I$21),MAX(0,MIN(Lists!I$21,$AK46)-MAX(Lists!I$22,$AJ46))/($AK46-$AJ46))+N($G46)*IF($AM46-$AL46&lt;1,($AL46&gt;Lists!I$22)*($AL46&lt;=Lists!I$21),MAX(0,MIN(Lists!I$21,$AM46)-MAX(Lists!I$22,$AL46))/($AM46-$AL46))))))))</f>
        <v>0</v>
      </c>
      <c r="T46" s="53" t="n">
        <f aca="false">IF($H46=0,0,IF($AP46="X",0,IF($AP46="S",$H46/$AO46*(MIN($AO46,MAX(0,INT((Lists!J$21-N($J46))/7)+1))-MIN($AO46,MAX(0,INT((Lists!J$22-N($J46))/7)+1))),IF($AP46="D",$H46*MAX(0,MIN(Lists!J$21,N($J46)+$AO46)-MAX(Lists!J$22,N($J46)))/$AO46,IF($AP46="M",$H46/$AO46*(IF(Lists!J$21&lt;$J46,0,MIN($AO46,(((YEAR(Lists!J$21)-YEAR($J46))*12+MONTH(Lists!J$21)-MONTH($J46))-(EDATE($J46,((YEAR(Lists!J$21)-YEAR($J46))*12+MONTH(Lists!J$21)-MONTH($J46)))&gt;Lists!J$21)+1)))-IF(Lists!J$22&lt;$J46,0,MIN($AO46,(((YEAR(Lists!J$22)-YEAR($J46))*12+MONTH(Lists!J$22)-MONTH($J46))-(EDATE($J46,((YEAR(Lists!J$22)-YEAR($J46))*12+MONTH(Lists!J$22)-MONTH($J46)))&gt;Lists!J$22)+1)))),IF($AP46="F",IF(N($K46)&lt;=0,0,MIN(MAX(0,$H46),N($K46)*IF(Lists!J$21&lt;$J46,0,(((YEAR(Lists!J$21)-YEAR($J46))*12+MONTH(Lists!J$21)-MONTH($J46))-(EDATE($J46,((YEAR(Lists!J$21)-YEAR($J46))*12+MONTH(Lists!J$21)-MONTH($J46)))&gt;Lists!J$21)+1)))-MIN(MAX(0,$H46),N($K46)*IF(Lists!J$22&lt;$J46,0,(((YEAR(Lists!J$22)-YEAR($J46))*12+MONTH(Lists!J$22)-MONTH($J46))-(EDATE($J46,((YEAR(Lists!J$22)-YEAR($J46))*12+MONTH(Lists!J$22)-MONTH($J46)))&gt;Lists!J$22)+1)))),N($C46)*IF($AE46-$AD46&lt;1,($AD46&gt;Lists!J$22)*($AD46&lt;=Lists!J$21),MAX(0,MIN(Lists!J$21,$AE46)-MAX(Lists!J$22,$AD46))/($AE46-$AD46))+N($D46)*IF($AG46-$AF46&lt;1,($AF46&gt;Lists!J$22)*($AF46&lt;=Lists!J$21),MAX(0,MIN(Lists!J$21,$AG46)-MAX(Lists!J$22,$AF46))/($AG46-$AF46))+N($E46)*IF($AI46-$AH46&lt;1,($AH46&gt;Lists!J$22)*($AH46&lt;=Lists!J$21),MAX(0,MIN(Lists!J$21,$AI46)-MAX(Lists!J$22,$AH46))/($AI46-$AH46))+N($F46)*IF($AK46-$AJ46&lt;1,($AJ46&gt;Lists!J$22)*($AJ46&lt;=Lists!J$21),MAX(0,MIN(Lists!J$21,$AK46)-MAX(Lists!J$22,$AJ46))/($AK46-$AJ46))+N($G46)*IF($AM46-$AL46&lt;1,($AL46&gt;Lists!J$22)*($AL46&lt;=Lists!J$21),MAX(0,MIN(Lists!J$21,$AM46)-MAX(Lists!J$22,$AL46))/($AM46-$AL46))))))))</f>
        <v>0</v>
      </c>
      <c r="U46" s="53" t="n">
        <f aca="false">IF($H46=0,0,IF($AP46="X",0,IF($AP46="S",$H46/$AO46*(MIN($AO46,MAX(0,INT((Lists!K$21-N($J46))/7)+1))-MIN($AO46,MAX(0,INT((Lists!K$22-N($J46))/7)+1))),IF($AP46="D",$H46*MAX(0,MIN(Lists!K$21,N($J46)+$AO46)-MAX(Lists!K$22,N($J46)))/$AO46,IF($AP46="M",$H46/$AO46*(IF(Lists!K$21&lt;$J46,0,MIN($AO46,(((YEAR(Lists!K$21)-YEAR($J46))*12+MONTH(Lists!K$21)-MONTH($J46))-(EDATE($J46,((YEAR(Lists!K$21)-YEAR($J46))*12+MONTH(Lists!K$21)-MONTH($J46)))&gt;Lists!K$21)+1)))-IF(Lists!K$22&lt;$J46,0,MIN($AO46,(((YEAR(Lists!K$22)-YEAR($J46))*12+MONTH(Lists!K$22)-MONTH($J46))-(EDATE($J46,((YEAR(Lists!K$22)-YEAR($J46))*12+MONTH(Lists!K$22)-MONTH($J46)))&gt;Lists!K$22)+1)))),IF($AP46="F",IF(N($K46)&lt;=0,0,MIN(MAX(0,$H46),N($K46)*IF(Lists!K$21&lt;$J46,0,(((YEAR(Lists!K$21)-YEAR($J46))*12+MONTH(Lists!K$21)-MONTH($J46))-(EDATE($J46,((YEAR(Lists!K$21)-YEAR($J46))*12+MONTH(Lists!K$21)-MONTH($J46)))&gt;Lists!K$21)+1)))-MIN(MAX(0,$H46),N($K46)*IF(Lists!K$22&lt;$J46,0,(((YEAR(Lists!K$22)-YEAR($J46))*12+MONTH(Lists!K$22)-MONTH($J46))-(EDATE($J46,((YEAR(Lists!K$22)-YEAR($J46))*12+MONTH(Lists!K$22)-MONTH($J46)))&gt;Lists!K$22)+1)))),N($C46)*IF($AE46-$AD46&lt;1,($AD46&gt;Lists!K$22)*($AD46&lt;=Lists!K$21),MAX(0,MIN(Lists!K$21,$AE46)-MAX(Lists!K$22,$AD46))/($AE46-$AD46))+N($D46)*IF($AG46-$AF46&lt;1,($AF46&gt;Lists!K$22)*($AF46&lt;=Lists!K$21),MAX(0,MIN(Lists!K$21,$AG46)-MAX(Lists!K$22,$AF46))/($AG46-$AF46))+N($E46)*IF($AI46-$AH46&lt;1,($AH46&gt;Lists!K$22)*($AH46&lt;=Lists!K$21),MAX(0,MIN(Lists!K$21,$AI46)-MAX(Lists!K$22,$AH46))/($AI46-$AH46))+N($F46)*IF($AK46-$AJ46&lt;1,($AJ46&gt;Lists!K$22)*($AJ46&lt;=Lists!K$21),MAX(0,MIN(Lists!K$21,$AK46)-MAX(Lists!K$22,$AJ46))/($AK46-$AJ46))+N($G46)*IF($AM46-$AL46&lt;1,($AL46&gt;Lists!K$22)*($AL46&lt;=Lists!K$21),MAX(0,MIN(Lists!K$21,$AM46)-MAX(Lists!K$22,$AL46))/($AM46-$AL46))))))))</f>
        <v>0</v>
      </c>
      <c r="V46" s="53" t="n">
        <f aca="false">IF($H46=0,0,IF($AP46="X",0,IF($AP46="S",$H46/$AO46*(MIN($AO46,MAX(0,INT((Lists!L$21-N($J46))/7)+1))-MIN($AO46,MAX(0,INT((Lists!L$22-N($J46))/7)+1))),IF($AP46="D",$H46*MAX(0,MIN(Lists!L$21,N($J46)+$AO46)-MAX(Lists!L$22,N($J46)))/$AO46,IF($AP46="M",$H46/$AO46*(IF(Lists!L$21&lt;$J46,0,MIN($AO46,(((YEAR(Lists!L$21)-YEAR($J46))*12+MONTH(Lists!L$21)-MONTH($J46))-(EDATE($J46,((YEAR(Lists!L$21)-YEAR($J46))*12+MONTH(Lists!L$21)-MONTH($J46)))&gt;Lists!L$21)+1)))-IF(Lists!L$22&lt;$J46,0,MIN($AO46,(((YEAR(Lists!L$22)-YEAR($J46))*12+MONTH(Lists!L$22)-MONTH($J46))-(EDATE($J46,((YEAR(Lists!L$22)-YEAR($J46))*12+MONTH(Lists!L$22)-MONTH($J46)))&gt;Lists!L$22)+1)))),IF($AP46="F",IF(N($K46)&lt;=0,0,MIN(MAX(0,$H46),N($K46)*IF(Lists!L$21&lt;$J46,0,(((YEAR(Lists!L$21)-YEAR($J46))*12+MONTH(Lists!L$21)-MONTH($J46))-(EDATE($J46,((YEAR(Lists!L$21)-YEAR($J46))*12+MONTH(Lists!L$21)-MONTH($J46)))&gt;Lists!L$21)+1)))-MIN(MAX(0,$H46),N($K46)*IF(Lists!L$22&lt;$J46,0,(((YEAR(Lists!L$22)-YEAR($J46))*12+MONTH(Lists!L$22)-MONTH($J46))-(EDATE($J46,((YEAR(Lists!L$22)-YEAR($J46))*12+MONTH(Lists!L$22)-MONTH($J46)))&gt;Lists!L$22)+1)))),N($C46)*IF($AE46-$AD46&lt;1,($AD46&gt;Lists!L$22)*($AD46&lt;=Lists!L$21),MAX(0,MIN(Lists!L$21,$AE46)-MAX(Lists!L$22,$AD46))/($AE46-$AD46))+N($D46)*IF($AG46-$AF46&lt;1,($AF46&gt;Lists!L$22)*($AF46&lt;=Lists!L$21),MAX(0,MIN(Lists!L$21,$AG46)-MAX(Lists!L$22,$AF46))/($AG46-$AF46))+N($E46)*IF($AI46-$AH46&lt;1,($AH46&gt;Lists!L$22)*($AH46&lt;=Lists!L$21),MAX(0,MIN(Lists!L$21,$AI46)-MAX(Lists!L$22,$AH46))/($AI46-$AH46))+N($F46)*IF($AK46-$AJ46&lt;1,($AJ46&gt;Lists!L$22)*($AJ46&lt;=Lists!L$21),MAX(0,MIN(Lists!L$21,$AK46)-MAX(Lists!L$22,$AJ46))/($AK46-$AJ46))+N($G46)*IF($AM46-$AL46&lt;1,($AL46&gt;Lists!L$22)*($AL46&lt;=Lists!L$21),MAX(0,MIN(Lists!L$21,$AM46)-MAX(Lists!L$22,$AL46))/($AM46-$AL46))))))))</f>
        <v>0</v>
      </c>
      <c r="W46" s="53" t="n">
        <f aca="false">IF($H46=0,0,IF($AP46="X",0,IF($AP46="S",$H46/$AO46*(MIN($AO46,MAX(0,INT((Lists!M$21-N($J46))/7)+1))-MIN($AO46,MAX(0,INT((Lists!M$22-N($J46))/7)+1))),IF($AP46="D",$H46*MAX(0,MIN(Lists!M$21,N($J46)+$AO46)-MAX(Lists!M$22,N($J46)))/$AO46,IF($AP46="M",$H46/$AO46*(IF(Lists!M$21&lt;$J46,0,MIN($AO46,(((YEAR(Lists!M$21)-YEAR($J46))*12+MONTH(Lists!M$21)-MONTH($J46))-(EDATE($J46,((YEAR(Lists!M$21)-YEAR($J46))*12+MONTH(Lists!M$21)-MONTH($J46)))&gt;Lists!M$21)+1)))-IF(Lists!M$22&lt;$J46,0,MIN($AO46,(((YEAR(Lists!M$22)-YEAR($J46))*12+MONTH(Lists!M$22)-MONTH($J46))-(EDATE($J46,((YEAR(Lists!M$22)-YEAR($J46))*12+MONTH(Lists!M$22)-MONTH($J46)))&gt;Lists!M$22)+1)))),IF($AP46="F",IF(N($K46)&lt;=0,0,MIN(MAX(0,$H46),N($K46)*IF(Lists!M$21&lt;$J46,0,(((YEAR(Lists!M$21)-YEAR($J46))*12+MONTH(Lists!M$21)-MONTH($J46))-(EDATE($J46,((YEAR(Lists!M$21)-YEAR($J46))*12+MONTH(Lists!M$21)-MONTH($J46)))&gt;Lists!M$21)+1)))-MIN(MAX(0,$H46),N($K46)*IF(Lists!M$22&lt;$J46,0,(((YEAR(Lists!M$22)-YEAR($J46))*12+MONTH(Lists!M$22)-MONTH($J46))-(EDATE($J46,((YEAR(Lists!M$22)-YEAR($J46))*12+MONTH(Lists!M$22)-MONTH($J46)))&gt;Lists!M$22)+1)))),N($C46)*IF($AE46-$AD46&lt;1,($AD46&gt;Lists!M$22)*($AD46&lt;=Lists!M$21),MAX(0,MIN(Lists!M$21,$AE46)-MAX(Lists!M$22,$AD46))/($AE46-$AD46))+N($D46)*IF($AG46-$AF46&lt;1,($AF46&gt;Lists!M$22)*($AF46&lt;=Lists!M$21),MAX(0,MIN(Lists!M$21,$AG46)-MAX(Lists!M$22,$AF46))/($AG46-$AF46))+N($E46)*IF($AI46-$AH46&lt;1,($AH46&gt;Lists!M$22)*($AH46&lt;=Lists!M$21),MAX(0,MIN(Lists!M$21,$AI46)-MAX(Lists!M$22,$AH46))/($AI46-$AH46))+N($F46)*IF($AK46-$AJ46&lt;1,($AJ46&gt;Lists!M$22)*($AJ46&lt;=Lists!M$21),MAX(0,MIN(Lists!M$21,$AK46)-MAX(Lists!M$22,$AJ46))/($AK46-$AJ46))+N($G46)*IF($AM46-$AL46&lt;1,($AL46&gt;Lists!M$22)*($AL46&lt;=Lists!M$21),MAX(0,MIN(Lists!M$21,$AM46)-MAX(Lists!M$22,$AL46))/($AM46-$AL46))))))))</f>
        <v>0</v>
      </c>
      <c r="X46" s="53" t="n">
        <f aca="false">IF($H46=0,0,IF($AP46="X",0,IF($AP46="S",$H46/$AO46*(MIN($AO46,MAX(0,INT((Lists!N$21-N($J46))/7)+1))-MIN($AO46,MAX(0,INT((Lists!N$22-N($J46))/7)+1))),IF($AP46="D",$H46*MAX(0,MIN(Lists!N$21,N($J46)+$AO46)-MAX(Lists!N$22,N($J46)))/$AO46,IF($AP46="M",$H46/$AO46*(IF(Lists!N$21&lt;$J46,0,MIN($AO46,(((YEAR(Lists!N$21)-YEAR($J46))*12+MONTH(Lists!N$21)-MONTH($J46))-(EDATE($J46,((YEAR(Lists!N$21)-YEAR($J46))*12+MONTH(Lists!N$21)-MONTH($J46)))&gt;Lists!N$21)+1)))-IF(Lists!N$22&lt;$J46,0,MIN($AO46,(((YEAR(Lists!N$22)-YEAR($J46))*12+MONTH(Lists!N$22)-MONTH($J46))-(EDATE($J46,((YEAR(Lists!N$22)-YEAR($J46))*12+MONTH(Lists!N$22)-MONTH($J46)))&gt;Lists!N$22)+1)))),IF($AP46="F",IF(N($K46)&lt;=0,0,MIN(MAX(0,$H46),N($K46)*IF(Lists!N$21&lt;$J46,0,(((YEAR(Lists!N$21)-YEAR($J46))*12+MONTH(Lists!N$21)-MONTH($J46))-(EDATE($J46,((YEAR(Lists!N$21)-YEAR($J46))*12+MONTH(Lists!N$21)-MONTH($J46)))&gt;Lists!N$21)+1)))-MIN(MAX(0,$H46),N($K46)*IF(Lists!N$22&lt;$J46,0,(((YEAR(Lists!N$22)-YEAR($J46))*12+MONTH(Lists!N$22)-MONTH($J46))-(EDATE($J46,((YEAR(Lists!N$22)-YEAR($J46))*12+MONTH(Lists!N$22)-MONTH($J46)))&gt;Lists!N$22)+1)))),N($C46)*IF($AE46-$AD46&lt;1,($AD46&gt;Lists!N$22)*($AD46&lt;=Lists!N$21),MAX(0,MIN(Lists!N$21,$AE46)-MAX(Lists!N$22,$AD46))/($AE46-$AD46))+N($D46)*IF($AG46-$AF46&lt;1,($AF46&gt;Lists!N$22)*($AF46&lt;=Lists!N$21),MAX(0,MIN(Lists!N$21,$AG46)-MAX(Lists!N$22,$AF46))/($AG46-$AF46))+N($E46)*IF($AI46-$AH46&lt;1,($AH46&gt;Lists!N$22)*($AH46&lt;=Lists!N$21),MAX(0,MIN(Lists!N$21,$AI46)-MAX(Lists!N$22,$AH46))/($AI46-$AH46))+N($F46)*IF($AK46-$AJ46&lt;1,($AJ46&gt;Lists!N$22)*($AJ46&lt;=Lists!N$21),MAX(0,MIN(Lists!N$21,$AK46)-MAX(Lists!N$22,$AJ46))/($AK46-$AJ46))+N($G46)*IF($AM46-$AL46&lt;1,($AL46&gt;Lists!N$22)*($AL46&lt;=Lists!N$21),MAX(0,MIN(Lists!N$21,$AM46)-MAX(Lists!N$22,$AL46))/($AM46-$AL46))))))))</f>
        <v>0</v>
      </c>
      <c r="Y46" s="53" t="n">
        <f aca="false">IF($H46=0,0,IF($AP46="X",0,IF($AP46="S",$H46/$AO46*(MIN($AO46,MAX(0,INT((Lists!O$21-N($J46))/7)+1))-MIN($AO46,MAX(0,INT((Lists!O$22-N($J46))/7)+1))),IF($AP46="D",$H46*MAX(0,MIN(Lists!O$21,N($J46)+$AO46)-MAX(Lists!O$22,N($J46)))/$AO46,IF($AP46="M",$H46/$AO46*(IF(Lists!O$21&lt;$J46,0,MIN($AO46,(((YEAR(Lists!O$21)-YEAR($J46))*12+MONTH(Lists!O$21)-MONTH($J46))-(EDATE($J46,((YEAR(Lists!O$21)-YEAR($J46))*12+MONTH(Lists!O$21)-MONTH($J46)))&gt;Lists!O$21)+1)))-IF(Lists!O$22&lt;$J46,0,MIN($AO46,(((YEAR(Lists!O$22)-YEAR($J46))*12+MONTH(Lists!O$22)-MONTH($J46))-(EDATE($J46,((YEAR(Lists!O$22)-YEAR($J46))*12+MONTH(Lists!O$22)-MONTH($J46)))&gt;Lists!O$22)+1)))),IF($AP46="F",IF(N($K46)&lt;=0,0,MIN(MAX(0,$H46),N($K46)*IF(Lists!O$21&lt;$J46,0,(((YEAR(Lists!O$21)-YEAR($J46))*12+MONTH(Lists!O$21)-MONTH($J46))-(EDATE($J46,((YEAR(Lists!O$21)-YEAR($J46))*12+MONTH(Lists!O$21)-MONTH($J46)))&gt;Lists!O$21)+1)))-MIN(MAX(0,$H46),N($K46)*IF(Lists!O$22&lt;$J46,0,(((YEAR(Lists!O$22)-YEAR($J46))*12+MONTH(Lists!O$22)-MONTH($J46))-(EDATE($J46,((YEAR(Lists!O$22)-YEAR($J46))*12+MONTH(Lists!O$22)-MONTH($J46)))&gt;Lists!O$22)+1)))),N($C46)*IF($AE46-$AD46&lt;1,($AD46&gt;Lists!O$22)*($AD46&lt;=Lists!O$21),MAX(0,MIN(Lists!O$21,$AE46)-MAX(Lists!O$22,$AD46))/($AE46-$AD46))+N($D46)*IF($AG46-$AF46&lt;1,($AF46&gt;Lists!O$22)*($AF46&lt;=Lists!O$21),MAX(0,MIN(Lists!O$21,$AG46)-MAX(Lists!O$22,$AF46))/($AG46-$AF46))+N($E46)*IF($AI46-$AH46&lt;1,($AH46&gt;Lists!O$22)*($AH46&lt;=Lists!O$21),MAX(0,MIN(Lists!O$21,$AI46)-MAX(Lists!O$22,$AH46))/($AI46-$AH46))+N($F46)*IF($AK46-$AJ46&lt;1,($AJ46&gt;Lists!O$22)*($AJ46&lt;=Lists!O$21),MAX(0,MIN(Lists!O$21,$AK46)-MAX(Lists!O$22,$AJ46))/($AK46-$AJ46))+N($G46)*IF($AM46-$AL46&lt;1,($AL46&gt;Lists!O$22)*($AL46&lt;=Lists!O$21),MAX(0,MIN(Lists!O$21,$AM46)-MAX(Lists!O$22,$AL46))/($AM46-$AL46))))))))</f>
        <v>0</v>
      </c>
      <c r="Z46" s="46" t="n">
        <f aca="false">SUM(M46:Y46)</f>
        <v>0</v>
      </c>
      <c r="AA46" s="92" t="n">
        <f aca="false">H46-Z46</f>
        <v>0</v>
      </c>
      <c r="AB46" s="55"/>
      <c r="AC46" s="2"/>
      <c r="AD46" s="93" t="n">
        <f aca="false">Setup!$D$10+MAX(0,$AN46-30)</f>
        <v>46365</v>
      </c>
      <c r="AE46" s="93" t="n">
        <f aca="false">Setup!$D$10+IF($AN46-30&lt;0,MAX(Setup!$D$22,$AN46-0),$AN46-0)</f>
        <v>46395</v>
      </c>
      <c r="AF46" s="93" t="n">
        <f aca="false">Setup!$D$10+MAX(0,$AN46-60)</f>
        <v>46335</v>
      </c>
      <c r="AG46" s="93" t="n">
        <f aca="false">Setup!$D$10+IF($AN46-60&lt;0,MAX(Setup!$D$22,$AN46-31),$AN46-31)</f>
        <v>46364</v>
      </c>
      <c r="AH46" s="93" t="n">
        <f aca="false">Setup!$D$10+MAX(0,$AN46-90)</f>
        <v>46335</v>
      </c>
      <c r="AI46" s="93" t="n">
        <f aca="false">Setup!$D$10+IF($AN46-90&lt;0,MAX(Setup!$D$22,$AN46-61),$AN46-61)</f>
        <v>46363</v>
      </c>
      <c r="AJ46" s="93" t="n">
        <f aca="false">Setup!$D$10+MAX(0,$AN46-120)</f>
        <v>46335</v>
      </c>
      <c r="AK46" s="93" t="n">
        <f aca="false">Setup!$D$10+IF($AN46-120&lt;0,MAX(Setup!$D$22,$AN46-91),$AN46-91)</f>
        <v>46363</v>
      </c>
      <c r="AL46" s="93" t="n">
        <f aca="false">IF(Setup!$D$23="Yes",2958465,Setup!$D$10)</f>
        <v>2958465</v>
      </c>
      <c r="AM46" s="93" t="n">
        <f aca="false">IF(AL46=2958465,AL46,Setup!$D$10+Setup!$D$22)</f>
        <v>2958465</v>
      </c>
      <c r="AN46" s="94" t="n">
        <f aca="false">IF(N(L46)=0,Setup!$D$20,L46)</f>
        <v>60</v>
      </c>
      <c r="AO46" s="94" t="n">
        <f aca="false">MAX(1,ROUND(N(K46),0))</f>
        <v>1</v>
      </c>
      <c r="AP46" s="95" t="str">
        <f aca="false">IF(I46="Doubtful","X",IF(N(J46)=0,"A",IF(I46="Specific date","S",IF(I46="Spread over days","D",IF(I46="Monthly on set day","M",IF(I46="Monthly fixed amount","F","A"))))))</f>
        <v>A</v>
      </c>
    </row>
    <row r="47" customFormat="false" ht="15" hidden="false" customHeight="false" outlineLevel="0" collapsed="false">
      <c r="A47" s="87" t="n">
        <v>39</v>
      </c>
      <c r="B47" s="55"/>
      <c r="C47" s="88"/>
      <c r="D47" s="88"/>
      <c r="E47" s="88"/>
      <c r="F47" s="88"/>
      <c r="G47" s="88"/>
      <c r="H47" s="89" t="n">
        <f aca="false">SUM(C47:G47)</f>
        <v>0</v>
      </c>
      <c r="I47" s="58"/>
      <c r="J47" s="90"/>
      <c r="K47" s="91"/>
      <c r="L47" s="80"/>
      <c r="M47" s="53" t="n">
        <f aca="false">IF($H47=0,0,IF($AP47="X",0,IF($AP47="S",$H47/$AO47*(MIN($AO47,MAX(0,INT((Lists!C$21-N($J47))/7)+1))-MIN($AO47,MAX(0,INT((Lists!C$22-N($J47))/7)+1))),IF($AP47="D",$H47*MAX(0,MIN(Lists!C$21,N($J47)+$AO47)-MAX(Lists!C$22,N($J47)))/$AO47,IF($AP47="M",$H47/$AO47*(IF(Lists!C$21&lt;$J47,0,MIN($AO47,(((YEAR(Lists!C$21)-YEAR($J47))*12+MONTH(Lists!C$21)-MONTH($J47))-(EDATE($J47,((YEAR(Lists!C$21)-YEAR($J47))*12+MONTH(Lists!C$21)-MONTH($J47)))&gt;Lists!C$21)+1)))-IF(Lists!C$22&lt;$J47,0,MIN($AO47,(((YEAR(Lists!C$22)-YEAR($J47))*12+MONTH(Lists!C$22)-MONTH($J47))-(EDATE($J47,((YEAR(Lists!C$22)-YEAR($J47))*12+MONTH(Lists!C$22)-MONTH($J47)))&gt;Lists!C$22)+1)))),IF($AP47="F",IF(N($K47)&lt;=0,0,MIN(MAX(0,$H47),N($K47)*IF(Lists!C$21&lt;$J47,0,(((YEAR(Lists!C$21)-YEAR($J47))*12+MONTH(Lists!C$21)-MONTH($J47))-(EDATE($J47,((YEAR(Lists!C$21)-YEAR($J47))*12+MONTH(Lists!C$21)-MONTH($J47)))&gt;Lists!C$21)+1)))-MIN(MAX(0,$H47),N($K47)*IF(Lists!C$22&lt;$J47,0,(((YEAR(Lists!C$22)-YEAR($J47))*12+MONTH(Lists!C$22)-MONTH($J47))-(EDATE($J47,((YEAR(Lists!C$22)-YEAR($J47))*12+MONTH(Lists!C$22)-MONTH($J47)))&gt;Lists!C$22)+1)))),N($C47)*IF($AE47-$AD47&lt;1,($AD47&gt;Lists!C$22)*($AD47&lt;=Lists!C$21),MAX(0,MIN(Lists!C$21,$AE47)-MAX(Lists!C$22,$AD47))/($AE47-$AD47))+N($D47)*IF($AG47-$AF47&lt;1,($AF47&gt;Lists!C$22)*($AF47&lt;=Lists!C$21),MAX(0,MIN(Lists!C$21,$AG47)-MAX(Lists!C$22,$AF47))/($AG47-$AF47))+N($E47)*IF($AI47-$AH47&lt;1,($AH47&gt;Lists!C$22)*($AH47&lt;=Lists!C$21),MAX(0,MIN(Lists!C$21,$AI47)-MAX(Lists!C$22,$AH47))/($AI47-$AH47))+N($F47)*IF($AK47-$AJ47&lt;1,($AJ47&gt;Lists!C$22)*($AJ47&lt;=Lists!C$21),MAX(0,MIN(Lists!C$21,$AK47)-MAX(Lists!C$22,$AJ47))/($AK47-$AJ47))+N($G47)*IF($AM47-$AL47&lt;1,($AL47&gt;Lists!C$22)*($AL47&lt;=Lists!C$21),MAX(0,MIN(Lists!C$21,$AM47)-MAX(Lists!C$22,$AL47))/($AM47-$AL47))))))))</f>
        <v>0</v>
      </c>
      <c r="N47" s="53" t="n">
        <f aca="false">IF($H47=0,0,IF($AP47="X",0,IF($AP47="S",$H47/$AO47*(MIN($AO47,MAX(0,INT((Lists!D$21-N($J47))/7)+1))-MIN($AO47,MAX(0,INT((Lists!D$22-N($J47))/7)+1))),IF($AP47="D",$H47*MAX(0,MIN(Lists!D$21,N($J47)+$AO47)-MAX(Lists!D$22,N($J47)))/$AO47,IF($AP47="M",$H47/$AO47*(IF(Lists!D$21&lt;$J47,0,MIN($AO47,(((YEAR(Lists!D$21)-YEAR($J47))*12+MONTH(Lists!D$21)-MONTH($J47))-(EDATE($J47,((YEAR(Lists!D$21)-YEAR($J47))*12+MONTH(Lists!D$21)-MONTH($J47)))&gt;Lists!D$21)+1)))-IF(Lists!D$22&lt;$J47,0,MIN($AO47,(((YEAR(Lists!D$22)-YEAR($J47))*12+MONTH(Lists!D$22)-MONTH($J47))-(EDATE($J47,((YEAR(Lists!D$22)-YEAR($J47))*12+MONTH(Lists!D$22)-MONTH($J47)))&gt;Lists!D$22)+1)))),IF($AP47="F",IF(N($K47)&lt;=0,0,MIN(MAX(0,$H47),N($K47)*IF(Lists!D$21&lt;$J47,0,(((YEAR(Lists!D$21)-YEAR($J47))*12+MONTH(Lists!D$21)-MONTH($J47))-(EDATE($J47,((YEAR(Lists!D$21)-YEAR($J47))*12+MONTH(Lists!D$21)-MONTH($J47)))&gt;Lists!D$21)+1)))-MIN(MAX(0,$H47),N($K47)*IF(Lists!D$22&lt;$J47,0,(((YEAR(Lists!D$22)-YEAR($J47))*12+MONTH(Lists!D$22)-MONTH($J47))-(EDATE($J47,((YEAR(Lists!D$22)-YEAR($J47))*12+MONTH(Lists!D$22)-MONTH($J47)))&gt;Lists!D$22)+1)))),N($C47)*IF($AE47-$AD47&lt;1,($AD47&gt;Lists!D$22)*($AD47&lt;=Lists!D$21),MAX(0,MIN(Lists!D$21,$AE47)-MAX(Lists!D$22,$AD47))/($AE47-$AD47))+N($D47)*IF($AG47-$AF47&lt;1,($AF47&gt;Lists!D$22)*($AF47&lt;=Lists!D$21),MAX(0,MIN(Lists!D$21,$AG47)-MAX(Lists!D$22,$AF47))/($AG47-$AF47))+N($E47)*IF($AI47-$AH47&lt;1,($AH47&gt;Lists!D$22)*($AH47&lt;=Lists!D$21),MAX(0,MIN(Lists!D$21,$AI47)-MAX(Lists!D$22,$AH47))/($AI47-$AH47))+N($F47)*IF($AK47-$AJ47&lt;1,($AJ47&gt;Lists!D$22)*($AJ47&lt;=Lists!D$21),MAX(0,MIN(Lists!D$21,$AK47)-MAX(Lists!D$22,$AJ47))/($AK47-$AJ47))+N($G47)*IF($AM47-$AL47&lt;1,($AL47&gt;Lists!D$22)*($AL47&lt;=Lists!D$21),MAX(0,MIN(Lists!D$21,$AM47)-MAX(Lists!D$22,$AL47))/($AM47-$AL47))))))))</f>
        <v>0</v>
      </c>
      <c r="O47" s="53" t="n">
        <f aca="false">IF($H47=0,0,IF($AP47="X",0,IF($AP47="S",$H47/$AO47*(MIN($AO47,MAX(0,INT((Lists!E$21-N($J47))/7)+1))-MIN($AO47,MAX(0,INT((Lists!E$22-N($J47))/7)+1))),IF($AP47="D",$H47*MAX(0,MIN(Lists!E$21,N($J47)+$AO47)-MAX(Lists!E$22,N($J47)))/$AO47,IF($AP47="M",$H47/$AO47*(IF(Lists!E$21&lt;$J47,0,MIN($AO47,(((YEAR(Lists!E$21)-YEAR($J47))*12+MONTH(Lists!E$21)-MONTH($J47))-(EDATE($J47,((YEAR(Lists!E$21)-YEAR($J47))*12+MONTH(Lists!E$21)-MONTH($J47)))&gt;Lists!E$21)+1)))-IF(Lists!E$22&lt;$J47,0,MIN($AO47,(((YEAR(Lists!E$22)-YEAR($J47))*12+MONTH(Lists!E$22)-MONTH($J47))-(EDATE($J47,((YEAR(Lists!E$22)-YEAR($J47))*12+MONTH(Lists!E$22)-MONTH($J47)))&gt;Lists!E$22)+1)))),IF($AP47="F",IF(N($K47)&lt;=0,0,MIN(MAX(0,$H47),N($K47)*IF(Lists!E$21&lt;$J47,0,(((YEAR(Lists!E$21)-YEAR($J47))*12+MONTH(Lists!E$21)-MONTH($J47))-(EDATE($J47,((YEAR(Lists!E$21)-YEAR($J47))*12+MONTH(Lists!E$21)-MONTH($J47)))&gt;Lists!E$21)+1)))-MIN(MAX(0,$H47),N($K47)*IF(Lists!E$22&lt;$J47,0,(((YEAR(Lists!E$22)-YEAR($J47))*12+MONTH(Lists!E$22)-MONTH($J47))-(EDATE($J47,((YEAR(Lists!E$22)-YEAR($J47))*12+MONTH(Lists!E$22)-MONTH($J47)))&gt;Lists!E$22)+1)))),N($C47)*IF($AE47-$AD47&lt;1,($AD47&gt;Lists!E$22)*($AD47&lt;=Lists!E$21),MAX(0,MIN(Lists!E$21,$AE47)-MAX(Lists!E$22,$AD47))/($AE47-$AD47))+N($D47)*IF($AG47-$AF47&lt;1,($AF47&gt;Lists!E$22)*($AF47&lt;=Lists!E$21),MAX(0,MIN(Lists!E$21,$AG47)-MAX(Lists!E$22,$AF47))/($AG47-$AF47))+N($E47)*IF($AI47-$AH47&lt;1,($AH47&gt;Lists!E$22)*($AH47&lt;=Lists!E$21),MAX(0,MIN(Lists!E$21,$AI47)-MAX(Lists!E$22,$AH47))/($AI47-$AH47))+N($F47)*IF($AK47-$AJ47&lt;1,($AJ47&gt;Lists!E$22)*($AJ47&lt;=Lists!E$21),MAX(0,MIN(Lists!E$21,$AK47)-MAX(Lists!E$22,$AJ47))/($AK47-$AJ47))+N($G47)*IF($AM47-$AL47&lt;1,($AL47&gt;Lists!E$22)*($AL47&lt;=Lists!E$21),MAX(0,MIN(Lists!E$21,$AM47)-MAX(Lists!E$22,$AL47))/($AM47-$AL47))))))))</f>
        <v>0</v>
      </c>
      <c r="P47" s="53" t="n">
        <f aca="false">IF($H47=0,0,IF($AP47="X",0,IF($AP47="S",$H47/$AO47*(MIN($AO47,MAX(0,INT((Lists!F$21-N($J47))/7)+1))-MIN($AO47,MAX(0,INT((Lists!F$22-N($J47))/7)+1))),IF($AP47="D",$H47*MAX(0,MIN(Lists!F$21,N($J47)+$AO47)-MAX(Lists!F$22,N($J47)))/$AO47,IF($AP47="M",$H47/$AO47*(IF(Lists!F$21&lt;$J47,0,MIN($AO47,(((YEAR(Lists!F$21)-YEAR($J47))*12+MONTH(Lists!F$21)-MONTH($J47))-(EDATE($J47,((YEAR(Lists!F$21)-YEAR($J47))*12+MONTH(Lists!F$21)-MONTH($J47)))&gt;Lists!F$21)+1)))-IF(Lists!F$22&lt;$J47,0,MIN($AO47,(((YEAR(Lists!F$22)-YEAR($J47))*12+MONTH(Lists!F$22)-MONTH($J47))-(EDATE($J47,((YEAR(Lists!F$22)-YEAR($J47))*12+MONTH(Lists!F$22)-MONTH($J47)))&gt;Lists!F$22)+1)))),IF($AP47="F",IF(N($K47)&lt;=0,0,MIN(MAX(0,$H47),N($K47)*IF(Lists!F$21&lt;$J47,0,(((YEAR(Lists!F$21)-YEAR($J47))*12+MONTH(Lists!F$21)-MONTH($J47))-(EDATE($J47,((YEAR(Lists!F$21)-YEAR($J47))*12+MONTH(Lists!F$21)-MONTH($J47)))&gt;Lists!F$21)+1)))-MIN(MAX(0,$H47),N($K47)*IF(Lists!F$22&lt;$J47,0,(((YEAR(Lists!F$22)-YEAR($J47))*12+MONTH(Lists!F$22)-MONTH($J47))-(EDATE($J47,((YEAR(Lists!F$22)-YEAR($J47))*12+MONTH(Lists!F$22)-MONTH($J47)))&gt;Lists!F$22)+1)))),N($C47)*IF($AE47-$AD47&lt;1,($AD47&gt;Lists!F$22)*($AD47&lt;=Lists!F$21),MAX(0,MIN(Lists!F$21,$AE47)-MAX(Lists!F$22,$AD47))/($AE47-$AD47))+N($D47)*IF($AG47-$AF47&lt;1,($AF47&gt;Lists!F$22)*($AF47&lt;=Lists!F$21),MAX(0,MIN(Lists!F$21,$AG47)-MAX(Lists!F$22,$AF47))/($AG47-$AF47))+N($E47)*IF($AI47-$AH47&lt;1,($AH47&gt;Lists!F$22)*($AH47&lt;=Lists!F$21),MAX(0,MIN(Lists!F$21,$AI47)-MAX(Lists!F$22,$AH47))/($AI47-$AH47))+N($F47)*IF($AK47-$AJ47&lt;1,($AJ47&gt;Lists!F$22)*($AJ47&lt;=Lists!F$21),MAX(0,MIN(Lists!F$21,$AK47)-MAX(Lists!F$22,$AJ47))/($AK47-$AJ47))+N($G47)*IF($AM47-$AL47&lt;1,($AL47&gt;Lists!F$22)*($AL47&lt;=Lists!F$21),MAX(0,MIN(Lists!F$21,$AM47)-MAX(Lists!F$22,$AL47))/($AM47-$AL47))))))))</f>
        <v>0</v>
      </c>
      <c r="Q47" s="53" t="n">
        <f aca="false">IF($H47=0,0,IF($AP47="X",0,IF($AP47="S",$H47/$AO47*(MIN($AO47,MAX(0,INT((Lists!G$21-N($J47))/7)+1))-MIN($AO47,MAX(0,INT((Lists!G$22-N($J47))/7)+1))),IF($AP47="D",$H47*MAX(0,MIN(Lists!G$21,N($J47)+$AO47)-MAX(Lists!G$22,N($J47)))/$AO47,IF($AP47="M",$H47/$AO47*(IF(Lists!G$21&lt;$J47,0,MIN($AO47,(((YEAR(Lists!G$21)-YEAR($J47))*12+MONTH(Lists!G$21)-MONTH($J47))-(EDATE($J47,((YEAR(Lists!G$21)-YEAR($J47))*12+MONTH(Lists!G$21)-MONTH($J47)))&gt;Lists!G$21)+1)))-IF(Lists!G$22&lt;$J47,0,MIN($AO47,(((YEAR(Lists!G$22)-YEAR($J47))*12+MONTH(Lists!G$22)-MONTH($J47))-(EDATE($J47,((YEAR(Lists!G$22)-YEAR($J47))*12+MONTH(Lists!G$22)-MONTH($J47)))&gt;Lists!G$22)+1)))),IF($AP47="F",IF(N($K47)&lt;=0,0,MIN(MAX(0,$H47),N($K47)*IF(Lists!G$21&lt;$J47,0,(((YEAR(Lists!G$21)-YEAR($J47))*12+MONTH(Lists!G$21)-MONTH($J47))-(EDATE($J47,((YEAR(Lists!G$21)-YEAR($J47))*12+MONTH(Lists!G$21)-MONTH($J47)))&gt;Lists!G$21)+1)))-MIN(MAX(0,$H47),N($K47)*IF(Lists!G$22&lt;$J47,0,(((YEAR(Lists!G$22)-YEAR($J47))*12+MONTH(Lists!G$22)-MONTH($J47))-(EDATE($J47,((YEAR(Lists!G$22)-YEAR($J47))*12+MONTH(Lists!G$22)-MONTH($J47)))&gt;Lists!G$22)+1)))),N($C47)*IF($AE47-$AD47&lt;1,($AD47&gt;Lists!G$22)*($AD47&lt;=Lists!G$21),MAX(0,MIN(Lists!G$21,$AE47)-MAX(Lists!G$22,$AD47))/($AE47-$AD47))+N($D47)*IF($AG47-$AF47&lt;1,($AF47&gt;Lists!G$22)*($AF47&lt;=Lists!G$21),MAX(0,MIN(Lists!G$21,$AG47)-MAX(Lists!G$22,$AF47))/($AG47-$AF47))+N($E47)*IF($AI47-$AH47&lt;1,($AH47&gt;Lists!G$22)*($AH47&lt;=Lists!G$21),MAX(0,MIN(Lists!G$21,$AI47)-MAX(Lists!G$22,$AH47))/($AI47-$AH47))+N($F47)*IF($AK47-$AJ47&lt;1,($AJ47&gt;Lists!G$22)*($AJ47&lt;=Lists!G$21),MAX(0,MIN(Lists!G$21,$AK47)-MAX(Lists!G$22,$AJ47))/($AK47-$AJ47))+N($G47)*IF($AM47-$AL47&lt;1,($AL47&gt;Lists!G$22)*($AL47&lt;=Lists!G$21),MAX(0,MIN(Lists!G$21,$AM47)-MAX(Lists!G$22,$AL47))/($AM47-$AL47))))))))</f>
        <v>0</v>
      </c>
      <c r="R47" s="53" t="n">
        <f aca="false">IF($H47=0,0,IF($AP47="X",0,IF($AP47="S",$H47/$AO47*(MIN($AO47,MAX(0,INT((Lists!H$21-N($J47))/7)+1))-MIN($AO47,MAX(0,INT((Lists!H$22-N($J47))/7)+1))),IF($AP47="D",$H47*MAX(0,MIN(Lists!H$21,N($J47)+$AO47)-MAX(Lists!H$22,N($J47)))/$AO47,IF($AP47="M",$H47/$AO47*(IF(Lists!H$21&lt;$J47,0,MIN($AO47,(((YEAR(Lists!H$21)-YEAR($J47))*12+MONTH(Lists!H$21)-MONTH($J47))-(EDATE($J47,((YEAR(Lists!H$21)-YEAR($J47))*12+MONTH(Lists!H$21)-MONTH($J47)))&gt;Lists!H$21)+1)))-IF(Lists!H$22&lt;$J47,0,MIN($AO47,(((YEAR(Lists!H$22)-YEAR($J47))*12+MONTH(Lists!H$22)-MONTH($J47))-(EDATE($J47,((YEAR(Lists!H$22)-YEAR($J47))*12+MONTH(Lists!H$22)-MONTH($J47)))&gt;Lists!H$22)+1)))),IF($AP47="F",IF(N($K47)&lt;=0,0,MIN(MAX(0,$H47),N($K47)*IF(Lists!H$21&lt;$J47,0,(((YEAR(Lists!H$21)-YEAR($J47))*12+MONTH(Lists!H$21)-MONTH($J47))-(EDATE($J47,((YEAR(Lists!H$21)-YEAR($J47))*12+MONTH(Lists!H$21)-MONTH($J47)))&gt;Lists!H$21)+1)))-MIN(MAX(0,$H47),N($K47)*IF(Lists!H$22&lt;$J47,0,(((YEAR(Lists!H$22)-YEAR($J47))*12+MONTH(Lists!H$22)-MONTH($J47))-(EDATE($J47,((YEAR(Lists!H$22)-YEAR($J47))*12+MONTH(Lists!H$22)-MONTH($J47)))&gt;Lists!H$22)+1)))),N($C47)*IF($AE47-$AD47&lt;1,($AD47&gt;Lists!H$22)*($AD47&lt;=Lists!H$21),MAX(0,MIN(Lists!H$21,$AE47)-MAX(Lists!H$22,$AD47))/($AE47-$AD47))+N($D47)*IF($AG47-$AF47&lt;1,($AF47&gt;Lists!H$22)*($AF47&lt;=Lists!H$21),MAX(0,MIN(Lists!H$21,$AG47)-MAX(Lists!H$22,$AF47))/($AG47-$AF47))+N($E47)*IF($AI47-$AH47&lt;1,($AH47&gt;Lists!H$22)*($AH47&lt;=Lists!H$21),MAX(0,MIN(Lists!H$21,$AI47)-MAX(Lists!H$22,$AH47))/($AI47-$AH47))+N($F47)*IF($AK47-$AJ47&lt;1,($AJ47&gt;Lists!H$22)*($AJ47&lt;=Lists!H$21),MAX(0,MIN(Lists!H$21,$AK47)-MAX(Lists!H$22,$AJ47))/($AK47-$AJ47))+N($G47)*IF($AM47-$AL47&lt;1,($AL47&gt;Lists!H$22)*($AL47&lt;=Lists!H$21),MAX(0,MIN(Lists!H$21,$AM47)-MAX(Lists!H$22,$AL47))/($AM47-$AL47))))))))</f>
        <v>0</v>
      </c>
      <c r="S47" s="53" t="n">
        <f aca="false">IF($H47=0,0,IF($AP47="X",0,IF($AP47="S",$H47/$AO47*(MIN($AO47,MAX(0,INT((Lists!I$21-N($J47))/7)+1))-MIN($AO47,MAX(0,INT((Lists!I$22-N($J47))/7)+1))),IF($AP47="D",$H47*MAX(0,MIN(Lists!I$21,N($J47)+$AO47)-MAX(Lists!I$22,N($J47)))/$AO47,IF($AP47="M",$H47/$AO47*(IF(Lists!I$21&lt;$J47,0,MIN($AO47,(((YEAR(Lists!I$21)-YEAR($J47))*12+MONTH(Lists!I$21)-MONTH($J47))-(EDATE($J47,((YEAR(Lists!I$21)-YEAR($J47))*12+MONTH(Lists!I$21)-MONTH($J47)))&gt;Lists!I$21)+1)))-IF(Lists!I$22&lt;$J47,0,MIN($AO47,(((YEAR(Lists!I$22)-YEAR($J47))*12+MONTH(Lists!I$22)-MONTH($J47))-(EDATE($J47,((YEAR(Lists!I$22)-YEAR($J47))*12+MONTH(Lists!I$22)-MONTH($J47)))&gt;Lists!I$22)+1)))),IF($AP47="F",IF(N($K47)&lt;=0,0,MIN(MAX(0,$H47),N($K47)*IF(Lists!I$21&lt;$J47,0,(((YEAR(Lists!I$21)-YEAR($J47))*12+MONTH(Lists!I$21)-MONTH($J47))-(EDATE($J47,((YEAR(Lists!I$21)-YEAR($J47))*12+MONTH(Lists!I$21)-MONTH($J47)))&gt;Lists!I$21)+1)))-MIN(MAX(0,$H47),N($K47)*IF(Lists!I$22&lt;$J47,0,(((YEAR(Lists!I$22)-YEAR($J47))*12+MONTH(Lists!I$22)-MONTH($J47))-(EDATE($J47,((YEAR(Lists!I$22)-YEAR($J47))*12+MONTH(Lists!I$22)-MONTH($J47)))&gt;Lists!I$22)+1)))),N($C47)*IF($AE47-$AD47&lt;1,($AD47&gt;Lists!I$22)*($AD47&lt;=Lists!I$21),MAX(0,MIN(Lists!I$21,$AE47)-MAX(Lists!I$22,$AD47))/($AE47-$AD47))+N($D47)*IF($AG47-$AF47&lt;1,($AF47&gt;Lists!I$22)*($AF47&lt;=Lists!I$21),MAX(0,MIN(Lists!I$21,$AG47)-MAX(Lists!I$22,$AF47))/($AG47-$AF47))+N($E47)*IF($AI47-$AH47&lt;1,($AH47&gt;Lists!I$22)*($AH47&lt;=Lists!I$21),MAX(0,MIN(Lists!I$21,$AI47)-MAX(Lists!I$22,$AH47))/($AI47-$AH47))+N($F47)*IF($AK47-$AJ47&lt;1,($AJ47&gt;Lists!I$22)*($AJ47&lt;=Lists!I$21),MAX(0,MIN(Lists!I$21,$AK47)-MAX(Lists!I$22,$AJ47))/($AK47-$AJ47))+N($G47)*IF($AM47-$AL47&lt;1,($AL47&gt;Lists!I$22)*($AL47&lt;=Lists!I$21),MAX(0,MIN(Lists!I$21,$AM47)-MAX(Lists!I$22,$AL47))/($AM47-$AL47))))))))</f>
        <v>0</v>
      </c>
      <c r="T47" s="53" t="n">
        <f aca="false">IF($H47=0,0,IF($AP47="X",0,IF($AP47="S",$H47/$AO47*(MIN($AO47,MAX(0,INT((Lists!J$21-N($J47))/7)+1))-MIN($AO47,MAX(0,INT((Lists!J$22-N($J47))/7)+1))),IF($AP47="D",$H47*MAX(0,MIN(Lists!J$21,N($J47)+$AO47)-MAX(Lists!J$22,N($J47)))/$AO47,IF($AP47="M",$H47/$AO47*(IF(Lists!J$21&lt;$J47,0,MIN($AO47,(((YEAR(Lists!J$21)-YEAR($J47))*12+MONTH(Lists!J$21)-MONTH($J47))-(EDATE($J47,((YEAR(Lists!J$21)-YEAR($J47))*12+MONTH(Lists!J$21)-MONTH($J47)))&gt;Lists!J$21)+1)))-IF(Lists!J$22&lt;$J47,0,MIN($AO47,(((YEAR(Lists!J$22)-YEAR($J47))*12+MONTH(Lists!J$22)-MONTH($J47))-(EDATE($J47,((YEAR(Lists!J$22)-YEAR($J47))*12+MONTH(Lists!J$22)-MONTH($J47)))&gt;Lists!J$22)+1)))),IF($AP47="F",IF(N($K47)&lt;=0,0,MIN(MAX(0,$H47),N($K47)*IF(Lists!J$21&lt;$J47,0,(((YEAR(Lists!J$21)-YEAR($J47))*12+MONTH(Lists!J$21)-MONTH($J47))-(EDATE($J47,((YEAR(Lists!J$21)-YEAR($J47))*12+MONTH(Lists!J$21)-MONTH($J47)))&gt;Lists!J$21)+1)))-MIN(MAX(0,$H47),N($K47)*IF(Lists!J$22&lt;$J47,0,(((YEAR(Lists!J$22)-YEAR($J47))*12+MONTH(Lists!J$22)-MONTH($J47))-(EDATE($J47,((YEAR(Lists!J$22)-YEAR($J47))*12+MONTH(Lists!J$22)-MONTH($J47)))&gt;Lists!J$22)+1)))),N($C47)*IF($AE47-$AD47&lt;1,($AD47&gt;Lists!J$22)*($AD47&lt;=Lists!J$21),MAX(0,MIN(Lists!J$21,$AE47)-MAX(Lists!J$22,$AD47))/($AE47-$AD47))+N($D47)*IF($AG47-$AF47&lt;1,($AF47&gt;Lists!J$22)*($AF47&lt;=Lists!J$21),MAX(0,MIN(Lists!J$21,$AG47)-MAX(Lists!J$22,$AF47))/($AG47-$AF47))+N($E47)*IF($AI47-$AH47&lt;1,($AH47&gt;Lists!J$22)*($AH47&lt;=Lists!J$21),MAX(0,MIN(Lists!J$21,$AI47)-MAX(Lists!J$22,$AH47))/($AI47-$AH47))+N($F47)*IF($AK47-$AJ47&lt;1,($AJ47&gt;Lists!J$22)*($AJ47&lt;=Lists!J$21),MAX(0,MIN(Lists!J$21,$AK47)-MAX(Lists!J$22,$AJ47))/($AK47-$AJ47))+N($G47)*IF($AM47-$AL47&lt;1,($AL47&gt;Lists!J$22)*($AL47&lt;=Lists!J$21),MAX(0,MIN(Lists!J$21,$AM47)-MAX(Lists!J$22,$AL47))/($AM47-$AL47))))))))</f>
        <v>0</v>
      </c>
      <c r="U47" s="53" t="n">
        <f aca="false">IF($H47=0,0,IF($AP47="X",0,IF($AP47="S",$H47/$AO47*(MIN($AO47,MAX(0,INT((Lists!K$21-N($J47))/7)+1))-MIN($AO47,MAX(0,INT((Lists!K$22-N($J47))/7)+1))),IF($AP47="D",$H47*MAX(0,MIN(Lists!K$21,N($J47)+$AO47)-MAX(Lists!K$22,N($J47)))/$AO47,IF($AP47="M",$H47/$AO47*(IF(Lists!K$21&lt;$J47,0,MIN($AO47,(((YEAR(Lists!K$21)-YEAR($J47))*12+MONTH(Lists!K$21)-MONTH($J47))-(EDATE($J47,((YEAR(Lists!K$21)-YEAR($J47))*12+MONTH(Lists!K$21)-MONTH($J47)))&gt;Lists!K$21)+1)))-IF(Lists!K$22&lt;$J47,0,MIN($AO47,(((YEAR(Lists!K$22)-YEAR($J47))*12+MONTH(Lists!K$22)-MONTH($J47))-(EDATE($J47,((YEAR(Lists!K$22)-YEAR($J47))*12+MONTH(Lists!K$22)-MONTH($J47)))&gt;Lists!K$22)+1)))),IF($AP47="F",IF(N($K47)&lt;=0,0,MIN(MAX(0,$H47),N($K47)*IF(Lists!K$21&lt;$J47,0,(((YEAR(Lists!K$21)-YEAR($J47))*12+MONTH(Lists!K$21)-MONTH($J47))-(EDATE($J47,((YEAR(Lists!K$21)-YEAR($J47))*12+MONTH(Lists!K$21)-MONTH($J47)))&gt;Lists!K$21)+1)))-MIN(MAX(0,$H47),N($K47)*IF(Lists!K$22&lt;$J47,0,(((YEAR(Lists!K$22)-YEAR($J47))*12+MONTH(Lists!K$22)-MONTH($J47))-(EDATE($J47,((YEAR(Lists!K$22)-YEAR($J47))*12+MONTH(Lists!K$22)-MONTH($J47)))&gt;Lists!K$22)+1)))),N($C47)*IF($AE47-$AD47&lt;1,($AD47&gt;Lists!K$22)*($AD47&lt;=Lists!K$21),MAX(0,MIN(Lists!K$21,$AE47)-MAX(Lists!K$22,$AD47))/($AE47-$AD47))+N($D47)*IF($AG47-$AF47&lt;1,($AF47&gt;Lists!K$22)*($AF47&lt;=Lists!K$21),MAX(0,MIN(Lists!K$21,$AG47)-MAX(Lists!K$22,$AF47))/($AG47-$AF47))+N($E47)*IF($AI47-$AH47&lt;1,($AH47&gt;Lists!K$22)*($AH47&lt;=Lists!K$21),MAX(0,MIN(Lists!K$21,$AI47)-MAX(Lists!K$22,$AH47))/($AI47-$AH47))+N($F47)*IF($AK47-$AJ47&lt;1,($AJ47&gt;Lists!K$22)*($AJ47&lt;=Lists!K$21),MAX(0,MIN(Lists!K$21,$AK47)-MAX(Lists!K$22,$AJ47))/($AK47-$AJ47))+N($G47)*IF($AM47-$AL47&lt;1,($AL47&gt;Lists!K$22)*($AL47&lt;=Lists!K$21),MAX(0,MIN(Lists!K$21,$AM47)-MAX(Lists!K$22,$AL47))/($AM47-$AL47))))))))</f>
        <v>0</v>
      </c>
      <c r="V47" s="53" t="n">
        <f aca="false">IF($H47=0,0,IF($AP47="X",0,IF($AP47="S",$H47/$AO47*(MIN($AO47,MAX(0,INT((Lists!L$21-N($J47))/7)+1))-MIN($AO47,MAX(0,INT((Lists!L$22-N($J47))/7)+1))),IF($AP47="D",$H47*MAX(0,MIN(Lists!L$21,N($J47)+$AO47)-MAX(Lists!L$22,N($J47)))/$AO47,IF($AP47="M",$H47/$AO47*(IF(Lists!L$21&lt;$J47,0,MIN($AO47,(((YEAR(Lists!L$21)-YEAR($J47))*12+MONTH(Lists!L$21)-MONTH($J47))-(EDATE($J47,((YEAR(Lists!L$21)-YEAR($J47))*12+MONTH(Lists!L$21)-MONTH($J47)))&gt;Lists!L$21)+1)))-IF(Lists!L$22&lt;$J47,0,MIN($AO47,(((YEAR(Lists!L$22)-YEAR($J47))*12+MONTH(Lists!L$22)-MONTH($J47))-(EDATE($J47,((YEAR(Lists!L$22)-YEAR($J47))*12+MONTH(Lists!L$22)-MONTH($J47)))&gt;Lists!L$22)+1)))),IF($AP47="F",IF(N($K47)&lt;=0,0,MIN(MAX(0,$H47),N($K47)*IF(Lists!L$21&lt;$J47,0,(((YEAR(Lists!L$21)-YEAR($J47))*12+MONTH(Lists!L$21)-MONTH($J47))-(EDATE($J47,((YEAR(Lists!L$21)-YEAR($J47))*12+MONTH(Lists!L$21)-MONTH($J47)))&gt;Lists!L$21)+1)))-MIN(MAX(0,$H47),N($K47)*IF(Lists!L$22&lt;$J47,0,(((YEAR(Lists!L$22)-YEAR($J47))*12+MONTH(Lists!L$22)-MONTH($J47))-(EDATE($J47,((YEAR(Lists!L$22)-YEAR($J47))*12+MONTH(Lists!L$22)-MONTH($J47)))&gt;Lists!L$22)+1)))),N($C47)*IF($AE47-$AD47&lt;1,($AD47&gt;Lists!L$22)*($AD47&lt;=Lists!L$21),MAX(0,MIN(Lists!L$21,$AE47)-MAX(Lists!L$22,$AD47))/($AE47-$AD47))+N($D47)*IF($AG47-$AF47&lt;1,($AF47&gt;Lists!L$22)*($AF47&lt;=Lists!L$21),MAX(0,MIN(Lists!L$21,$AG47)-MAX(Lists!L$22,$AF47))/($AG47-$AF47))+N($E47)*IF($AI47-$AH47&lt;1,($AH47&gt;Lists!L$22)*($AH47&lt;=Lists!L$21),MAX(0,MIN(Lists!L$21,$AI47)-MAX(Lists!L$22,$AH47))/($AI47-$AH47))+N($F47)*IF($AK47-$AJ47&lt;1,($AJ47&gt;Lists!L$22)*($AJ47&lt;=Lists!L$21),MAX(0,MIN(Lists!L$21,$AK47)-MAX(Lists!L$22,$AJ47))/($AK47-$AJ47))+N($G47)*IF($AM47-$AL47&lt;1,($AL47&gt;Lists!L$22)*($AL47&lt;=Lists!L$21),MAX(0,MIN(Lists!L$21,$AM47)-MAX(Lists!L$22,$AL47))/($AM47-$AL47))))))))</f>
        <v>0</v>
      </c>
      <c r="W47" s="53" t="n">
        <f aca="false">IF($H47=0,0,IF($AP47="X",0,IF($AP47="S",$H47/$AO47*(MIN($AO47,MAX(0,INT((Lists!M$21-N($J47))/7)+1))-MIN($AO47,MAX(0,INT((Lists!M$22-N($J47))/7)+1))),IF($AP47="D",$H47*MAX(0,MIN(Lists!M$21,N($J47)+$AO47)-MAX(Lists!M$22,N($J47)))/$AO47,IF($AP47="M",$H47/$AO47*(IF(Lists!M$21&lt;$J47,0,MIN($AO47,(((YEAR(Lists!M$21)-YEAR($J47))*12+MONTH(Lists!M$21)-MONTH($J47))-(EDATE($J47,((YEAR(Lists!M$21)-YEAR($J47))*12+MONTH(Lists!M$21)-MONTH($J47)))&gt;Lists!M$21)+1)))-IF(Lists!M$22&lt;$J47,0,MIN($AO47,(((YEAR(Lists!M$22)-YEAR($J47))*12+MONTH(Lists!M$22)-MONTH($J47))-(EDATE($J47,((YEAR(Lists!M$22)-YEAR($J47))*12+MONTH(Lists!M$22)-MONTH($J47)))&gt;Lists!M$22)+1)))),IF($AP47="F",IF(N($K47)&lt;=0,0,MIN(MAX(0,$H47),N($K47)*IF(Lists!M$21&lt;$J47,0,(((YEAR(Lists!M$21)-YEAR($J47))*12+MONTH(Lists!M$21)-MONTH($J47))-(EDATE($J47,((YEAR(Lists!M$21)-YEAR($J47))*12+MONTH(Lists!M$21)-MONTH($J47)))&gt;Lists!M$21)+1)))-MIN(MAX(0,$H47),N($K47)*IF(Lists!M$22&lt;$J47,0,(((YEAR(Lists!M$22)-YEAR($J47))*12+MONTH(Lists!M$22)-MONTH($J47))-(EDATE($J47,((YEAR(Lists!M$22)-YEAR($J47))*12+MONTH(Lists!M$22)-MONTH($J47)))&gt;Lists!M$22)+1)))),N($C47)*IF($AE47-$AD47&lt;1,($AD47&gt;Lists!M$22)*($AD47&lt;=Lists!M$21),MAX(0,MIN(Lists!M$21,$AE47)-MAX(Lists!M$22,$AD47))/($AE47-$AD47))+N($D47)*IF($AG47-$AF47&lt;1,($AF47&gt;Lists!M$22)*($AF47&lt;=Lists!M$21),MAX(0,MIN(Lists!M$21,$AG47)-MAX(Lists!M$22,$AF47))/($AG47-$AF47))+N($E47)*IF($AI47-$AH47&lt;1,($AH47&gt;Lists!M$22)*($AH47&lt;=Lists!M$21),MAX(0,MIN(Lists!M$21,$AI47)-MAX(Lists!M$22,$AH47))/($AI47-$AH47))+N($F47)*IF($AK47-$AJ47&lt;1,($AJ47&gt;Lists!M$22)*($AJ47&lt;=Lists!M$21),MAX(0,MIN(Lists!M$21,$AK47)-MAX(Lists!M$22,$AJ47))/($AK47-$AJ47))+N($G47)*IF($AM47-$AL47&lt;1,($AL47&gt;Lists!M$22)*($AL47&lt;=Lists!M$21),MAX(0,MIN(Lists!M$21,$AM47)-MAX(Lists!M$22,$AL47))/($AM47-$AL47))))))))</f>
        <v>0</v>
      </c>
      <c r="X47" s="53" t="n">
        <f aca="false">IF($H47=0,0,IF($AP47="X",0,IF($AP47="S",$H47/$AO47*(MIN($AO47,MAX(0,INT((Lists!N$21-N($J47))/7)+1))-MIN($AO47,MAX(0,INT((Lists!N$22-N($J47))/7)+1))),IF($AP47="D",$H47*MAX(0,MIN(Lists!N$21,N($J47)+$AO47)-MAX(Lists!N$22,N($J47)))/$AO47,IF($AP47="M",$H47/$AO47*(IF(Lists!N$21&lt;$J47,0,MIN($AO47,(((YEAR(Lists!N$21)-YEAR($J47))*12+MONTH(Lists!N$21)-MONTH($J47))-(EDATE($J47,((YEAR(Lists!N$21)-YEAR($J47))*12+MONTH(Lists!N$21)-MONTH($J47)))&gt;Lists!N$21)+1)))-IF(Lists!N$22&lt;$J47,0,MIN($AO47,(((YEAR(Lists!N$22)-YEAR($J47))*12+MONTH(Lists!N$22)-MONTH($J47))-(EDATE($J47,((YEAR(Lists!N$22)-YEAR($J47))*12+MONTH(Lists!N$22)-MONTH($J47)))&gt;Lists!N$22)+1)))),IF($AP47="F",IF(N($K47)&lt;=0,0,MIN(MAX(0,$H47),N($K47)*IF(Lists!N$21&lt;$J47,0,(((YEAR(Lists!N$21)-YEAR($J47))*12+MONTH(Lists!N$21)-MONTH($J47))-(EDATE($J47,((YEAR(Lists!N$21)-YEAR($J47))*12+MONTH(Lists!N$21)-MONTH($J47)))&gt;Lists!N$21)+1)))-MIN(MAX(0,$H47),N($K47)*IF(Lists!N$22&lt;$J47,0,(((YEAR(Lists!N$22)-YEAR($J47))*12+MONTH(Lists!N$22)-MONTH($J47))-(EDATE($J47,((YEAR(Lists!N$22)-YEAR($J47))*12+MONTH(Lists!N$22)-MONTH($J47)))&gt;Lists!N$22)+1)))),N($C47)*IF($AE47-$AD47&lt;1,($AD47&gt;Lists!N$22)*($AD47&lt;=Lists!N$21),MAX(0,MIN(Lists!N$21,$AE47)-MAX(Lists!N$22,$AD47))/($AE47-$AD47))+N($D47)*IF($AG47-$AF47&lt;1,($AF47&gt;Lists!N$22)*($AF47&lt;=Lists!N$21),MAX(0,MIN(Lists!N$21,$AG47)-MAX(Lists!N$22,$AF47))/($AG47-$AF47))+N($E47)*IF($AI47-$AH47&lt;1,($AH47&gt;Lists!N$22)*($AH47&lt;=Lists!N$21),MAX(0,MIN(Lists!N$21,$AI47)-MAX(Lists!N$22,$AH47))/($AI47-$AH47))+N($F47)*IF($AK47-$AJ47&lt;1,($AJ47&gt;Lists!N$22)*($AJ47&lt;=Lists!N$21),MAX(0,MIN(Lists!N$21,$AK47)-MAX(Lists!N$22,$AJ47))/($AK47-$AJ47))+N($G47)*IF($AM47-$AL47&lt;1,($AL47&gt;Lists!N$22)*($AL47&lt;=Lists!N$21),MAX(0,MIN(Lists!N$21,$AM47)-MAX(Lists!N$22,$AL47))/($AM47-$AL47))))))))</f>
        <v>0</v>
      </c>
      <c r="Y47" s="53" t="n">
        <f aca="false">IF($H47=0,0,IF($AP47="X",0,IF($AP47="S",$H47/$AO47*(MIN($AO47,MAX(0,INT((Lists!O$21-N($J47))/7)+1))-MIN($AO47,MAX(0,INT((Lists!O$22-N($J47))/7)+1))),IF($AP47="D",$H47*MAX(0,MIN(Lists!O$21,N($J47)+$AO47)-MAX(Lists!O$22,N($J47)))/$AO47,IF($AP47="M",$H47/$AO47*(IF(Lists!O$21&lt;$J47,0,MIN($AO47,(((YEAR(Lists!O$21)-YEAR($J47))*12+MONTH(Lists!O$21)-MONTH($J47))-(EDATE($J47,((YEAR(Lists!O$21)-YEAR($J47))*12+MONTH(Lists!O$21)-MONTH($J47)))&gt;Lists!O$21)+1)))-IF(Lists!O$22&lt;$J47,0,MIN($AO47,(((YEAR(Lists!O$22)-YEAR($J47))*12+MONTH(Lists!O$22)-MONTH($J47))-(EDATE($J47,((YEAR(Lists!O$22)-YEAR($J47))*12+MONTH(Lists!O$22)-MONTH($J47)))&gt;Lists!O$22)+1)))),IF($AP47="F",IF(N($K47)&lt;=0,0,MIN(MAX(0,$H47),N($K47)*IF(Lists!O$21&lt;$J47,0,(((YEAR(Lists!O$21)-YEAR($J47))*12+MONTH(Lists!O$21)-MONTH($J47))-(EDATE($J47,((YEAR(Lists!O$21)-YEAR($J47))*12+MONTH(Lists!O$21)-MONTH($J47)))&gt;Lists!O$21)+1)))-MIN(MAX(0,$H47),N($K47)*IF(Lists!O$22&lt;$J47,0,(((YEAR(Lists!O$22)-YEAR($J47))*12+MONTH(Lists!O$22)-MONTH($J47))-(EDATE($J47,((YEAR(Lists!O$22)-YEAR($J47))*12+MONTH(Lists!O$22)-MONTH($J47)))&gt;Lists!O$22)+1)))),N($C47)*IF($AE47-$AD47&lt;1,($AD47&gt;Lists!O$22)*($AD47&lt;=Lists!O$21),MAX(0,MIN(Lists!O$21,$AE47)-MAX(Lists!O$22,$AD47))/($AE47-$AD47))+N($D47)*IF($AG47-$AF47&lt;1,($AF47&gt;Lists!O$22)*($AF47&lt;=Lists!O$21),MAX(0,MIN(Lists!O$21,$AG47)-MAX(Lists!O$22,$AF47))/($AG47-$AF47))+N($E47)*IF($AI47-$AH47&lt;1,($AH47&gt;Lists!O$22)*($AH47&lt;=Lists!O$21),MAX(0,MIN(Lists!O$21,$AI47)-MAX(Lists!O$22,$AH47))/($AI47-$AH47))+N($F47)*IF($AK47-$AJ47&lt;1,($AJ47&gt;Lists!O$22)*($AJ47&lt;=Lists!O$21),MAX(0,MIN(Lists!O$21,$AK47)-MAX(Lists!O$22,$AJ47))/($AK47-$AJ47))+N($G47)*IF($AM47-$AL47&lt;1,($AL47&gt;Lists!O$22)*($AL47&lt;=Lists!O$21),MAX(0,MIN(Lists!O$21,$AM47)-MAX(Lists!O$22,$AL47))/($AM47-$AL47))))))))</f>
        <v>0</v>
      </c>
      <c r="Z47" s="46" t="n">
        <f aca="false">SUM(M47:Y47)</f>
        <v>0</v>
      </c>
      <c r="AA47" s="92" t="n">
        <f aca="false">H47-Z47</f>
        <v>0</v>
      </c>
      <c r="AB47" s="55"/>
      <c r="AC47" s="2"/>
      <c r="AD47" s="93" t="n">
        <f aca="false">Setup!$D$10+MAX(0,$AN47-30)</f>
        <v>46365</v>
      </c>
      <c r="AE47" s="93" t="n">
        <f aca="false">Setup!$D$10+IF($AN47-30&lt;0,MAX(Setup!$D$22,$AN47-0),$AN47-0)</f>
        <v>46395</v>
      </c>
      <c r="AF47" s="93" t="n">
        <f aca="false">Setup!$D$10+MAX(0,$AN47-60)</f>
        <v>46335</v>
      </c>
      <c r="AG47" s="93" t="n">
        <f aca="false">Setup!$D$10+IF($AN47-60&lt;0,MAX(Setup!$D$22,$AN47-31),$AN47-31)</f>
        <v>46364</v>
      </c>
      <c r="AH47" s="93" t="n">
        <f aca="false">Setup!$D$10+MAX(0,$AN47-90)</f>
        <v>46335</v>
      </c>
      <c r="AI47" s="93" t="n">
        <f aca="false">Setup!$D$10+IF($AN47-90&lt;0,MAX(Setup!$D$22,$AN47-61),$AN47-61)</f>
        <v>46363</v>
      </c>
      <c r="AJ47" s="93" t="n">
        <f aca="false">Setup!$D$10+MAX(0,$AN47-120)</f>
        <v>46335</v>
      </c>
      <c r="AK47" s="93" t="n">
        <f aca="false">Setup!$D$10+IF($AN47-120&lt;0,MAX(Setup!$D$22,$AN47-91),$AN47-91)</f>
        <v>46363</v>
      </c>
      <c r="AL47" s="93" t="n">
        <f aca="false">IF(Setup!$D$23="Yes",2958465,Setup!$D$10)</f>
        <v>2958465</v>
      </c>
      <c r="AM47" s="93" t="n">
        <f aca="false">IF(AL47=2958465,AL47,Setup!$D$10+Setup!$D$22)</f>
        <v>2958465</v>
      </c>
      <c r="AN47" s="94" t="n">
        <f aca="false">IF(N(L47)=0,Setup!$D$20,L47)</f>
        <v>60</v>
      </c>
      <c r="AO47" s="94" t="n">
        <f aca="false">MAX(1,ROUND(N(K47),0))</f>
        <v>1</v>
      </c>
      <c r="AP47" s="95" t="str">
        <f aca="false">IF(I47="Doubtful","X",IF(N(J47)=0,"A",IF(I47="Specific date","S",IF(I47="Spread over days","D",IF(I47="Monthly on set day","M",IF(I47="Monthly fixed amount","F","A"))))))</f>
        <v>A</v>
      </c>
    </row>
    <row r="48" customFormat="false" ht="15" hidden="false" customHeight="false" outlineLevel="0" collapsed="false">
      <c r="A48" s="87" t="n">
        <v>40</v>
      </c>
      <c r="B48" s="55"/>
      <c r="C48" s="88"/>
      <c r="D48" s="88"/>
      <c r="E48" s="88"/>
      <c r="F48" s="88"/>
      <c r="G48" s="88"/>
      <c r="H48" s="89" t="n">
        <f aca="false">SUM(C48:G48)</f>
        <v>0</v>
      </c>
      <c r="I48" s="58"/>
      <c r="J48" s="90"/>
      <c r="K48" s="91"/>
      <c r="L48" s="80"/>
      <c r="M48" s="53" t="n">
        <f aca="false">IF($H48=0,0,IF($AP48="X",0,IF($AP48="S",$H48/$AO48*(MIN($AO48,MAX(0,INT((Lists!C$21-N($J48))/7)+1))-MIN($AO48,MAX(0,INT((Lists!C$22-N($J48))/7)+1))),IF($AP48="D",$H48*MAX(0,MIN(Lists!C$21,N($J48)+$AO48)-MAX(Lists!C$22,N($J48)))/$AO48,IF($AP48="M",$H48/$AO48*(IF(Lists!C$21&lt;$J48,0,MIN($AO48,(((YEAR(Lists!C$21)-YEAR($J48))*12+MONTH(Lists!C$21)-MONTH($J48))-(EDATE($J48,((YEAR(Lists!C$21)-YEAR($J48))*12+MONTH(Lists!C$21)-MONTH($J48)))&gt;Lists!C$21)+1)))-IF(Lists!C$22&lt;$J48,0,MIN($AO48,(((YEAR(Lists!C$22)-YEAR($J48))*12+MONTH(Lists!C$22)-MONTH($J48))-(EDATE($J48,((YEAR(Lists!C$22)-YEAR($J48))*12+MONTH(Lists!C$22)-MONTH($J48)))&gt;Lists!C$22)+1)))),IF($AP48="F",IF(N($K48)&lt;=0,0,MIN(MAX(0,$H48),N($K48)*IF(Lists!C$21&lt;$J48,0,(((YEAR(Lists!C$21)-YEAR($J48))*12+MONTH(Lists!C$21)-MONTH($J48))-(EDATE($J48,((YEAR(Lists!C$21)-YEAR($J48))*12+MONTH(Lists!C$21)-MONTH($J48)))&gt;Lists!C$21)+1)))-MIN(MAX(0,$H48),N($K48)*IF(Lists!C$22&lt;$J48,0,(((YEAR(Lists!C$22)-YEAR($J48))*12+MONTH(Lists!C$22)-MONTH($J48))-(EDATE($J48,((YEAR(Lists!C$22)-YEAR($J48))*12+MONTH(Lists!C$22)-MONTH($J48)))&gt;Lists!C$22)+1)))),N($C48)*IF($AE48-$AD48&lt;1,($AD48&gt;Lists!C$22)*($AD48&lt;=Lists!C$21),MAX(0,MIN(Lists!C$21,$AE48)-MAX(Lists!C$22,$AD48))/($AE48-$AD48))+N($D48)*IF($AG48-$AF48&lt;1,($AF48&gt;Lists!C$22)*($AF48&lt;=Lists!C$21),MAX(0,MIN(Lists!C$21,$AG48)-MAX(Lists!C$22,$AF48))/($AG48-$AF48))+N($E48)*IF($AI48-$AH48&lt;1,($AH48&gt;Lists!C$22)*($AH48&lt;=Lists!C$21),MAX(0,MIN(Lists!C$21,$AI48)-MAX(Lists!C$22,$AH48))/($AI48-$AH48))+N($F48)*IF($AK48-$AJ48&lt;1,($AJ48&gt;Lists!C$22)*($AJ48&lt;=Lists!C$21),MAX(0,MIN(Lists!C$21,$AK48)-MAX(Lists!C$22,$AJ48))/($AK48-$AJ48))+N($G48)*IF($AM48-$AL48&lt;1,($AL48&gt;Lists!C$22)*($AL48&lt;=Lists!C$21),MAX(0,MIN(Lists!C$21,$AM48)-MAX(Lists!C$22,$AL48))/($AM48-$AL48))))))))</f>
        <v>0</v>
      </c>
      <c r="N48" s="53" t="n">
        <f aca="false">IF($H48=0,0,IF($AP48="X",0,IF($AP48="S",$H48/$AO48*(MIN($AO48,MAX(0,INT((Lists!D$21-N($J48))/7)+1))-MIN($AO48,MAX(0,INT((Lists!D$22-N($J48))/7)+1))),IF($AP48="D",$H48*MAX(0,MIN(Lists!D$21,N($J48)+$AO48)-MAX(Lists!D$22,N($J48)))/$AO48,IF($AP48="M",$H48/$AO48*(IF(Lists!D$21&lt;$J48,0,MIN($AO48,(((YEAR(Lists!D$21)-YEAR($J48))*12+MONTH(Lists!D$21)-MONTH($J48))-(EDATE($J48,((YEAR(Lists!D$21)-YEAR($J48))*12+MONTH(Lists!D$21)-MONTH($J48)))&gt;Lists!D$21)+1)))-IF(Lists!D$22&lt;$J48,0,MIN($AO48,(((YEAR(Lists!D$22)-YEAR($J48))*12+MONTH(Lists!D$22)-MONTH($J48))-(EDATE($J48,((YEAR(Lists!D$22)-YEAR($J48))*12+MONTH(Lists!D$22)-MONTH($J48)))&gt;Lists!D$22)+1)))),IF($AP48="F",IF(N($K48)&lt;=0,0,MIN(MAX(0,$H48),N($K48)*IF(Lists!D$21&lt;$J48,0,(((YEAR(Lists!D$21)-YEAR($J48))*12+MONTH(Lists!D$21)-MONTH($J48))-(EDATE($J48,((YEAR(Lists!D$21)-YEAR($J48))*12+MONTH(Lists!D$21)-MONTH($J48)))&gt;Lists!D$21)+1)))-MIN(MAX(0,$H48),N($K48)*IF(Lists!D$22&lt;$J48,0,(((YEAR(Lists!D$22)-YEAR($J48))*12+MONTH(Lists!D$22)-MONTH($J48))-(EDATE($J48,((YEAR(Lists!D$22)-YEAR($J48))*12+MONTH(Lists!D$22)-MONTH($J48)))&gt;Lists!D$22)+1)))),N($C48)*IF($AE48-$AD48&lt;1,($AD48&gt;Lists!D$22)*($AD48&lt;=Lists!D$21),MAX(0,MIN(Lists!D$21,$AE48)-MAX(Lists!D$22,$AD48))/($AE48-$AD48))+N($D48)*IF($AG48-$AF48&lt;1,($AF48&gt;Lists!D$22)*($AF48&lt;=Lists!D$21),MAX(0,MIN(Lists!D$21,$AG48)-MAX(Lists!D$22,$AF48))/($AG48-$AF48))+N($E48)*IF($AI48-$AH48&lt;1,($AH48&gt;Lists!D$22)*($AH48&lt;=Lists!D$21),MAX(0,MIN(Lists!D$21,$AI48)-MAX(Lists!D$22,$AH48))/($AI48-$AH48))+N($F48)*IF($AK48-$AJ48&lt;1,($AJ48&gt;Lists!D$22)*($AJ48&lt;=Lists!D$21),MAX(0,MIN(Lists!D$21,$AK48)-MAX(Lists!D$22,$AJ48))/($AK48-$AJ48))+N($G48)*IF($AM48-$AL48&lt;1,($AL48&gt;Lists!D$22)*($AL48&lt;=Lists!D$21),MAX(0,MIN(Lists!D$21,$AM48)-MAX(Lists!D$22,$AL48))/($AM48-$AL48))))))))</f>
        <v>0</v>
      </c>
      <c r="O48" s="53" t="n">
        <f aca="false">IF($H48=0,0,IF($AP48="X",0,IF($AP48="S",$H48/$AO48*(MIN($AO48,MAX(0,INT((Lists!E$21-N($J48))/7)+1))-MIN($AO48,MAX(0,INT((Lists!E$22-N($J48))/7)+1))),IF($AP48="D",$H48*MAX(0,MIN(Lists!E$21,N($J48)+$AO48)-MAX(Lists!E$22,N($J48)))/$AO48,IF($AP48="M",$H48/$AO48*(IF(Lists!E$21&lt;$J48,0,MIN($AO48,(((YEAR(Lists!E$21)-YEAR($J48))*12+MONTH(Lists!E$21)-MONTH($J48))-(EDATE($J48,((YEAR(Lists!E$21)-YEAR($J48))*12+MONTH(Lists!E$21)-MONTH($J48)))&gt;Lists!E$21)+1)))-IF(Lists!E$22&lt;$J48,0,MIN($AO48,(((YEAR(Lists!E$22)-YEAR($J48))*12+MONTH(Lists!E$22)-MONTH($J48))-(EDATE($J48,((YEAR(Lists!E$22)-YEAR($J48))*12+MONTH(Lists!E$22)-MONTH($J48)))&gt;Lists!E$22)+1)))),IF($AP48="F",IF(N($K48)&lt;=0,0,MIN(MAX(0,$H48),N($K48)*IF(Lists!E$21&lt;$J48,0,(((YEAR(Lists!E$21)-YEAR($J48))*12+MONTH(Lists!E$21)-MONTH($J48))-(EDATE($J48,((YEAR(Lists!E$21)-YEAR($J48))*12+MONTH(Lists!E$21)-MONTH($J48)))&gt;Lists!E$21)+1)))-MIN(MAX(0,$H48),N($K48)*IF(Lists!E$22&lt;$J48,0,(((YEAR(Lists!E$22)-YEAR($J48))*12+MONTH(Lists!E$22)-MONTH($J48))-(EDATE($J48,((YEAR(Lists!E$22)-YEAR($J48))*12+MONTH(Lists!E$22)-MONTH($J48)))&gt;Lists!E$22)+1)))),N($C48)*IF($AE48-$AD48&lt;1,($AD48&gt;Lists!E$22)*($AD48&lt;=Lists!E$21),MAX(0,MIN(Lists!E$21,$AE48)-MAX(Lists!E$22,$AD48))/($AE48-$AD48))+N($D48)*IF($AG48-$AF48&lt;1,($AF48&gt;Lists!E$22)*($AF48&lt;=Lists!E$21),MAX(0,MIN(Lists!E$21,$AG48)-MAX(Lists!E$22,$AF48))/($AG48-$AF48))+N($E48)*IF($AI48-$AH48&lt;1,($AH48&gt;Lists!E$22)*($AH48&lt;=Lists!E$21),MAX(0,MIN(Lists!E$21,$AI48)-MAX(Lists!E$22,$AH48))/($AI48-$AH48))+N($F48)*IF($AK48-$AJ48&lt;1,($AJ48&gt;Lists!E$22)*($AJ48&lt;=Lists!E$21),MAX(0,MIN(Lists!E$21,$AK48)-MAX(Lists!E$22,$AJ48))/($AK48-$AJ48))+N($G48)*IF($AM48-$AL48&lt;1,($AL48&gt;Lists!E$22)*($AL48&lt;=Lists!E$21),MAX(0,MIN(Lists!E$21,$AM48)-MAX(Lists!E$22,$AL48))/($AM48-$AL48))))))))</f>
        <v>0</v>
      </c>
      <c r="P48" s="53" t="n">
        <f aca="false">IF($H48=0,0,IF($AP48="X",0,IF($AP48="S",$H48/$AO48*(MIN($AO48,MAX(0,INT((Lists!F$21-N($J48))/7)+1))-MIN($AO48,MAX(0,INT((Lists!F$22-N($J48))/7)+1))),IF($AP48="D",$H48*MAX(0,MIN(Lists!F$21,N($J48)+$AO48)-MAX(Lists!F$22,N($J48)))/$AO48,IF($AP48="M",$H48/$AO48*(IF(Lists!F$21&lt;$J48,0,MIN($AO48,(((YEAR(Lists!F$21)-YEAR($J48))*12+MONTH(Lists!F$21)-MONTH($J48))-(EDATE($J48,((YEAR(Lists!F$21)-YEAR($J48))*12+MONTH(Lists!F$21)-MONTH($J48)))&gt;Lists!F$21)+1)))-IF(Lists!F$22&lt;$J48,0,MIN($AO48,(((YEAR(Lists!F$22)-YEAR($J48))*12+MONTH(Lists!F$22)-MONTH($J48))-(EDATE($J48,((YEAR(Lists!F$22)-YEAR($J48))*12+MONTH(Lists!F$22)-MONTH($J48)))&gt;Lists!F$22)+1)))),IF($AP48="F",IF(N($K48)&lt;=0,0,MIN(MAX(0,$H48),N($K48)*IF(Lists!F$21&lt;$J48,0,(((YEAR(Lists!F$21)-YEAR($J48))*12+MONTH(Lists!F$21)-MONTH($J48))-(EDATE($J48,((YEAR(Lists!F$21)-YEAR($J48))*12+MONTH(Lists!F$21)-MONTH($J48)))&gt;Lists!F$21)+1)))-MIN(MAX(0,$H48),N($K48)*IF(Lists!F$22&lt;$J48,0,(((YEAR(Lists!F$22)-YEAR($J48))*12+MONTH(Lists!F$22)-MONTH($J48))-(EDATE($J48,((YEAR(Lists!F$22)-YEAR($J48))*12+MONTH(Lists!F$22)-MONTH($J48)))&gt;Lists!F$22)+1)))),N($C48)*IF($AE48-$AD48&lt;1,($AD48&gt;Lists!F$22)*($AD48&lt;=Lists!F$21),MAX(0,MIN(Lists!F$21,$AE48)-MAX(Lists!F$22,$AD48))/($AE48-$AD48))+N($D48)*IF($AG48-$AF48&lt;1,($AF48&gt;Lists!F$22)*($AF48&lt;=Lists!F$21),MAX(0,MIN(Lists!F$21,$AG48)-MAX(Lists!F$22,$AF48))/($AG48-$AF48))+N($E48)*IF($AI48-$AH48&lt;1,($AH48&gt;Lists!F$22)*($AH48&lt;=Lists!F$21),MAX(0,MIN(Lists!F$21,$AI48)-MAX(Lists!F$22,$AH48))/($AI48-$AH48))+N($F48)*IF($AK48-$AJ48&lt;1,($AJ48&gt;Lists!F$22)*($AJ48&lt;=Lists!F$21),MAX(0,MIN(Lists!F$21,$AK48)-MAX(Lists!F$22,$AJ48))/($AK48-$AJ48))+N($G48)*IF($AM48-$AL48&lt;1,($AL48&gt;Lists!F$22)*($AL48&lt;=Lists!F$21),MAX(0,MIN(Lists!F$21,$AM48)-MAX(Lists!F$22,$AL48))/($AM48-$AL48))))))))</f>
        <v>0</v>
      </c>
      <c r="Q48" s="53" t="n">
        <f aca="false">IF($H48=0,0,IF($AP48="X",0,IF($AP48="S",$H48/$AO48*(MIN($AO48,MAX(0,INT((Lists!G$21-N($J48))/7)+1))-MIN($AO48,MAX(0,INT((Lists!G$22-N($J48))/7)+1))),IF($AP48="D",$H48*MAX(0,MIN(Lists!G$21,N($J48)+$AO48)-MAX(Lists!G$22,N($J48)))/$AO48,IF($AP48="M",$H48/$AO48*(IF(Lists!G$21&lt;$J48,0,MIN($AO48,(((YEAR(Lists!G$21)-YEAR($J48))*12+MONTH(Lists!G$21)-MONTH($J48))-(EDATE($J48,((YEAR(Lists!G$21)-YEAR($J48))*12+MONTH(Lists!G$21)-MONTH($J48)))&gt;Lists!G$21)+1)))-IF(Lists!G$22&lt;$J48,0,MIN($AO48,(((YEAR(Lists!G$22)-YEAR($J48))*12+MONTH(Lists!G$22)-MONTH($J48))-(EDATE($J48,((YEAR(Lists!G$22)-YEAR($J48))*12+MONTH(Lists!G$22)-MONTH($J48)))&gt;Lists!G$22)+1)))),IF($AP48="F",IF(N($K48)&lt;=0,0,MIN(MAX(0,$H48),N($K48)*IF(Lists!G$21&lt;$J48,0,(((YEAR(Lists!G$21)-YEAR($J48))*12+MONTH(Lists!G$21)-MONTH($J48))-(EDATE($J48,((YEAR(Lists!G$21)-YEAR($J48))*12+MONTH(Lists!G$21)-MONTH($J48)))&gt;Lists!G$21)+1)))-MIN(MAX(0,$H48),N($K48)*IF(Lists!G$22&lt;$J48,0,(((YEAR(Lists!G$22)-YEAR($J48))*12+MONTH(Lists!G$22)-MONTH($J48))-(EDATE($J48,((YEAR(Lists!G$22)-YEAR($J48))*12+MONTH(Lists!G$22)-MONTH($J48)))&gt;Lists!G$22)+1)))),N($C48)*IF($AE48-$AD48&lt;1,($AD48&gt;Lists!G$22)*($AD48&lt;=Lists!G$21),MAX(0,MIN(Lists!G$21,$AE48)-MAX(Lists!G$22,$AD48))/($AE48-$AD48))+N($D48)*IF($AG48-$AF48&lt;1,($AF48&gt;Lists!G$22)*($AF48&lt;=Lists!G$21),MAX(0,MIN(Lists!G$21,$AG48)-MAX(Lists!G$22,$AF48))/($AG48-$AF48))+N($E48)*IF($AI48-$AH48&lt;1,($AH48&gt;Lists!G$22)*($AH48&lt;=Lists!G$21),MAX(0,MIN(Lists!G$21,$AI48)-MAX(Lists!G$22,$AH48))/($AI48-$AH48))+N($F48)*IF($AK48-$AJ48&lt;1,($AJ48&gt;Lists!G$22)*($AJ48&lt;=Lists!G$21),MAX(0,MIN(Lists!G$21,$AK48)-MAX(Lists!G$22,$AJ48))/($AK48-$AJ48))+N($G48)*IF($AM48-$AL48&lt;1,($AL48&gt;Lists!G$22)*($AL48&lt;=Lists!G$21),MAX(0,MIN(Lists!G$21,$AM48)-MAX(Lists!G$22,$AL48))/($AM48-$AL48))))))))</f>
        <v>0</v>
      </c>
      <c r="R48" s="53" t="n">
        <f aca="false">IF($H48=0,0,IF($AP48="X",0,IF($AP48="S",$H48/$AO48*(MIN($AO48,MAX(0,INT((Lists!H$21-N($J48))/7)+1))-MIN($AO48,MAX(0,INT((Lists!H$22-N($J48))/7)+1))),IF($AP48="D",$H48*MAX(0,MIN(Lists!H$21,N($J48)+$AO48)-MAX(Lists!H$22,N($J48)))/$AO48,IF($AP48="M",$H48/$AO48*(IF(Lists!H$21&lt;$J48,0,MIN($AO48,(((YEAR(Lists!H$21)-YEAR($J48))*12+MONTH(Lists!H$21)-MONTH($J48))-(EDATE($J48,((YEAR(Lists!H$21)-YEAR($J48))*12+MONTH(Lists!H$21)-MONTH($J48)))&gt;Lists!H$21)+1)))-IF(Lists!H$22&lt;$J48,0,MIN($AO48,(((YEAR(Lists!H$22)-YEAR($J48))*12+MONTH(Lists!H$22)-MONTH($J48))-(EDATE($J48,((YEAR(Lists!H$22)-YEAR($J48))*12+MONTH(Lists!H$22)-MONTH($J48)))&gt;Lists!H$22)+1)))),IF($AP48="F",IF(N($K48)&lt;=0,0,MIN(MAX(0,$H48),N($K48)*IF(Lists!H$21&lt;$J48,0,(((YEAR(Lists!H$21)-YEAR($J48))*12+MONTH(Lists!H$21)-MONTH($J48))-(EDATE($J48,((YEAR(Lists!H$21)-YEAR($J48))*12+MONTH(Lists!H$21)-MONTH($J48)))&gt;Lists!H$21)+1)))-MIN(MAX(0,$H48),N($K48)*IF(Lists!H$22&lt;$J48,0,(((YEAR(Lists!H$22)-YEAR($J48))*12+MONTH(Lists!H$22)-MONTH($J48))-(EDATE($J48,((YEAR(Lists!H$22)-YEAR($J48))*12+MONTH(Lists!H$22)-MONTH($J48)))&gt;Lists!H$22)+1)))),N($C48)*IF($AE48-$AD48&lt;1,($AD48&gt;Lists!H$22)*($AD48&lt;=Lists!H$21),MAX(0,MIN(Lists!H$21,$AE48)-MAX(Lists!H$22,$AD48))/($AE48-$AD48))+N($D48)*IF($AG48-$AF48&lt;1,($AF48&gt;Lists!H$22)*($AF48&lt;=Lists!H$21),MAX(0,MIN(Lists!H$21,$AG48)-MAX(Lists!H$22,$AF48))/($AG48-$AF48))+N($E48)*IF($AI48-$AH48&lt;1,($AH48&gt;Lists!H$22)*($AH48&lt;=Lists!H$21),MAX(0,MIN(Lists!H$21,$AI48)-MAX(Lists!H$22,$AH48))/($AI48-$AH48))+N($F48)*IF($AK48-$AJ48&lt;1,($AJ48&gt;Lists!H$22)*($AJ48&lt;=Lists!H$21),MAX(0,MIN(Lists!H$21,$AK48)-MAX(Lists!H$22,$AJ48))/($AK48-$AJ48))+N($G48)*IF($AM48-$AL48&lt;1,($AL48&gt;Lists!H$22)*($AL48&lt;=Lists!H$21),MAX(0,MIN(Lists!H$21,$AM48)-MAX(Lists!H$22,$AL48))/($AM48-$AL48))))))))</f>
        <v>0</v>
      </c>
      <c r="S48" s="53" t="n">
        <f aca="false">IF($H48=0,0,IF($AP48="X",0,IF($AP48="S",$H48/$AO48*(MIN($AO48,MAX(0,INT((Lists!I$21-N($J48))/7)+1))-MIN($AO48,MAX(0,INT((Lists!I$22-N($J48))/7)+1))),IF($AP48="D",$H48*MAX(0,MIN(Lists!I$21,N($J48)+$AO48)-MAX(Lists!I$22,N($J48)))/$AO48,IF($AP48="M",$H48/$AO48*(IF(Lists!I$21&lt;$J48,0,MIN($AO48,(((YEAR(Lists!I$21)-YEAR($J48))*12+MONTH(Lists!I$21)-MONTH($J48))-(EDATE($J48,((YEAR(Lists!I$21)-YEAR($J48))*12+MONTH(Lists!I$21)-MONTH($J48)))&gt;Lists!I$21)+1)))-IF(Lists!I$22&lt;$J48,0,MIN($AO48,(((YEAR(Lists!I$22)-YEAR($J48))*12+MONTH(Lists!I$22)-MONTH($J48))-(EDATE($J48,((YEAR(Lists!I$22)-YEAR($J48))*12+MONTH(Lists!I$22)-MONTH($J48)))&gt;Lists!I$22)+1)))),IF($AP48="F",IF(N($K48)&lt;=0,0,MIN(MAX(0,$H48),N($K48)*IF(Lists!I$21&lt;$J48,0,(((YEAR(Lists!I$21)-YEAR($J48))*12+MONTH(Lists!I$21)-MONTH($J48))-(EDATE($J48,((YEAR(Lists!I$21)-YEAR($J48))*12+MONTH(Lists!I$21)-MONTH($J48)))&gt;Lists!I$21)+1)))-MIN(MAX(0,$H48),N($K48)*IF(Lists!I$22&lt;$J48,0,(((YEAR(Lists!I$22)-YEAR($J48))*12+MONTH(Lists!I$22)-MONTH($J48))-(EDATE($J48,((YEAR(Lists!I$22)-YEAR($J48))*12+MONTH(Lists!I$22)-MONTH($J48)))&gt;Lists!I$22)+1)))),N($C48)*IF($AE48-$AD48&lt;1,($AD48&gt;Lists!I$22)*($AD48&lt;=Lists!I$21),MAX(0,MIN(Lists!I$21,$AE48)-MAX(Lists!I$22,$AD48))/($AE48-$AD48))+N($D48)*IF($AG48-$AF48&lt;1,($AF48&gt;Lists!I$22)*($AF48&lt;=Lists!I$21),MAX(0,MIN(Lists!I$21,$AG48)-MAX(Lists!I$22,$AF48))/($AG48-$AF48))+N($E48)*IF($AI48-$AH48&lt;1,($AH48&gt;Lists!I$22)*($AH48&lt;=Lists!I$21),MAX(0,MIN(Lists!I$21,$AI48)-MAX(Lists!I$22,$AH48))/($AI48-$AH48))+N($F48)*IF($AK48-$AJ48&lt;1,($AJ48&gt;Lists!I$22)*($AJ48&lt;=Lists!I$21),MAX(0,MIN(Lists!I$21,$AK48)-MAX(Lists!I$22,$AJ48))/($AK48-$AJ48))+N($G48)*IF($AM48-$AL48&lt;1,($AL48&gt;Lists!I$22)*($AL48&lt;=Lists!I$21),MAX(0,MIN(Lists!I$21,$AM48)-MAX(Lists!I$22,$AL48))/($AM48-$AL48))))))))</f>
        <v>0</v>
      </c>
      <c r="T48" s="53" t="n">
        <f aca="false">IF($H48=0,0,IF($AP48="X",0,IF($AP48="S",$H48/$AO48*(MIN($AO48,MAX(0,INT((Lists!J$21-N($J48))/7)+1))-MIN($AO48,MAX(0,INT((Lists!J$22-N($J48))/7)+1))),IF($AP48="D",$H48*MAX(0,MIN(Lists!J$21,N($J48)+$AO48)-MAX(Lists!J$22,N($J48)))/$AO48,IF($AP48="M",$H48/$AO48*(IF(Lists!J$21&lt;$J48,0,MIN($AO48,(((YEAR(Lists!J$21)-YEAR($J48))*12+MONTH(Lists!J$21)-MONTH($J48))-(EDATE($J48,((YEAR(Lists!J$21)-YEAR($J48))*12+MONTH(Lists!J$21)-MONTH($J48)))&gt;Lists!J$21)+1)))-IF(Lists!J$22&lt;$J48,0,MIN($AO48,(((YEAR(Lists!J$22)-YEAR($J48))*12+MONTH(Lists!J$22)-MONTH($J48))-(EDATE($J48,((YEAR(Lists!J$22)-YEAR($J48))*12+MONTH(Lists!J$22)-MONTH($J48)))&gt;Lists!J$22)+1)))),IF($AP48="F",IF(N($K48)&lt;=0,0,MIN(MAX(0,$H48),N($K48)*IF(Lists!J$21&lt;$J48,0,(((YEAR(Lists!J$21)-YEAR($J48))*12+MONTH(Lists!J$21)-MONTH($J48))-(EDATE($J48,((YEAR(Lists!J$21)-YEAR($J48))*12+MONTH(Lists!J$21)-MONTH($J48)))&gt;Lists!J$21)+1)))-MIN(MAX(0,$H48),N($K48)*IF(Lists!J$22&lt;$J48,0,(((YEAR(Lists!J$22)-YEAR($J48))*12+MONTH(Lists!J$22)-MONTH($J48))-(EDATE($J48,((YEAR(Lists!J$22)-YEAR($J48))*12+MONTH(Lists!J$22)-MONTH($J48)))&gt;Lists!J$22)+1)))),N($C48)*IF($AE48-$AD48&lt;1,($AD48&gt;Lists!J$22)*($AD48&lt;=Lists!J$21),MAX(0,MIN(Lists!J$21,$AE48)-MAX(Lists!J$22,$AD48))/($AE48-$AD48))+N($D48)*IF($AG48-$AF48&lt;1,($AF48&gt;Lists!J$22)*($AF48&lt;=Lists!J$21),MAX(0,MIN(Lists!J$21,$AG48)-MAX(Lists!J$22,$AF48))/($AG48-$AF48))+N($E48)*IF($AI48-$AH48&lt;1,($AH48&gt;Lists!J$22)*($AH48&lt;=Lists!J$21),MAX(0,MIN(Lists!J$21,$AI48)-MAX(Lists!J$22,$AH48))/($AI48-$AH48))+N($F48)*IF($AK48-$AJ48&lt;1,($AJ48&gt;Lists!J$22)*($AJ48&lt;=Lists!J$21),MAX(0,MIN(Lists!J$21,$AK48)-MAX(Lists!J$22,$AJ48))/($AK48-$AJ48))+N($G48)*IF($AM48-$AL48&lt;1,($AL48&gt;Lists!J$22)*($AL48&lt;=Lists!J$21),MAX(0,MIN(Lists!J$21,$AM48)-MAX(Lists!J$22,$AL48))/($AM48-$AL48))))))))</f>
        <v>0</v>
      </c>
      <c r="U48" s="53" t="n">
        <f aca="false">IF($H48=0,0,IF($AP48="X",0,IF($AP48="S",$H48/$AO48*(MIN($AO48,MAX(0,INT((Lists!K$21-N($J48))/7)+1))-MIN($AO48,MAX(0,INT((Lists!K$22-N($J48))/7)+1))),IF($AP48="D",$H48*MAX(0,MIN(Lists!K$21,N($J48)+$AO48)-MAX(Lists!K$22,N($J48)))/$AO48,IF($AP48="M",$H48/$AO48*(IF(Lists!K$21&lt;$J48,0,MIN($AO48,(((YEAR(Lists!K$21)-YEAR($J48))*12+MONTH(Lists!K$21)-MONTH($J48))-(EDATE($J48,((YEAR(Lists!K$21)-YEAR($J48))*12+MONTH(Lists!K$21)-MONTH($J48)))&gt;Lists!K$21)+1)))-IF(Lists!K$22&lt;$J48,0,MIN($AO48,(((YEAR(Lists!K$22)-YEAR($J48))*12+MONTH(Lists!K$22)-MONTH($J48))-(EDATE($J48,((YEAR(Lists!K$22)-YEAR($J48))*12+MONTH(Lists!K$22)-MONTH($J48)))&gt;Lists!K$22)+1)))),IF($AP48="F",IF(N($K48)&lt;=0,0,MIN(MAX(0,$H48),N($K48)*IF(Lists!K$21&lt;$J48,0,(((YEAR(Lists!K$21)-YEAR($J48))*12+MONTH(Lists!K$21)-MONTH($J48))-(EDATE($J48,((YEAR(Lists!K$21)-YEAR($J48))*12+MONTH(Lists!K$21)-MONTH($J48)))&gt;Lists!K$21)+1)))-MIN(MAX(0,$H48),N($K48)*IF(Lists!K$22&lt;$J48,0,(((YEAR(Lists!K$22)-YEAR($J48))*12+MONTH(Lists!K$22)-MONTH($J48))-(EDATE($J48,((YEAR(Lists!K$22)-YEAR($J48))*12+MONTH(Lists!K$22)-MONTH($J48)))&gt;Lists!K$22)+1)))),N($C48)*IF($AE48-$AD48&lt;1,($AD48&gt;Lists!K$22)*($AD48&lt;=Lists!K$21),MAX(0,MIN(Lists!K$21,$AE48)-MAX(Lists!K$22,$AD48))/($AE48-$AD48))+N($D48)*IF($AG48-$AF48&lt;1,($AF48&gt;Lists!K$22)*($AF48&lt;=Lists!K$21),MAX(0,MIN(Lists!K$21,$AG48)-MAX(Lists!K$22,$AF48))/($AG48-$AF48))+N($E48)*IF($AI48-$AH48&lt;1,($AH48&gt;Lists!K$22)*($AH48&lt;=Lists!K$21),MAX(0,MIN(Lists!K$21,$AI48)-MAX(Lists!K$22,$AH48))/($AI48-$AH48))+N($F48)*IF($AK48-$AJ48&lt;1,($AJ48&gt;Lists!K$22)*($AJ48&lt;=Lists!K$21),MAX(0,MIN(Lists!K$21,$AK48)-MAX(Lists!K$22,$AJ48))/($AK48-$AJ48))+N($G48)*IF($AM48-$AL48&lt;1,($AL48&gt;Lists!K$22)*($AL48&lt;=Lists!K$21),MAX(0,MIN(Lists!K$21,$AM48)-MAX(Lists!K$22,$AL48))/($AM48-$AL48))))))))</f>
        <v>0</v>
      </c>
      <c r="V48" s="53" t="n">
        <f aca="false">IF($H48=0,0,IF($AP48="X",0,IF($AP48="S",$H48/$AO48*(MIN($AO48,MAX(0,INT((Lists!L$21-N($J48))/7)+1))-MIN($AO48,MAX(0,INT((Lists!L$22-N($J48))/7)+1))),IF($AP48="D",$H48*MAX(0,MIN(Lists!L$21,N($J48)+$AO48)-MAX(Lists!L$22,N($J48)))/$AO48,IF($AP48="M",$H48/$AO48*(IF(Lists!L$21&lt;$J48,0,MIN($AO48,(((YEAR(Lists!L$21)-YEAR($J48))*12+MONTH(Lists!L$21)-MONTH($J48))-(EDATE($J48,((YEAR(Lists!L$21)-YEAR($J48))*12+MONTH(Lists!L$21)-MONTH($J48)))&gt;Lists!L$21)+1)))-IF(Lists!L$22&lt;$J48,0,MIN($AO48,(((YEAR(Lists!L$22)-YEAR($J48))*12+MONTH(Lists!L$22)-MONTH($J48))-(EDATE($J48,((YEAR(Lists!L$22)-YEAR($J48))*12+MONTH(Lists!L$22)-MONTH($J48)))&gt;Lists!L$22)+1)))),IF($AP48="F",IF(N($K48)&lt;=0,0,MIN(MAX(0,$H48),N($K48)*IF(Lists!L$21&lt;$J48,0,(((YEAR(Lists!L$21)-YEAR($J48))*12+MONTH(Lists!L$21)-MONTH($J48))-(EDATE($J48,((YEAR(Lists!L$21)-YEAR($J48))*12+MONTH(Lists!L$21)-MONTH($J48)))&gt;Lists!L$21)+1)))-MIN(MAX(0,$H48),N($K48)*IF(Lists!L$22&lt;$J48,0,(((YEAR(Lists!L$22)-YEAR($J48))*12+MONTH(Lists!L$22)-MONTH($J48))-(EDATE($J48,((YEAR(Lists!L$22)-YEAR($J48))*12+MONTH(Lists!L$22)-MONTH($J48)))&gt;Lists!L$22)+1)))),N($C48)*IF($AE48-$AD48&lt;1,($AD48&gt;Lists!L$22)*($AD48&lt;=Lists!L$21),MAX(0,MIN(Lists!L$21,$AE48)-MAX(Lists!L$22,$AD48))/($AE48-$AD48))+N($D48)*IF($AG48-$AF48&lt;1,($AF48&gt;Lists!L$22)*($AF48&lt;=Lists!L$21),MAX(0,MIN(Lists!L$21,$AG48)-MAX(Lists!L$22,$AF48))/($AG48-$AF48))+N($E48)*IF($AI48-$AH48&lt;1,($AH48&gt;Lists!L$22)*($AH48&lt;=Lists!L$21),MAX(0,MIN(Lists!L$21,$AI48)-MAX(Lists!L$22,$AH48))/($AI48-$AH48))+N($F48)*IF($AK48-$AJ48&lt;1,($AJ48&gt;Lists!L$22)*($AJ48&lt;=Lists!L$21),MAX(0,MIN(Lists!L$21,$AK48)-MAX(Lists!L$22,$AJ48))/($AK48-$AJ48))+N($G48)*IF($AM48-$AL48&lt;1,($AL48&gt;Lists!L$22)*($AL48&lt;=Lists!L$21),MAX(0,MIN(Lists!L$21,$AM48)-MAX(Lists!L$22,$AL48))/($AM48-$AL48))))))))</f>
        <v>0</v>
      </c>
      <c r="W48" s="53" t="n">
        <f aca="false">IF($H48=0,0,IF($AP48="X",0,IF($AP48="S",$H48/$AO48*(MIN($AO48,MAX(0,INT((Lists!M$21-N($J48))/7)+1))-MIN($AO48,MAX(0,INT((Lists!M$22-N($J48))/7)+1))),IF($AP48="D",$H48*MAX(0,MIN(Lists!M$21,N($J48)+$AO48)-MAX(Lists!M$22,N($J48)))/$AO48,IF($AP48="M",$H48/$AO48*(IF(Lists!M$21&lt;$J48,0,MIN($AO48,(((YEAR(Lists!M$21)-YEAR($J48))*12+MONTH(Lists!M$21)-MONTH($J48))-(EDATE($J48,((YEAR(Lists!M$21)-YEAR($J48))*12+MONTH(Lists!M$21)-MONTH($J48)))&gt;Lists!M$21)+1)))-IF(Lists!M$22&lt;$J48,0,MIN($AO48,(((YEAR(Lists!M$22)-YEAR($J48))*12+MONTH(Lists!M$22)-MONTH($J48))-(EDATE($J48,((YEAR(Lists!M$22)-YEAR($J48))*12+MONTH(Lists!M$22)-MONTH($J48)))&gt;Lists!M$22)+1)))),IF($AP48="F",IF(N($K48)&lt;=0,0,MIN(MAX(0,$H48),N($K48)*IF(Lists!M$21&lt;$J48,0,(((YEAR(Lists!M$21)-YEAR($J48))*12+MONTH(Lists!M$21)-MONTH($J48))-(EDATE($J48,((YEAR(Lists!M$21)-YEAR($J48))*12+MONTH(Lists!M$21)-MONTH($J48)))&gt;Lists!M$21)+1)))-MIN(MAX(0,$H48),N($K48)*IF(Lists!M$22&lt;$J48,0,(((YEAR(Lists!M$22)-YEAR($J48))*12+MONTH(Lists!M$22)-MONTH($J48))-(EDATE($J48,((YEAR(Lists!M$22)-YEAR($J48))*12+MONTH(Lists!M$22)-MONTH($J48)))&gt;Lists!M$22)+1)))),N($C48)*IF($AE48-$AD48&lt;1,($AD48&gt;Lists!M$22)*($AD48&lt;=Lists!M$21),MAX(0,MIN(Lists!M$21,$AE48)-MAX(Lists!M$22,$AD48))/($AE48-$AD48))+N($D48)*IF($AG48-$AF48&lt;1,($AF48&gt;Lists!M$22)*($AF48&lt;=Lists!M$21),MAX(0,MIN(Lists!M$21,$AG48)-MAX(Lists!M$22,$AF48))/($AG48-$AF48))+N($E48)*IF($AI48-$AH48&lt;1,($AH48&gt;Lists!M$22)*($AH48&lt;=Lists!M$21),MAX(0,MIN(Lists!M$21,$AI48)-MAX(Lists!M$22,$AH48))/($AI48-$AH48))+N($F48)*IF($AK48-$AJ48&lt;1,($AJ48&gt;Lists!M$22)*($AJ48&lt;=Lists!M$21),MAX(0,MIN(Lists!M$21,$AK48)-MAX(Lists!M$22,$AJ48))/($AK48-$AJ48))+N($G48)*IF($AM48-$AL48&lt;1,($AL48&gt;Lists!M$22)*($AL48&lt;=Lists!M$21),MAX(0,MIN(Lists!M$21,$AM48)-MAX(Lists!M$22,$AL48))/($AM48-$AL48))))))))</f>
        <v>0</v>
      </c>
      <c r="X48" s="53" t="n">
        <f aca="false">IF($H48=0,0,IF($AP48="X",0,IF($AP48="S",$H48/$AO48*(MIN($AO48,MAX(0,INT((Lists!N$21-N($J48))/7)+1))-MIN($AO48,MAX(0,INT((Lists!N$22-N($J48))/7)+1))),IF($AP48="D",$H48*MAX(0,MIN(Lists!N$21,N($J48)+$AO48)-MAX(Lists!N$22,N($J48)))/$AO48,IF($AP48="M",$H48/$AO48*(IF(Lists!N$21&lt;$J48,0,MIN($AO48,(((YEAR(Lists!N$21)-YEAR($J48))*12+MONTH(Lists!N$21)-MONTH($J48))-(EDATE($J48,((YEAR(Lists!N$21)-YEAR($J48))*12+MONTH(Lists!N$21)-MONTH($J48)))&gt;Lists!N$21)+1)))-IF(Lists!N$22&lt;$J48,0,MIN($AO48,(((YEAR(Lists!N$22)-YEAR($J48))*12+MONTH(Lists!N$22)-MONTH($J48))-(EDATE($J48,((YEAR(Lists!N$22)-YEAR($J48))*12+MONTH(Lists!N$22)-MONTH($J48)))&gt;Lists!N$22)+1)))),IF($AP48="F",IF(N($K48)&lt;=0,0,MIN(MAX(0,$H48),N($K48)*IF(Lists!N$21&lt;$J48,0,(((YEAR(Lists!N$21)-YEAR($J48))*12+MONTH(Lists!N$21)-MONTH($J48))-(EDATE($J48,((YEAR(Lists!N$21)-YEAR($J48))*12+MONTH(Lists!N$21)-MONTH($J48)))&gt;Lists!N$21)+1)))-MIN(MAX(0,$H48),N($K48)*IF(Lists!N$22&lt;$J48,0,(((YEAR(Lists!N$22)-YEAR($J48))*12+MONTH(Lists!N$22)-MONTH($J48))-(EDATE($J48,((YEAR(Lists!N$22)-YEAR($J48))*12+MONTH(Lists!N$22)-MONTH($J48)))&gt;Lists!N$22)+1)))),N($C48)*IF($AE48-$AD48&lt;1,($AD48&gt;Lists!N$22)*($AD48&lt;=Lists!N$21),MAX(0,MIN(Lists!N$21,$AE48)-MAX(Lists!N$22,$AD48))/($AE48-$AD48))+N($D48)*IF($AG48-$AF48&lt;1,($AF48&gt;Lists!N$22)*($AF48&lt;=Lists!N$21),MAX(0,MIN(Lists!N$21,$AG48)-MAX(Lists!N$22,$AF48))/($AG48-$AF48))+N($E48)*IF($AI48-$AH48&lt;1,($AH48&gt;Lists!N$22)*($AH48&lt;=Lists!N$21),MAX(0,MIN(Lists!N$21,$AI48)-MAX(Lists!N$22,$AH48))/($AI48-$AH48))+N($F48)*IF($AK48-$AJ48&lt;1,($AJ48&gt;Lists!N$22)*($AJ48&lt;=Lists!N$21),MAX(0,MIN(Lists!N$21,$AK48)-MAX(Lists!N$22,$AJ48))/($AK48-$AJ48))+N($G48)*IF($AM48-$AL48&lt;1,($AL48&gt;Lists!N$22)*($AL48&lt;=Lists!N$21),MAX(0,MIN(Lists!N$21,$AM48)-MAX(Lists!N$22,$AL48))/($AM48-$AL48))))))))</f>
        <v>0</v>
      </c>
      <c r="Y48" s="53" t="n">
        <f aca="false">IF($H48=0,0,IF($AP48="X",0,IF($AP48="S",$H48/$AO48*(MIN($AO48,MAX(0,INT((Lists!O$21-N($J48))/7)+1))-MIN($AO48,MAX(0,INT((Lists!O$22-N($J48))/7)+1))),IF($AP48="D",$H48*MAX(0,MIN(Lists!O$21,N($J48)+$AO48)-MAX(Lists!O$22,N($J48)))/$AO48,IF($AP48="M",$H48/$AO48*(IF(Lists!O$21&lt;$J48,0,MIN($AO48,(((YEAR(Lists!O$21)-YEAR($J48))*12+MONTH(Lists!O$21)-MONTH($J48))-(EDATE($J48,((YEAR(Lists!O$21)-YEAR($J48))*12+MONTH(Lists!O$21)-MONTH($J48)))&gt;Lists!O$21)+1)))-IF(Lists!O$22&lt;$J48,0,MIN($AO48,(((YEAR(Lists!O$22)-YEAR($J48))*12+MONTH(Lists!O$22)-MONTH($J48))-(EDATE($J48,((YEAR(Lists!O$22)-YEAR($J48))*12+MONTH(Lists!O$22)-MONTH($J48)))&gt;Lists!O$22)+1)))),IF($AP48="F",IF(N($K48)&lt;=0,0,MIN(MAX(0,$H48),N($K48)*IF(Lists!O$21&lt;$J48,0,(((YEAR(Lists!O$21)-YEAR($J48))*12+MONTH(Lists!O$21)-MONTH($J48))-(EDATE($J48,((YEAR(Lists!O$21)-YEAR($J48))*12+MONTH(Lists!O$21)-MONTH($J48)))&gt;Lists!O$21)+1)))-MIN(MAX(0,$H48),N($K48)*IF(Lists!O$22&lt;$J48,0,(((YEAR(Lists!O$22)-YEAR($J48))*12+MONTH(Lists!O$22)-MONTH($J48))-(EDATE($J48,((YEAR(Lists!O$22)-YEAR($J48))*12+MONTH(Lists!O$22)-MONTH($J48)))&gt;Lists!O$22)+1)))),N($C48)*IF($AE48-$AD48&lt;1,($AD48&gt;Lists!O$22)*($AD48&lt;=Lists!O$21),MAX(0,MIN(Lists!O$21,$AE48)-MAX(Lists!O$22,$AD48))/($AE48-$AD48))+N($D48)*IF($AG48-$AF48&lt;1,($AF48&gt;Lists!O$22)*($AF48&lt;=Lists!O$21),MAX(0,MIN(Lists!O$21,$AG48)-MAX(Lists!O$22,$AF48))/($AG48-$AF48))+N($E48)*IF($AI48-$AH48&lt;1,($AH48&gt;Lists!O$22)*($AH48&lt;=Lists!O$21),MAX(0,MIN(Lists!O$21,$AI48)-MAX(Lists!O$22,$AH48))/($AI48-$AH48))+N($F48)*IF($AK48-$AJ48&lt;1,($AJ48&gt;Lists!O$22)*($AJ48&lt;=Lists!O$21),MAX(0,MIN(Lists!O$21,$AK48)-MAX(Lists!O$22,$AJ48))/($AK48-$AJ48))+N($G48)*IF($AM48-$AL48&lt;1,($AL48&gt;Lists!O$22)*($AL48&lt;=Lists!O$21),MAX(0,MIN(Lists!O$21,$AM48)-MAX(Lists!O$22,$AL48))/($AM48-$AL48))))))))</f>
        <v>0</v>
      </c>
      <c r="Z48" s="46" t="n">
        <f aca="false">SUM(M48:Y48)</f>
        <v>0</v>
      </c>
      <c r="AA48" s="92" t="n">
        <f aca="false">H48-Z48</f>
        <v>0</v>
      </c>
      <c r="AB48" s="55"/>
      <c r="AC48" s="2"/>
      <c r="AD48" s="93" t="n">
        <f aca="false">Setup!$D$10+MAX(0,$AN48-30)</f>
        <v>46365</v>
      </c>
      <c r="AE48" s="93" t="n">
        <f aca="false">Setup!$D$10+IF($AN48-30&lt;0,MAX(Setup!$D$22,$AN48-0),$AN48-0)</f>
        <v>46395</v>
      </c>
      <c r="AF48" s="93" t="n">
        <f aca="false">Setup!$D$10+MAX(0,$AN48-60)</f>
        <v>46335</v>
      </c>
      <c r="AG48" s="93" t="n">
        <f aca="false">Setup!$D$10+IF($AN48-60&lt;0,MAX(Setup!$D$22,$AN48-31),$AN48-31)</f>
        <v>46364</v>
      </c>
      <c r="AH48" s="93" t="n">
        <f aca="false">Setup!$D$10+MAX(0,$AN48-90)</f>
        <v>46335</v>
      </c>
      <c r="AI48" s="93" t="n">
        <f aca="false">Setup!$D$10+IF($AN48-90&lt;0,MAX(Setup!$D$22,$AN48-61),$AN48-61)</f>
        <v>46363</v>
      </c>
      <c r="AJ48" s="93" t="n">
        <f aca="false">Setup!$D$10+MAX(0,$AN48-120)</f>
        <v>46335</v>
      </c>
      <c r="AK48" s="93" t="n">
        <f aca="false">Setup!$D$10+IF($AN48-120&lt;0,MAX(Setup!$D$22,$AN48-91),$AN48-91)</f>
        <v>46363</v>
      </c>
      <c r="AL48" s="93" t="n">
        <f aca="false">IF(Setup!$D$23="Yes",2958465,Setup!$D$10)</f>
        <v>2958465</v>
      </c>
      <c r="AM48" s="93" t="n">
        <f aca="false">IF(AL48=2958465,AL48,Setup!$D$10+Setup!$D$22)</f>
        <v>2958465</v>
      </c>
      <c r="AN48" s="94" t="n">
        <f aca="false">IF(N(L48)=0,Setup!$D$20,L48)</f>
        <v>60</v>
      </c>
      <c r="AO48" s="94" t="n">
        <f aca="false">MAX(1,ROUND(N(K48),0))</f>
        <v>1</v>
      </c>
      <c r="AP48" s="95" t="str">
        <f aca="false">IF(I48="Doubtful","X",IF(N(J48)=0,"A",IF(I48="Specific date","S",IF(I48="Spread over days","D",IF(I48="Monthly on set day","M",IF(I48="Monthly fixed amount","F","A"))))))</f>
        <v>A</v>
      </c>
    </row>
    <row r="49" customFormat="false" ht="15" hidden="false" customHeight="false" outlineLevel="0" collapsed="false">
      <c r="A49" s="87" t="n">
        <v>41</v>
      </c>
      <c r="B49" s="55"/>
      <c r="C49" s="88"/>
      <c r="D49" s="88"/>
      <c r="E49" s="88"/>
      <c r="F49" s="88"/>
      <c r="G49" s="88"/>
      <c r="H49" s="89" t="n">
        <f aca="false">SUM(C49:G49)</f>
        <v>0</v>
      </c>
      <c r="I49" s="58"/>
      <c r="J49" s="90"/>
      <c r="K49" s="91"/>
      <c r="L49" s="80"/>
      <c r="M49" s="53" t="n">
        <f aca="false">IF($H49=0,0,IF($AP49="X",0,IF($AP49="S",$H49/$AO49*(MIN($AO49,MAX(0,INT((Lists!C$21-N($J49))/7)+1))-MIN($AO49,MAX(0,INT((Lists!C$22-N($J49))/7)+1))),IF($AP49="D",$H49*MAX(0,MIN(Lists!C$21,N($J49)+$AO49)-MAX(Lists!C$22,N($J49)))/$AO49,IF($AP49="M",$H49/$AO49*(IF(Lists!C$21&lt;$J49,0,MIN($AO49,(((YEAR(Lists!C$21)-YEAR($J49))*12+MONTH(Lists!C$21)-MONTH($J49))-(EDATE($J49,((YEAR(Lists!C$21)-YEAR($J49))*12+MONTH(Lists!C$21)-MONTH($J49)))&gt;Lists!C$21)+1)))-IF(Lists!C$22&lt;$J49,0,MIN($AO49,(((YEAR(Lists!C$22)-YEAR($J49))*12+MONTH(Lists!C$22)-MONTH($J49))-(EDATE($J49,((YEAR(Lists!C$22)-YEAR($J49))*12+MONTH(Lists!C$22)-MONTH($J49)))&gt;Lists!C$22)+1)))),IF($AP49="F",IF(N($K49)&lt;=0,0,MIN(MAX(0,$H49),N($K49)*IF(Lists!C$21&lt;$J49,0,(((YEAR(Lists!C$21)-YEAR($J49))*12+MONTH(Lists!C$21)-MONTH($J49))-(EDATE($J49,((YEAR(Lists!C$21)-YEAR($J49))*12+MONTH(Lists!C$21)-MONTH($J49)))&gt;Lists!C$21)+1)))-MIN(MAX(0,$H49),N($K49)*IF(Lists!C$22&lt;$J49,0,(((YEAR(Lists!C$22)-YEAR($J49))*12+MONTH(Lists!C$22)-MONTH($J49))-(EDATE($J49,((YEAR(Lists!C$22)-YEAR($J49))*12+MONTH(Lists!C$22)-MONTH($J49)))&gt;Lists!C$22)+1)))),N($C49)*IF($AE49-$AD49&lt;1,($AD49&gt;Lists!C$22)*($AD49&lt;=Lists!C$21),MAX(0,MIN(Lists!C$21,$AE49)-MAX(Lists!C$22,$AD49))/($AE49-$AD49))+N($D49)*IF($AG49-$AF49&lt;1,($AF49&gt;Lists!C$22)*($AF49&lt;=Lists!C$21),MAX(0,MIN(Lists!C$21,$AG49)-MAX(Lists!C$22,$AF49))/($AG49-$AF49))+N($E49)*IF($AI49-$AH49&lt;1,($AH49&gt;Lists!C$22)*($AH49&lt;=Lists!C$21),MAX(0,MIN(Lists!C$21,$AI49)-MAX(Lists!C$22,$AH49))/($AI49-$AH49))+N($F49)*IF($AK49-$AJ49&lt;1,($AJ49&gt;Lists!C$22)*($AJ49&lt;=Lists!C$21),MAX(0,MIN(Lists!C$21,$AK49)-MAX(Lists!C$22,$AJ49))/($AK49-$AJ49))+N($G49)*IF($AM49-$AL49&lt;1,($AL49&gt;Lists!C$22)*($AL49&lt;=Lists!C$21),MAX(0,MIN(Lists!C$21,$AM49)-MAX(Lists!C$22,$AL49))/($AM49-$AL49))))))))</f>
        <v>0</v>
      </c>
      <c r="N49" s="53" t="n">
        <f aca="false">IF($H49=0,0,IF($AP49="X",0,IF($AP49="S",$H49/$AO49*(MIN($AO49,MAX(0,INT((Lists!D$21-N($J49))/7)+1))-MIN($AO49,MAX(0,INT((Lists!D$22-N($J49))/7)+1))),IF($AP49="D",$H49*MAX(0,MIN(Lists!D$21,N($J49)+$AO49)-MAX(Lists!D$22,N($J49)))/$AO49,IF($AP49="M",$H49/$AO49*(IF(Lists!D$21&lt;$J49,0,MIN($AO49,(((YEAR(Lists!D$21)-YEAR($J49))*12+MONTH(Lists!D$21)-MONTH($J49))-(EDATE($J49,((YEAR(Lists!D$21)-YEAR($J49))*12+MONTH(Lists!D$21)-MONTH($J49)))&gt;Lists!D$21)+1)))-IF(Lists!D$22&lt;$J49,0,MIN($AO49,(((YEAR(Lists!D$22)-YEAR($J49))*12+MONTH(Lists!D$22)-MONTH($J49))-(EDATE($J49,((YEAR(Lists!D$22)-YEAR($J49))*12+MONTH(Lists!D$22)-MONTH($J49)))&gt;Lists!D$22)+1)))),IF($AP49="F",IF(N($K49)&lt;=0,0,MIN(MAX(0,$H49),N($K49)*IF(Lists!D$21&lt;$J49,0,(((YEAR(Lists!D$21)-YEAR($J49))*12+MONTH(Lists!D$21)-MONTH($J49))-(EDATE($J49,((YEAR(Lists!D$21)-YEAR($J49))*12+MONTH(Lists!D$21)-MONTH($J49)))&gt;Lists!D$21)+1)))-MIN(MAX(0,$H49),N($K49)*IF(Lists!D$22&lt;$J49,0,(((YEAR(Lists!D$22)-YEAR($J49))*12+MONTH(Lists!D$22)-MONTH($J49))-(EDATE($J49,((YEAR(Lists!D$22)-YEAR($J49))*12+MONTH(Lists!D$22)-MONTH($J49)))&gt;Lists!D$22)+1)))),N($C49)*IF($AE49-$AD49&lt;1,($AD49&gt;Lists!D$22)*($AD49&lt;=Lists!D$21),MAX(0,MIN(Lists!D$21,$AE49)-MAX(Lists!D$22,$AD49))/($AE49-$AD49))+N($D49)*IF($AG49-$AF49&lt;1,($AF49&gt;Lists!D$22)*($AF49&lt;=Lists!D$21),MAX(0,MIN(Lists!D$21,$AG49)-MAX(Lists!D$22,$AF49))/($AG49-$AF49))+N($E49)*IF($AI49-$AH49&lt;1,($AH49&gt;Lists!D$22)*($AH49&lt;=Lists!D$21),MAX(0,MIN(Lists!D$21,$AI49)-MAX(Lists!D$22,$AH49))/($AI49-$AH49))+N($F49)*IF($AK49-$AJ49&lt;1,($AJ49&gt;Lists!D$22)*($AJ49&lt;=Lists!D$21),MAX(0,MIN(Lists!D$21,$AK49)-MAX(Lists!D$22,$AJ49))/($AK49-$AJ49))+N($G49)*IF($AM49-$AL49&lt;1,($AL49&gt;Lists!D$22)*($AL49&lt;=Lists!D$21),MAX(0,MIN(Lists!D$21,$AM49)-MAX(Lists!D$22,$AL49))/($AM49-$AL49))))))))</f>
        <v>0</v>
      </c>
      <c r="O49" s="53" t="n">
        <f aca="false">IF($H49=0,0,IF($AP49="X",0,IF($AP49="S",$H49/$AO49*(MIN($AO49,MAX(0,INT((Lists!E$21-N($J49))/7)+1))-MIN($AO49,MAX(0,INT((Lists!E$22-N($J49))/7)+1))),IF($AP49="D",$H49*MAX(0,MIN(Lists!E$21,N($J49)+$AO49)-MAX(Lists!E$22,N($J49)))/$AO49,IF($AP49="M",$H49/$AO49*(IF(Lists!E$21&lt;$J49,0,MIN($AO49,(((YEAR(Lists!E$21)-YEAR($J49))*12+MONTH(Lists!E$21)-MONTH($J49))-(EDATE($J49,((YEAR(Lists!E$21)-YEAR($J49))*12+MONTH(Lists!E$21)-MONTH($J49)))&gt;Lists!E$21)+1)))-IF(Lists!E$22&lt;$J49,0,MIN($AO49,(((YEAR(Lists!E$22)-YEAR($J49))*12+MONTH(Lists!E$22)-MONTH($J49))-(EDATE($J49,((YEAR(Lists!E$22)-YEAR($J49))*12+MONTH(Lists!E$22)-MONTH($J49)))&gt;Lists!E$22)+1)))),IF($AP49="F",IF(N($K49)&lt;=0,0,MIN(MAX(0,$H49),N($K49)*IF(Lists!E$21&lt;$J49,0,(((YEAR(Lists!E$21)-YEAR($J49))*12+MONTH(Lists!E$21)-MONTH($J49))-(EDATE($J49,((YEAR(Lists!E$21)-YEAR($J49))*12+MONTH(Lists!E$21)-MONTH($J49)))&gt;Lists!E$21)+1)))-MIN(MAX(0,$H49),N($K49)*IF(Lists!E$22&lt;$J49,0,(((YEAR(Lists!E$22)-YEAR($J49))*12+MONTH(Lists!E$22)-MONTH($J49))-(EDATE($J49,((YEAR(Lists!E$22)-YEAR($J49))*12+MONTH(Lists!E$22)-MONTH($J49)))&gt;Lists!E$22)+1)))),N($C49)*IF($AE49-$AD49&lt;1,($AD49&gt;Lists!E$22)*($AD49&lt;=Lists!E$21),MAX(0,MIN(Lists!E$21,$AE49)-MAX(Lists!E$22,$AD49))/($AE49-$AD49))+N($D49)*IF($AG49-$AF49&lt;1,($AF49&gt;Lists!E$22)*($AF49&lt;=Lists!E$21),MAX(0,MIN(Lists!E$21,$AG49)-MAX(Lists!E$22,$AF49))/($AG49-$AF49))+N($E49)*IF($AI49-$AH49&lt;1,($AH49&gt;Lists!E$22)*($AH49&lt;=Lists!E$21),MAX(0,MIN(Lists!E$21,$AI49)-MAX(Lists!E$22,$AH49))/($AI49-$AH49))+N($F49)*IF($AK49-$AJ49&lt;1,($AJ49&gt;Lists!E$22)*($AJ49&lt;=Lists!E$21),MAX(0,MIN(Lists!E$21,$AK49)-MAX(Lists!E$22,$AJ49))/($AK49-$AJ49))+N($G49)*IF($AM49-$AL49&lt;1,($AL49&gt;Lists!E$22)*($AL49&lt;=Lists!E$21),MAX(0,MIN(Lists!E$21,$AM49)-MAX(Lists!E$22,$AL49))/($AM49-$AL49))))))))</f>
        <v>0</v>
      </c>
      <c r="P49" s="53" t="n">
        <f aca="false">IF($H49=0,0,IF($AP49="X",0,IF($AP49="S",$H49/$AO49*(MIN($AO49,MAX(0,INT((Lists!F$21-N($J49))/7)+1))-MIN($AO49,MAX(0,INT((Lists!F$22-N($J49))/7)+1))),IF($AP49="D",$H49*MAX(0,MIN(Lists!F$21,N($J49)+$AO49)-MAX(Lists!F$22,N($J49)))/$AO49,IF($AP49="M",$H49/$AO49*(IF(Lists!F$21&lt;$J49,0,MIN($AO49,(((YEAR(Lists!F$21)-YEAR($J49))*12+MONTH(Lists!F$21)-MONTH($J49))-(EDATE($J49,((YEAR(Lists!F$21)-YEAR($J49))*12+MONTH(Lists!F$21)-MONTH($J49)))&gt;Lists!F$21)+1)))-IF(Lists!F$22&lt;$J49,0,MIN($AO49,(((YEAR(Lists!F$22)-YEAR($J49))*12+MONTH(Lists!F$22)-MONTH($J49))-(EDATE($J49,((YEAR(Lists!F$22)-YEAR($J49))*12+MONTH(Lists!F$22)-MONTH($J49)))&gt;Lists!F$22)+1)))),IF($AP49="F",IF(N($K49)&lt;=0,0,MIN(MAX(0,$H49),N($K49)*IF(Lists!F$21&lt;$J49,0,(((YEAR(Lists!F$21)-YEAR($J49))*12+MONTH(Lists!F$21)-MONTH($J49))-(EDATE($J49,((YEAR(Lists!F$21)-YEAR($J49))*12+MONTH(Lists!F$21)-MONTH($J49)))&gt;Lists!F$21)+1)))-MIN(MAX(0,$H49),N($K49)*IF(Lists!F$22&lt;$J49,0,(((YEAR(Lists!F$22)-YEAR($J49))*12+MONTH(Lists!F$22)-MONTH($J49))-(EDATE($J49,((YEAR(Lists!F$22)-YEAR($J49))*12+MONTH(Lists!F$22)-MONTH($J49)))&gt;Lists!F$22)+1)))),N($C49)*IF($AE49-$AD49&lt;1,($AD49&gt;Lists!F$22)*($AD49&lt;=Lists!F$21),MAX(0,MIN(Lists!F$21,$AE49)-MAX(Lists!F$22,$AD49))/($AE49-$AD49))+N($D49)*IF($AG49-$AF49&lt;1,($AF49&gt;Lists!F$22)*($AF49&lt;=Lists!F$21),MAX(0,MIN(Lists!F$21,$AG49)-MAX(Lists!F$22,$AF49))/($AG49-$AF49))+N($E49)*IF($AI49-$AH49&lt;1,($AH49&gt;Lists!F$22)*($AH49&lt;=Lists!F$21),MAX(0,MIN(Lists!F$21,$AI49)-MAX(Lists!F$22,$AH49))/($AI49-$AH49))+N($F49)*IF($AK49-$AJ49&lt;1,($AJ49&gt;Lists!F$22)*($AJ49&lt;=Lists!F$21),MAX(0,MIN(Lists!F$21,$AK49)-MAX(Lists!F$22,$AJ49))/($AK49-$AJ49))+N($G49)*IF($AM49-$AL49&lt;1,($AL49&gt;Lists!F$22)*($AL49&lt;=Lists!F$21),MAX(0,MIN(Lists!F$21,$AM49)-MAX(Lists!F$22,$AL49))/($AM49-$AL49))))))))</f>
        <v>0</v>
      </c>
      <c r="Q49" s="53" t="n">
        <f aca="false">IF($H49=0,0,IF($AP49="X",0,IF($AP49="S",$H49/$AO49*(MIN($AO49,MAX(0,INT((Lists!G$21-N($J49))/7)+1))-MIN($AO49,MAX(0,INT((Lists!G$22-N($J49))/7)+1))),IF($AP49="D",$H49*MAX(0,MIN(Lists!G$21,N($J49)+$AO49)-MAX(Lists!G$22,N($J49)))/$AO49,IF($AP49="M",$H49/$AO49*(IF(Lists!G$21&lt;$J49,0,MIN($AO49,(((YEAR(Lists!G$21)-YEAR($J49))*12+MONTH(Lists!G$21)-MONTH($J49))-(EDATE($J49,((YEAR(Lists!G$21)-YEAR($J49))*12+MONTH(Lists!G$21)-MONTH($J49)))&gt;Lists!G$21)+1)))-IF(Lists!G$22&lt;$J49,0,MIN($AO49,(((YEAR(Lists!G$22)-YEAR($J49))*12+MONTH(Lists!G$22)-MONTH($J49))-(EDATE($J49,((YEAR(Lists!G$22)-YEAR($J49))*12+MONTH(Lists!G$22)-MONTH($J49)))&gt;Lists!G$22)+1)))),IF($AP49="F",IF(N($K49)&lt;=0,0,MIN(MAX(0,$H49),N($K49)*IF(Lists!G$21&lt;$J49,0,(((YEAR(Lists!G$21)-YEAR($J49))*12+MONTH(Lists!G$21)-MONTH($J49))-(EDATE($J49,((YEAR(Lists!G$21)-YEAR($J49))*12+MONTH(Lists!G$21)-MONTH($J49)))&gt;Lists!G$21)+1)))-MIN(MAX(0,$H49),N($K49)*IF(Lists!G$22&lt;$J49,0,(((YEAR(Lists!G$22)-YEAR($J49))*12+MONTH(Lists!G$22)-MONTH($J49))-(EDATE($J49,((YEAR(Lists!G$22)-YEAR($J49))*12+MONTH(Lists!G$22)-MONTH($J49)))&gt;Lists!G$22)+1)))),N($C49)*IF($AE49-$AD49&lt;1,($AD49&gt;Lists!G$22)*($AD49&lt;=Lists!G$21),MAX(0,MIN(Lists!G$21,$AE49)-MAX(Lists!G$22,$AD49))/($AE49-$AD49))+N($D49)*IF($AG49-$AF49&lt;1,($AF49&gt;Lists!G$22)*($AF49&lt;=Lists!G$21),MAX(0,MIN(Lists!G$21,$AG49)-MAX(Lists!G$22,$AF49))/($AG49-$AF49))+N($E49)*IF($AI49-$AH49&lt;1,($AH49&gt;Lists!G$22)*($AH49&lt;=Lists!G$21),MAX(0,MIN(Lists!G$21,$AI49)-MAX(Lists!G$22,$AH49))/($AI49-$AH49))+N($F49)*IF($AK49-$AJ49&lt;1,($AJ49&gt;Lists!G$22)*($AJ49&lt;=Lists!G$21),MAX(0,MIN(Lists!G$21,$AK49)-MAX(Lists!G$22,$AJ49))/($AK49-$AJ49))+N($G49)*IF($AM49-$AL49&lt;1,($AL49&gt;Lists!G$22)*($AL49&lt;=Lists!G$21),MAX(0,MIN(Lists!G$21,$AM49)-MAX(Lists!G$22,$AL49))/($AM49-$AL49))))))))</f>
        <v>0</v>
      </c>
      <c r="R49" s="53" t="n">
        <f aca="false">IF($H49=0,0,IF($AP49="X",0,IF($AP49="S",$H49/$AO49*(MIN($AO49,MAX(0,INT((Lists!H$21-N($J49))/7)+1))-MIN($AO49,MAX(0,INT((Lists!H$22-N($J49))/7)+1))),IF($AP49="D",$H49*MAX(0,MIN(Lists!H$21,N($J49)+$AO49)-MAX(Lists!H$22,N($J49)))/$AO49,IF($AP49="M",$H49/$AO49*(IF(Lists!H$21&lt;$J49,0,MIN($AO49,(((YEAR(Lists!H$21)-YEAR($J49))*12+MONTH(Lists!H$21)-MONTH($J49))-(EDATE($J49,((YEAR(Lists!H$21)-YEAR($J49))*12+MONTH(Lists!H$21)-MONTH($J49)))&gt;Lists!H$21)+1)))-IF(Lists!H$22&lt;$J49,0,MIN($AO49,(((YEAR(Lists!H$22)-YEAR($J49))*12+MONTH(Lists!H$22)-MONTH($J49))-(EDATE($J49,((YEAR(Lists!H$22)-YEAR($J49))*12+MONTH(Lists!H$22)-MONTH($J49)))&gt;Lists!H$22)+1)))),IF($AP49="F",IF(N($K49)&lt;=0,0,MIN(MAX(0,$H49),N($K49)*IF(Lists!H$21&lt;$J49,0,(((YEAR(Lists!H$21)-YEAR($J49))*12+MONTH(Lists!H$21)-MONTH($J49))-(EDATE($J49,((YEAR(Lists!H$21)-YEAR($J49))*12+MONTH(Lists!H$21)-MONTH($J49)))&gt;Lists!H$21)+1)))-MIN(MAX(0,$H49),N($K49)*IF(Lists!H$22&lt;$J49,0,(((YEAR(Lists!H$22)-YEAR($J49))*12+MONTH(Lists!H$22)-MONTH($J49))-(EDATE($J49,((YEAR(Lists!H$22)-YEAR($J49))*12+MONTH(Lists!H$22)-MONTH($J49)))&gt;Lists!H$22)+1)))),N($C49)*IF($AE49-$AD49&lt;1,($AD49&gt;Lists!H$22)*($AD49&lt;=Lists!H$21),MAX(0,MIN(Lists!H$21,$AE49)-MAX(Lists!H$22,$AD49))/($AE49-$AD49))+N($D49)*IF($AG49-$AF49&lt;1,($AF49&gt;Lists!H$22)*($AF49&lt;=Lists!H$21),MAX(0,MIN(Lists!H$21,$AG49)-MAX(Lists!H$22,$AF49))/($AG49-$AF49))+N($E49)*IF($AI49-$AH49&lt;1,($AH49&gt;Lists!H$22)*($AH49&lt;=Lists!H$21),MAX(0,MIN(Lists!H$21,$AI49)-MAX(Lists!H$22,$AH49))/($AI49-$AH49))+N($F49)*IF($AK49-$AJ49&lt;1,($AJ49&gt;Lists!H$22)*($AJ49&lt;=Lists!H$21),MAX(0,MIN(Lists!H$21,$AK49)-MAX(Lists!H$22,$AJ49))/($AK49-$AJ49))+N($G49)*IF($AM49-$AL49&lt;1,($AL49&gt;Lists!H$22)*($AL49&lt;=Lists!H$21),MAX(0,MIN(Lists!H$21,$AM49)-MAX(Lists!H$22,$AL49))/($AM49-$AL49))))))))</f>
        <v>0</v>
      </c>
      <c r="S49" s="53" t="n">
        <f aca="false">IF($H49=0,0,IF($AP49="X",0,IF($AP49="S",$H49/$AO49*(MIN($AO49,MAX(0,INT((Lists!I$21-N($J49))/7)+1))-MIN($AO49,MAX(0,INT((Lists!I$22-N($J49))/7)+1))),IF($AP49="D",$H49*MAX(0,MIN(Lists!I$21,N($J49)+$AO49)-MAX(Lists!I$22,N($J49)))/$AO49,IF($AP49="M",$H49/$AO49*(IF(Lists!I$21&lt;$J49,0,MIN($AO49,(((YEAR(Lists!I$21)-YEAR($J49))*12+MONTH(Lists!I$21)-MONTH($J49))-(EDATE($J49,((YEAR(Lists!I$21)-YEAR($J49))*12+MONTH(Lists!I$21)-MONTH($J49)))&gt;Lists!I$21)+1)))-IF(Lists!I$22&lt;$J49,0,MIN($AO49,(((YEAR(Lists!I$22)-YEAR($J49))*12+MONTH(Lists!I$22)-MONTH($J49))-(EDATE($J49,((YEAR(Lists!I$22)-YEAR($J49))*12+MONTH(Lists!I$22)-MONTH($J49)))&gt;Lists!I$22)+1)))),IF($AP49="F",IF(N($K49)&lt;=0,0,MIN(MAX(0,$H49),N($K49)*IF(Lists!I$21&lt;$J49,0,(((YEAR(Lists!I$21)-YEAR($J49))*12+MONTH(Lists!I$21)-MONTH($J49))-(EDATE($J49,((YEAR(Lists!I$21)-YEAR($J49))*12+MONTH(Lists!I$21)-MONTH($J49)))&gt;Lists!I$21)+1)))-MIN(MAX(0,$H49),N($K49)*IF(Lists!I$22&lt;$J49,0,(((YEAR(Lists!I$22)-YEAR($J49))*12+MONTH(Lists!I$22)-MONTH($J49))-(EDATE($J49,((YEAR(Lists!I$22)-YEAR($J49))*12+MONTH(Lists!I$22)-MONTH($J49)))&gt;Lists!I$22)+1)))),N($C49)*IF($AE49-$AD49&lt;1,($AD49&gt;Lists!I$22)*($AD49&lt;=Lists!I$21),MAX(0,MIN(Lists!I$21,$AE49)-MAX(Lists!I$22,$AD49))/($AE49-$AD49))+N($D49)*IF($AG49-$AF49&lt;1,($AF49&gt;Lists!I$22)*($AF49&lt;=Lists!I$21),MAX(0,MIN(Lists!I$21,$AG49)-MAX(Lists!I$22,$AF49))/($AG49-$AF49))+N($E49)*IF($AI49-$AH49&lt;1,($AH49&gt;Lists!I$22)*($AH49&lt;=Lists!I$21),MAX(0,MIN(Lists!I$21,$AI49)-MAX(Lists!I$22,$AH49))/($AI49-$AH49))+N($F49)*IF($AK49-$AJ49&lt;1,($AJ49&gt;Lists!I$22)*($AJ49&lt;=Lists!I$21),MAX(0,MIN(Lists!I$21,$AK49)-MAX(Lists!I$22,$AJ49))/($AK49-$AJ49))+N($G49)*IF($AM49-$AL49&lt;1,($AL49&gt;Lists!I$22)*($AL49&lt;=Lists!I$21),MAX(0,MIN(Lists!I$21,$AM49)-MAX(Lists!I$22,$AL49))/($AM49-$AL49))))))))</f>
        <v>0</v>
      </c>
      <c r="T49" s="53" t="n">
        <f aca="false">IF($H49=0,0,IF($AP49="X",0,IF($AP49="S",$H49/$AO49*(MIN($AO49,MAX(0,INT((Lists!J$21-N($J49))/7)+1))-MIN($AO49,MAX(0,INT((Lists!J$22-N($J49))/7)+1))),IF($AP49="D",$H49*MAX(0,MIN(Lists!J$21,N($J49)+$AO49)-MAX(Lists!J$22,N($J49)))/$AO49,IF($AP49="M",$H49/$AO49*(IF(Lists!J$21&lt;$J49,0,MIN($AO49,(((YEAR(Lists!J$21)-YEAR($J49))*12+MONTH(Lists!J$21)-MONTH($J49))-(EDATE($J49,((YEAR(Lists!J$21)-YEAR($J49))*12+MONTH(Lists!J$21)-MONTH($J49)))&gt;Lists!J$21)+1)))-IF(Lists!J$22&lt;$J49,0,MIN($AO49,(((YEAR(Lists!J$22)-YEAR($J49))*12+MONTH(Lists!J$22)-MONTH($J49))-(EDATE($J49,((YEAR(Lists!J$22)-YEAR($J49))*12+MONTH(Lists!J$22)-MONTH($J49)))&gt;Lists!J$22)+1)))),IF($AP49="F",IF(N($K49)&lt;=0,0,MIN(MAX(0,$H49),N($K49)*IF(Lists!J$21&lt;$J49,0,(((YEAR(Lists!J$21)-YEAR($J49))*12+MONTH(Lists!J$21)-MONTH($J49))-(EDATE($J49,((YEAR(Lists!J$21)-YEAR($J49))*12+MONTH(Lists!J$21)-MONTH($J49)))&gt;Lists!J$21)+1)))-MIN(MAX(0,$H49),N($K49)*IF(Lists!J$22&lt;$J49,0,(((YEAR(Lists!J$22)-YEAR($J49))*12+MONTH(Lists!J$22)-MONTH($J49))-(EDATE($J49,((YEAR(Lists!J$22)-YEAR($J49))*12+MONTH(Lists!J$22)-MONTH($J49)))&gt;Lists!J$22)+1)))),N($C49)*IF($AE49-$AD49&lt;1,($AD49&gt;Lists!J$22)*($AD49&lt;=Lists!J$21),MAX(0,MIN(Lists!J$21,$AE49)-MAX(Lists!J$22,$AD49))/($AE49-$AD49))+N($D49)*IF($AG49-$AF49&lt;1,($AF49&gt;Lists!J$22)*($AF49&lt;=Lists!J$21),MAX(0,MIN(Lists!J$21,$AG49)-MAX(Lists!J$22,$AF49))/($AG49-$AF49))+N($E49)*IF($AI49-$AH49&lt;1,($AH49&gt;Lists!J$22)*($AH49&lt;=Lists!J$21),MAX(0,MIN(Lists!J$21,$AI49)-MAX(Lists!J$22,$AH49))/($AI49-$AH49))+N($F49)*IF($AK49-$AJ49&lt;1,($AJ49&gt;Lists!J$22)*($AJ49&lt;=Lists!J$21),MAX(0,MIN(Lists!J$21,$AK49)-MAX(Lists!J$22,$AJ49))/($AK49-$AJ49))+N($G49)*IF($AM49-$AL49&lt;1,($AL49&gt;Lists!J$22)*($AL49&lt;=Lists!J$21),MAX(0,MIN(Lists!J$21,$AM49)-MAX(Lists!J$22,$AL49))/($AM49-$AL49))))))))</f>
        <v>0</v>
      </c>
      <c r="U49" s="53" t="n">
        <f aca="false">IF($H49=0,0,IF($AP49="X",0,IF($AP49="S",$H49/$AO49*(MIN($AO49,MAX(0,INT((Lists!K$21-N($J49))/7)+1))-MIN($AO49,MAX(0,INT((Lists!K$22-N($J49))/7)+1))),IF($AP49="D",$H49*MAX(0,MIN(Lists!K$21,N($J49)+$AO49)-MAX(Lists!K$22,N($J49)))/$AO49,IF($AP49="M",$H49/$AO49*(IF(Lists!K$21&lt;$J49,0,MIN($AO49,(((YEAR(Lists!K$21)-YEAR($J49))*12+MONTH(Lists!K$21)-MONTH($J49))-(EDATE($J49,((YEAR(Lists!K$21)-YEAR($J49))*12+MONTH(Lists!K$21)-MONTH($J49)))&gt;Lists!K$21)+1)))-IF(Lists!K$22&lt;$J49,0,MIN($AO49,(((YEAR(Lists!K$22)-YEAR($J49))*12+MONTH(Lists!K$22)-MONTH($J49))-(EDATE($J49,((YEAR(Lists!K$22)-YEAR($J49))*12+MONTH(Lists!K$22)-MONTH($J49)))&gt;Lists!K$22)+1)))),IF($AP49="F",IF(N($K49)&lt;=0,0,MIN(MAX(0,$H49),N($K49)*IF(Lists!K$21&lt;$J49,0,(((YEAR(Lists!K$21)-YEAR($J49))*12+MONTH(Lists!K$21)-MONTH($J49))-(EDATE($J49,((YEAR(Lists!K$21)-YEAR($J49))*12+MONTH(Lists!K$21)-MONTH($J49)))&gt;Lists!K$21)+1)))-MIN(MAX(0,$H49),N($K49)*IF(Lists!K$22&lt;$J49,0,(((YEAR(Lists!K$22)-YEAR($J49))*12+MONTH(Lists!K$22)-MONTH($J49))-(EDATE($J49,((YEAR(Lists!K$22)-YEAR($J49))*12+MONTH(Lists!K$22)-MONTH($J49)))&gt;Lists!K$22)+1)))),N($C49)*IF($AE49-$AD49&lt;1,($AD49&gt;Lists!K$22)*($AD49&lt;=Lists!K$21),MAX(0,MIN(Lists!K$21,$AE49)-MAX(Lists!K$22,$AD49))/($AE49-$AD49))+N($D49)*IF($AG49-$AF49&lt;1,($AF49&gt;Lists!K$22)*($AF49&lt;=Lists!K$21),MAX(0,MIN(Lists!K$21,$AG49)-MAX(Lists!K$22,$AF49))/($AG49-$AF49))+N($E49)*IF($AI49-$AH49&lt;1,($AH49&gt;Lists!K$22)*($AH49&lt;=Lists!K$21),MAX(0,MIN(Lists!K$21,$AI49)-MAX(Lists!K$22,$AH49))/($AI49-$AH49))+N($F49)*IF($AK49-$AJ49&lt;1,($AJ49&gt;Lists!K$22)*($AJ49&lt;=Lists!K$21),MAX(0,MIN(Lists!K$21,$AK49)-MAX(Lists!K$22,$AJ49))/($AK49-$AJ49))+N($G49)*IF($AM49-$AL49&lt;1,($AL49&gt;Lists!K$22)*($AL49&lt;=Lists!K$21),MAX(0,MIN(Lists!K$21,$AM49)-MAX(Lists!K$22,$AL49))/($AM49-$AL49))))))))</f>
        <v>0</v>
      </c>
      <c r="V49" s="53" t="n">
        <f aca="false">IF($H49=0,0,IF($AP49="X",0,IF($AP49="S",$H49/$AO49*(MIN($AO49,MAX(0,INT((Lists!L$21-N($J49))/7)+1))-MIN($AO49,MAX(0,INT((Lists!L$22-N($J49))/7)+1))),IF($AP49="D",$H49*MAX(0,MIN(Lists!L$21,N($J49)+$AO49)-MAX(Lists!L$22,N($J49)))/$AO49,IF($AP49="M",$H49/$AO49*(IF(Lists!L$21&lt;$J49,0,MIN($AO49,(((YEAR(Lists!L$21)-YEAR($J49))*12+MONTH(Lists!L$21)-MONTH($J49))-(EDATE($J49,((YEAR(Lists!L$21)-YEAR($J49))*12+MONTH(Lists!L$21)-MONTH($J49)))&gt;Lists!L$21)+1)))-IF(Lists!L$22&lt;$J49,0,MIN($AO49,(((YEAR(Lists!L$22)-YEAR($J49))*12+MONTH(Lists!L$22)-MONTH($J49))-(EDATE($J49,((YEAR(Lists!L$22)-YEAR($J49))*12+MONTH(Lists!L$22)-MONTH($J49)))&gt;Lists!L$22)+1)))),IF($AP49="F",IF(N($K49)&lt;=0,0,MIN(MAX(0,$H49),N($K49)*IF(Lists!L$21&lt;$J49,0,(((YEAR(Lists!L$21)-YEAR($J49))*12+MONTH(Lists!L$21)-MONTH($J49))-(EDATE($J49,((YEAR(Lists!L$21)-YEAR($J49))*12+MONTH(Lists!L$21)-MONTH($J49)))&gt;Lists!L$21)+1)))-MIN(MAX(0,$H49),N($K49)*IF(Lists!L$22&lt;$J49,0,(((YEAR(Lists!L$22)-YEAR($J49))*12+MONTH(Lists!L$22)-MONTH($J49))-(EDATE($J49,((YEAR(Lists!L$22)-YEAR($J49))*12+MONTH(Lists!L$22)-MONTH($J49)))&gt;Lists!L$22)+1)))),N($C49)*IF($AE49-$AD49&lt;1,($AD49&gt;Lists!L$22)*($AD49&lt;=Lists!L$21),MAX(0,MIN(Lists!L$21,$AE49)-MAX(Lists!L$22,$AD49))/($AE49-$AD49))+N($D49)*IF($AG49-$AF49&lt;1,($AF49&gt;Lists!L$22)*($AF49&lt;=Lists!L$21),MAX(0,MIN(Lists!L$21,$AG49)-MAX(Lists!L$22,$AF49))/($AG49-$AF49))+N($E49)*IF($AI49-$AH49&lt;1,($AH49&gt;Lists!L$22)*($AH49&lt;=Lists!L$21),MAX(0,MIN(Lists!L$21,$AI49)-MAX(Lists!L$22,$AH49))/($AI49-$AH49))+N($F49)*IF($AK49-$AJ49&lt;1,($AJ49&gt;Lists!L$22)*($AJ49&lt;=Lists!L$21),MAX(0,MIN(Lists!L$21,$AK49)-MAX(Lists!L$22,$AJ49))/($AK49-$AJ49))+N($G49)*IF($AM49-$AL49&lt;1,($AL49&gt;Lists!L$22)*($AL49&lt;=Lists!L$21),MAX(0,MIN(Lists!L$21,$AM49)-MAX(Lists!L$22,$AL49))/($AM49-$AL49))))))))</f>
        <v>0</v>
      </c>
      <c r="W49" s="53" t="n">
        <f aca="false">IF($H49=0,0,IF($AP49="X",0,IF($AP49="S",$H49/$AO49*(MIN($AO49,MAX(0,INT((Lists!M$21-N($J49))/7)+1))-MIN($AO49,MAX(0,INT((Lists!M$22-N($J49))/7)+1))),IF($AP49="D",$H49*MAX(0,MIN(Lists!M$21,N($J49)+$AO49)-MAX(Lists!M$22,N($J49)))/$AO49,IF($AP49="M",$H49/$AO49*(IF(Lists!M$21&lt;$J49,0,MIN($AO49,(((YEAR(Lists!M$21)-YEAR($J49))*12+MONTH(Lists!M$21)-MONTH($J49))-(EDATE($J49,((YEAR(Lists!M$21)-YEAR($J49))*12+MONTH(Lists!M$21)-MONTH($J49)))&gt;Lists!M$21)+1)))-IF(Lists!M$22&lt;$J49,0,MIN($AO49,(((YEAR(Lists!M$22)-YEAR($J49))*12+MONTH(Lists!M$22)-MONTH($J49))-(EDATE($J49,((YEAR(Lists!M$22)-YEAR($J49))*12+MONTH(Lists!M$22)-MONTH($J49)))&gt;Lists!M$22)+1)))),IF($AP49="F",IF(N($K49)&lt;=0,0,MIN(MAX(0,$H49),N($K49)*IF(Lists!M$21&lt;$J49,0,(((YEAR(Lists!M$21)-YEAR($J49))*12+MONTH(Lists!M$21)-MONTH($J49))-(EDATE($J49,((YEAR(Lists!M$21)-YEAR($J49))*12+MONTH(Lists!M$21)-MONTH($J49)))&gt;Lists!M$21)+1)))-MIN(MAX(0,$H49),N($K49)*IF(Lists!M$22&lt;$J49,0,(((YEAR(Lists!M$22)-YEAR($J49))*12+MONTH(Lists!M$22)-MONTH($J49))-(EDATE($J49,((YEAR(Lists!M$22)-YEAR($J49))*12+MONTH(Lists!M$22)-MONTH($J49)))&gt;Lists!M$22)+1)))),N($C49)*IF($AE49-$AD49&lt;1,($AD49&gt;Lists!M$22)*($AD49&lt;=Lists!M$21),MAX(0,MIN(Lists!M$21,$AE49)-MAX(Lists!M$22,$AD49))/($AE49-$AD49))+N($D49)*IF($AG49-$AF49&lt;1,($AF49&gt;Lists!M$22)*($AF49&lt;=Lists!M$21),MAX(0,MIN(Lists!M$21,$AG49)-MAX(Lists!M$22,$AF49))/($AG49-$AF49))+N($E49)*IF($AI49-$AH49&lt;1,($AH49&gt;Lists!M$22)*($AH49&lt;=Lists!M$21),MAX(0,MIN(Lists!M$21,$AI49)-MAX(Lists!M$22,$AH49))/($AI49-$AH49))+N($F49)*IF($AK49-$AJ49&lt;1,($AJ49&gt;Lists!M$22)*($AJ49&lt;=Lists!M$21),MAX(0,MIN(Lists!M$21,$AK49)-MAX(Lists!M$22,$AJ49))/($AK49-$AJ49))+N($G49)*IF($AM49-$AL49&lt;1,($AL49&gt;Lists!M$22)*($AL49&lt;=Lists!M$21),MAX(0,MIN(Lists!M$21,$AM49)-MAX(Lists!M$22,$AL49))/($AM49-$AL49))))))))</f>
        <v>0</v>
      </c>
      <c r="X49" s="53" t="n">
        <f aca="false">IF($H49=0,0,IF($AP49="X",0,IF($AP49="S",$H49/$AO49*(MIN($AO49,MAX(0,INT((Lists!N$21-N($J49))/7)+1))-MIN($AO49,MAX(0,INT((Lists!N$22-N($J49))/7)+1))),IF($AP49="D",$H49*MAX(0,MIN(Lists!N$21,N($J49)+$AO49)-MAX(Lists!N$22,N($J49)))/$AO49,IF($AP49="M",$H49/$AO49*(IF(Lists!N$21&lt;$J49,0,MIN($AO49,(((YEAR(Lists!N$21)-YEAR($J49))*12+MONTH(Lists!N$21)-MONTH($J49))-(EDATE($J49,((YEAR(Lists!N$21)-YEAR($J49))*12+MONTH(Lists!N$21)-MONTH($J49)))&gt;Lists!N$21)+1)))-IF(Lists!N$22&lt;$J49,0,MIN($AO49,(((YEAR(Lists!N$22)-YEAR($J49))*12+MONTH(Lists!N$22)-MONTH($J49))-(EDATE($J49,((YEAR(Lists!N$22)-YEAR($J49))*12+MONTH(Lists!N$22)-MONTH($J49)))&gt;Lists!N$22)+1)))),IF($AP49="F",IF(N($K49)&lt;=0,0,MIN(MAX(0,$H49),N($K49)*IF(Lists!N$21&lt;$J49,0,(((YEAR(Lists!N$21)-YEAR($J49))*12+MONTH(Lists!N$21)-MONTH($J49))-(EDATE($J49,((YEAR(Lists!N$21)-YEAR($J49))*12+MONTH(Lists!N$21)-MONTH($J49)))&gt;Lists!N$21)+1)))-MIN(MAX(0,$H49),N($K49)*IF(Lists!N$22&lt;$J49,0,(((YEAR(Lists!N$22)-YEAR($J49))*12+MONTH(Lists!N$22)-MONTH($J49))-(EDATE($J49,((YEAR(Lists!N$22)-YEAR($J49))*12+MONTH(Lists!N$22)-MONTH($J49)))&gt;Lists!N$22)+1)))),N($C49)*IF($AE49-$AD49&lt;1,($AD49&gt;Lists!N$22)*($AD49&lt;=Lists!N$21),MAX(0,MIN(Lists!N$21,$AE49)-MAX(Lists!N$22,$AD49))/($AE49-$AD49))+N($D49)*IF($AG49-$AF49&lt;1,($AF49&gt;Lists!N$22)*($AF49&lt;=Lists!N$21),MAX(0,MIN(Lists!N$21,$AG49)-MAX(Lists!N$22,$AF49))/($AG49-$AF49))+N($E49)*IF($AI49-$AH49&lt;1,($AH49&gt;Lists!N$22)*($AH49&lt;=Lists!N$21),MAX(0,MIN(Lists!N$21,$AI49)-MAX(Lists!N$22,$AH49))/($AI49-$AH49))+N($F49)*IF($AK49-$AJ49&lt;1,($AJ49&gt;Lists!N$22)*($AJ49&lt;=Lists!N$21),MAX(0,MIN(Lists!N$21,$AK49)-MAX(Lists!N$22,$AJ49))/($AK49-$AJ49))+N($G49)*IF($AM49-$AL49&lt;1,($AL49&gt;Lists!N$22)*($AL49&lt;=Lists!N$21),MAX(0,MIN(Lists!N$21,$AM49)-MAX(Lists!N$22,$AL49))/($AM49-$AL49))))))))</f>
        <v>0</v>
      </c>
      <c r="Y49" s="53" t="n">
        <f aca="false">IF($H49=0,0,IF($AP49="X",0,IF($AP49="S",$H49/$AO49*(MIN($AO49,MAX(0,INT((Lists!O$21-N($J49))/7)+1))-MIN($AO49,MAX(0,INT((Lists!O$22-N($J49))/7)+1))),IF($AP49="D",$H49*MAX(0,MIN(Lists!O$21,N($J49)+$AO49)-MAX(Lists!O$22,N($J49)))/$AO49,IF($AP49="M",$H49/$AO49*(IF(Lists!O$21&lt;$J49,0,MIN($AO49,(((YEAR(Lists!O$21)-YEAR($J49))*12+MONTH(Lists!O$21)-MONTH($J49))-(EDATE($J49,((YEAR(Lists!O$21)-YEAR($J49))*12+MONTH(Lists!O$21)-MONTH($J49)))&gt;Lists!O$21)+1)))-IF(Lists!O$22&lt;$J49,0,MIN($AO49,(((YEAR(Lists!O$22)-YEAR($J49))*12+MONTH(Lists!O$22)-MONTH($J49))-(EDATE($J49,((YEAR(Lists!O$22)-YEAR($J49))*12+MONTH(Lists!O$22)-MONTH($J49)))&gt;Lists!O$22)+1)))),IF($AP49="F",IF(N($K49)&lt;=0,0,MIN(MAX(0,$H49),N($K49)*IF(Lists!O$21&lt;$J49,0,(((YEAR(Lists!O$21)-YEAR($J49))*12+MONTH(Lists!O$21)-MONTH($J49))-(EDATE($J49,((YEAR(Lists!O$21)-YEAR($J49))*12+MONTH(Lists!O$21)-MONTH($J49)))&gt;Lists!O$21)+1)))-MIN(MAX(0,$H49),N($K49)*IF(Lists!O$22&lt;$J49,0,(((YEAR(Lists!O$22)-YEAR($J49))*12+MONTH(Lists!O$22)-MONTH($J49))-(EDATE($J49,((YEAR(Lists!O$22)-YEAR($J49))*12+MONTH(Lists!O$22)-MONTH($J49)))&gt;Lists!O$22)+1)))),N($C49)*IF($AE49-$AD49&lt;1,($AD49&gt;Lists!O$22)*($AD49&lt;=Lists!O$21),MAX(0,MIN(Lists!O$21,$AE49)-MAX(Lists!O$22,$AD49))/($AE49-$AD49))+N($D49)*IF($AG49-$AF49&lt;1,($AF49&gt;Lists!O$22)*($AF49&lt;=Lists!O$21),MAX(0,MIN(Lists!O$21,$AG49)-MAX(Lists!O$22,$AF49))/($AG49-$AF49))+N($E49)*IF($AI49-$AH49&lt;1,($AH49&gt;Lists!O$22)*($AH49&lt;=Lists!O$21),MAX(0,MIN(Lists!O$21,$AI49)-MAX(Lists!O$22,$AH49))/($AI49-$AH49))+N($F49)*IF($AK49-$AJ49&lt;1,($AJ49&gt;Lists!O$22)*($AJ49&lt;=Lists!O$21),MAX(0,MIN(Lists!O$21,$AK49)-MAX(Lists!O$22,$AJ49))/($AK49-$AJ49))+N($G49)*IF($AM49-$AL49&lt;1,($AL49&gt;Lists!O$22)*($AL49&lt;=Lists!O$21),MAX(0,MIN(Lists!O$21,$AM49)-MAX(Lists!O$22,$AL49))/($AM49-$AL49))))))))</f>
        <v>0</v>
      </c>
      <c r="Z49" s="46" t="n">
        <f aca="false">SUM(M49:Y49)</f>
        <v>0</v>
      </c>
      <c r="AA49" s="92" t="n">
        <f aca="false">H49-Z49</f>
        <v>0</v>
      </c>
      <c r="AB49" s="55"/>
      <c r="AC49" s="2"/>
      <c r="AD49" s="93" t="n">
        <f aca="false">Setup!$D$10+MAX(0,$AN49-30)</f>
        <v>46365</v>
      </c>
      <c r="AE49" s="93" t="n">
        <f aca="false">Setup!$D$10+IF($AN49-30&lt;0,MAX(Setup!$D$22,$AN49-0),$AN49-0)</f>
        <v>46395</v>
      </c>
      <c r="AF49" s="93" t="n">
        <f aca="false">Setup!$D$10+MAX(0,$AN49-60)</f>
        <v>46335</v>
      </c>
      <c r="AG49" s="93" t="n">
        <f aca="false">Setup!$D$10+IF($AN49-60&lt;0,MAX(Setup!$D$22,$AN49-31),$AN49-31)</f>
        <v>46364</v>
      </c>
      <c r="AH49" s="93" t="n">
        <f aca="false">Setup!$D$10+MAX(0,$AN49-90)</f>
        <v>46335</v>
      </c>
      <c r="AI49" s="93" t="n">
        <f aca="false">Setup!$D$10+IF($AN49-90&lt;0,MAX(Setup!$D$22,$AN49-61),$AN49-61)</f>
        <v>46363</v>
      </c>
      <c r="AJ49" s="93" t="n">
        <f aca="false">Setup!$D$10+MAX(0,$AN49-120)</f>
        <v>46335</v>
      </c>
      <c r="AK49" s="93" t="n">
        <f aca="false">Setup!$D$10+IF($AN49-120&lt;0,MAX(Setup!$D$22,$AN49-91),$AN49-91)</f>
        <v>46363</v>
      </c>
      <c r="AL49" s="93" t="n">
        <f aca="false">IF(Setup!$D$23="Yes",2958465,Setup!$D$10)</f>
        <v>2958465</v>
      </c>
      <c r="AM49" s="93" t="n">
        <f aca="false">IF(AL49=2958465,AL49,Setup!$D$10+Setup!$D$22)</f>
        <v>2958465</v>
      </c>
      <c r="AN49" s="94" t="n">
        <f aca="false">IF(N(L49)=0,Setup!$D$20,L49)</f>
        <v>60</v>
      </c>
      <c r="AO49" s="94" t="n">
        <f aca="false">MAX(1,ROUND(N(K49),0))</f>
        <v>1</v>
      </c>
      <c r="AP49" s="95" t="str">
        <f aca="false">IF(I49="Doubtful","X",IF(N(J49)=0,"A",IF(I49="Specific date","S",IF(I49="Spread over days","D",IF(I49="Monthly on set day","M",IF(I49="Monthly fixed amount","F","A"))))))</f>
        <v>A</v>
      </c>
    </row>
    <row r="50" customFormat="false" ht="15" hidden="false" customHeight="false" outlineLevel="0" collapsed="false">
      <c r="A50" s="87" t="n">
        <v>42</v>
      </c>
      <c r="B50" s="55"/>
      <c r="C50" s="88"/>
      <c r="D50" s="88"/>
      <c r="E50" s="88"/>
      <c r="F50" s="88"/>
      <c r="G50" s="88"/>
      <c r="H50" s="89" t="n">
        <f aca="false">SUM(C50:G50)</f>
        <v>0</v>
      </c>
      <c r="I50" s="58"/>
      <c r="J50" s="90"/>
      <c r="K50" s="91"/>
      <c r="L50" s="80"/>
      <c r="M50" s="53" t="n">
        <f aca="false">IF($H50=0,0,IF($AP50="X",0,IF($AP50="S",$H50/$AO50*(MIN($AO50,MAX(0,INT((Lists!C$21-N($J50))/7)+1))-MIN($AO50,MAX(0,INT((Lists!C$22-N($J50))/7)+1))),IF($AP50="D",$H50*MAX(0,MIN(Lists!C$21,N($J50)+$AO50)-MAX(Lists!C$22,N($J50)))/$AO50,IF($AP50="M",$H50/$AO50*(IF(Lists!C$21&lt;$J50,0,MIN($AO50,(((YEAR(Lists!C$21)-YEAR($J50))*12+MONTH(Lists!C$21)-MONTH($J50))-(EDATE($J50,((YEAR(Lists!C$21)-YEAR($J50))*12+MONTH(Lists!C$21)-MONTH($J50)))&gt;Lists!C$21)+1)))-IF(Lists!C$22&lt;$J50,0,MIN($AO50,(((YEAR(Lists!C$22)-YEAR($J50))*12+MONTH(Lists!C$22)-MONTH($J50))-(EDATE($J50,((YEAR(Lists!C$22)-YEAR($J50))*12+MONTH(Lists!C$22)-MONTH($J50)))&gt;Lists!C$22)+1)))),IF($AP50="F",IF(N($K50)&lt;=0,0,MIN(MAX(0,$H50),N($K50)*IF(Lists!C$21&lt;$J50,0,(((YEAR(Lists!C$21)-YEAR($J50))*12+MONTH(Lists!C$21)-MONTH($J50))-(EDATE($J50,((YEAR(Lists!C$21)-YEAR($J50))*12+MONTH(Lists!C$21)-MONTH($J50)))&gt;Lists!C$21)+1)))-MIN(MAX(0,$H50),N($K50)*IF(Lists!C$22&lt;$J50,0,(((YEAR(Lists!C$22)-YEAR($J50))*12+MONTH(Lists!C$22)-MONTH($J50))-(EDATE($J50,((YEAR(Lists!C$22)-YEAR($J50))*12+MONTH(Lists!C$22)-MONTH($J50)))&gt;Lists!C$22)+1)))),N($C50)*IF($AE50-$AD50&lt;1,($AD50&gt;Lists!C$22)*($AD50&lt;=Lists!C$21),MAX(0,MIN(Lists!C$21,$AE50)-MAX(Lists!C$22,$AD50))/($AE50-$AD50))+N($D50)*IF($AG50-$AF50&lt;1,($AF50&gt;Lists!C$22)*($AF50&lt;=Lists!C$21),MAX(0,MIN(Lists!C$21,$AG50)-MAX(Lists!C$22,$AF50))/($AG50-$AF50))+N($E50)*IF($AI50-$AH50&lt;1,($AH50&gt;Lists!C$22)*($AH50&lt;=Lists!C$21),MAX(0,MIN(Lists!C$21,$AI50)-MAX(Lists!C$22,$AH50))/($AI50-$AH50))+N($F50)*IF($AK50-$AJ50&lt;1,($AJ50&gt;Lists!C$22)*($AJ50&lt;=Lists!C$21),MAX(0,MIN(Lists!C$21,$AK50)-MAX(Lists!C$22,$AJ50))/($AK50-$AJ50))+N($G50)*IF($AM50-$AL50&lt;1,($AL50&gt;Lists!C$22)*($AL50&lt;=Lists!C$21),MAX(0,MIN(Lists!C$21,$AM50)-MAX(Lists!C$22,$AL50))/($AM50-$AL50))))))))</f>
        <v>0</v>
      </c>
      <c r="N50" s="53" t="n">
        <f aca="false">IF($H50=0,0,IF($AP50="X",0,IF($AP50="S",$H50/$AO50*(MIN($AO50,MAX(0,INT((Lists!D$21-N($J50))/7)+1))-MIN($AO50,MAX(0,INT((Lists!D$22-N($J50))/7)+1))),IF($AP50="D",$H50*MAX(0,MIN(Lists!D$21,N($J50)+$AO50)-MAX(Lists!D$22,N($J50)))/$AO50,IF($AP50="M",$H50/$AO50*(IF(Lists!D$21&lt;$J50,0,MIN($AO50,(((YEAR(Lists!D$21)-YEAR($J50))*12+MONTH(Lists!D$21)-MONTH($J50))-(EDATE($J50,((YEAR(Lists!D$21)-YEAR($J50))*12+MONTH(Lists!D$21)-MONTH($J50)))&gt;Lists!D$21)+1)))-IF(Lists!D$22&lt;$J50,0,MIN($AO50,(((YEAR(Lists!D$22)-YEAR($J50))*12+MONTH(Lists!D$22)-MONTH($J50))-(EDATE($J50,((YEAR(Lists!D$22)-YEAR($J50))*12+MONTH(Lists!D$22)-MONTH($J50)))&gt;Lists!D$22)+1)))),IF($AP50="F",IF(N($K50)&lt;=0,0,MIN(MAX(0,$H50),N($K50)*IF(Lists!D$21&lt;$J50,0,(((YEAR(Lists!D$21)-YEAR($J50))*12+MONTH(Lists!D$21)-MONTH($J50))-(EDATE($J50,((YEAR(Lists!D$21)-YEAR($J50))*12+MONTH(Lists!D$21)-MONTH($J50)))&gt;Lists!D$21)+1)))-MIN(MAX(0,$H50),N($K50)*IF(Lists!D$22&lt;$J50,0,(((YEAR(Lists!D$22)-YEAR($J50))*12+MONTH(Lists!D$22)-MONTH($J50))-(EDATE($J50,((YEAR(Lists!D$22)-YEAR($J50))*12+MONTH(Lists!D$22)-MONTH($J50)))&gt;Lists!D$22)+1)))),N($C50)*IF($AE50-$AD50&lt;1,($AD50&gt;Lists!D$22)*($AD50&lt;=Lists!D$21),MAX(0,MIN(Lists!D$21,$AE50)-MAX(Lists!D$22,$AD50))/($AE50-$AD50))+N($D50)*IF($AG50-$AF50&lt;1,($AF50&gt;Lists!D$22)*($AF50&lt;=Lists!D$21),MAX(0,MIN(Lists!D$21,$AG50)-MAX(Lists!D$22,$AF50))/($AG50-$AF50))+N($E50)*IF($AI50-$AH50&lt;1,($AH50&gt;Lists!D$22)*($AH50&lt;=Lists!D$21),MAX(0,MIN(Lists!D$21,$AI50)-MAX(Lists!D$22,$AH50))/($AI50-$AH50))+N($F50)*IF($AK50-$AJ50&lt;1,($AJ50&gt;Lists!D$22)*($AJ50&lt;=Lists!D$21),MAX(0,MIN(Lists!D$21,$AK50)-MAX(Lists!D$22,$AJ50))/($AK50-$AJ50))+N($G50)*IF($AM50-$AL50&lt;1,($AL50&gt;Lists!D$22)*($AL50&lt;=Lists!D$21),MAX(0,MIN(Lists!D$21,$AM50)-MAX(Lists!D$22,$AL50))/($AM50-$AL50))))))))</f>
        <v>0</v>
      </c>
      <c r="O50" s="53" t="n">
        <f aca="false">IF($H50=0,0,IF($AP50="X",0,IF($AP50="S",$H50/$AO50*(MIN($AO50,MAX(0,INT((Lists!E$21-N($J50))/7)+1))-MIN($AO50,MAX(0,INT((Lists!E$22-N($J50))/7)+1))),IF($AP50="D",$H50*MAX(0,MIN(Lists!E$21,N($J50)+$AO50)-MAX(Lists!E$22,N($J50)))/$AO50,IF($AP50="M",$H50/$AO50*(IF(Lists!E$21&lt;$J50,0,MIN($AO50,(((YEAR(Lists!E$21)-YEAR($J50))*12+MONTH(Lists!E$21)-MONTH($J50))-(EDATE($J50,((YEAR(Lists!E$21)-YEAR($J50))*12+MONTH(Lists!E$21)-MONTH($J50)))&gt;Lists!E$21)+1)))-IF(Lists!E$22&lt;$J50,0,MIN($AO50,(((YEAR(Lists!E$22)-YEAR($J50))*12+MONTH(Lists!E$22)-MONTH($J50))-(EDATE($J50,((YEAR(Lists!E$22)-YEAR($J50))*12+MONTH(Lists!E$22)-MONTH($J50)))&gt;Lists!E$22)+1)))),IF($AP50="F",IF(N($K50)&lt;=0,0,MIN(MAX(0,$H50),N($K50)*IF(Lists!E$21&lt;$J50,0,(((YEAR(Lists!E$21)-YEAR($J50))*12+MONTH(Lists!E$21)-MONTH($J50))-(EDATE($J50,((YEAR(Lists!E$21)-YEAR($J50))*12+MONTH(Lists!E$21)-MONTH($J50)))&gt;Lists!E$21)+1)))-MIN(MAX(0,$H50),N($K50)*IF(Lists!E$22&lt;$J50,0,(((YEAR(Lists!E$22)-YEAR($J50))*12+MONTH(Lists!E$22)-MONTH($J50))-(EDATE($J50,((YEAR(Lists!E$22)-YEAR($J50))*12+MONTH(Lists!E$22)-MONTH($J50)))&gt;Lists!E$22)+1)))),N($C50)*IF($AE50-$AD50&lt;1,($AD50&gt;Lists!E$22)*($AD50&lt;=Lists!E$21),MAX(0,MIN(Lists!E$21,$AE50)-MAX(Lists!E$22,$AD50))/($AE50-$AD50))+N($D50)*IF($AG50-$AF50&lt;1,($AF50&gt;Lists!E$22)*($AF50&lt;=Lists!E$21),MAX(0,MIN(Lists!E$21,$AG50)-MAX(Lists!E$22,$AF50))/($AG50-$AF50))+N($E50)*IF($AI50-$AH50&lt;1,($AH50&gt;Lists!E$22)*($AH50&lt;=Lists!E$21),MAX(0,MIN(Lists!E$21,$AI50)-MAX(Lists!E$22,$AH50))/($AI50-$AH50))+N($F50)*IF($AK50-$AJ50&lt;1,($AJ50&gt;Lists!E$22)*($AJ50&lt;=Lists!E$21),MAX(0,MIN(Lists!E$21,$AK50)-MAX(Lists!E$22,$AJ50))/($AK50-$AJ50))+N($G50)*IF($AM50-$AL50&lt;1,($AL50&gt;Lists!E$22)*($AL50&lt;=Lists!E$21),MAX(0,MIN(Lists!E$21,$AM50)-MAX(Lists!E$22,$AL50))/($AM50-$AL50))))))))</f>
        <v>0</v>
      </c>
      <c r="P50" s="53" t="n">
        <f aca="false">IF($H50=0,0,IF($AP50="X",0,IF($AP50="S",$H50/$AO50*(MIN($AO50,MAX(0,INT((Lists!F$21-N($J50))/7)+1))-MIN($AO50,MAX(0,INT((Lists!F$22-N($J50))/7)+1))),IF($AP50="D",$H50*MAX(0,MIN(Lists!F$21,N($J50)+$AO50)-MAX(Lists!F$22,N($J50)))/$AO50,IF($AP50="M",$H50/$AO50*(IF(Lists!F$21&lt;$J50,0,MIN($AO50,(((YEAR(Lists!F$21)-YEAR($J50))*12+MONTH(Lists!F$21)-MONTH($J50))-(EDATE($J50,((YEAR(Lists!F$21)-YEAR($J50))*12+MONTH(Lists!F$21)-MONTH($J50)))&gt;Lists!F$21)+1)))-IF(Lists!F$22&lt;$J50,0,MIN($AO50,(((YEAR(Lists!F$22)-YEAR($J50))*12+MONTH(Lists!F$22)-MONTH($J50))-(EDATE($J50,((YEAR(Lists!F$22)-YEAR($J50))*12+MONTH(Lists!F$22)-MONTH($J50)))&gt;Lists!F$22)+1)))),IF($AP50="F",IF(N($K50)&lt;=0,0,MIN(MAX(0,$H50),N($K50)*IF(Lists!F$21&lt;$J50,0,(((YEAR(Lists!F$21)-YEAR($J50))*12+MONTH(Lists!F$21)-MONTH($J50))-(EDATE($J50,((YEAR(Lists!F$21)-YEAR($J50))*12+MONTH(Lists!F$21)-MONTH($J50)))&gt;Lists!F$21)+1)))-MIN(MAX(0,$H50),N($K50)*IF(Lists!F$22&lt;$J50,0,(((YEAR(Lists!F$22)-YEAR($J50))*12+MONTH(Lists!F$22)-MONTH($J50))-(EDATE($J50,((YEAR(Lists!F$22)-YEAR($J50))*12+MONTH(Lists!F$22)-MONTH($J50)))&gt;Lists!F$22)+1)))),N($C50)*IF($AE50-$AD50&lt;1,($AD50&gt;Lists!F$22)*($AD50&lt;=Lists!F$21),MAX(0,MIN(Lists!F$21,$AE50)-MAX(Lists!F$22,$AD50))/($AE50-$AD50))+N($D50)*IF($AG50-$AF50&lt;1,($AF50&gt;Lists!F$22)*($AF50&lt;=Lists!F$21),MAX(0,MIN(Lists!F$21,$AG50)-MAX(Lists!F$22,$AF50))/($AG50-$AF50))+N($E50)*IF($AI50-$AH50&lt;1,($AH50&gt;Lists!F$22)*($AH50&lt;=Lists!F$21),MAX(0,MIN(Lists!F$21,$AI50)-MAX(Lists!F$22,$AH50))/($AI50-$AH50))+N($F50)*IF($AK50-$AJ50&lt;1,($AJ50&gt;Lists!F$22)*($AJ50&lt;=Lists!F$21),MAX(0,MIN(Lists!F$21,$AK50)-MAX(Lists!F$22,$AJ50))/($AK50-$AJ50))+N($G50)*IF($AM50-$AL50&lt;1,($AL50&gt;Lists!F$22)*($AL50&lt;=Lists!F$21),MAX(0,MIN(Lists!F$21,$AM50)-MAX(Lists!F$22,$AL50))/($AM50-$AL50))))))))</f>
        <v>0</v>
      </c>
      <c r="Q50" s="53" t="n">
        <f aca="false">IF($H50=0,0,IF($AP50="X",0,IF($AP50="S",$H50/$AO50*(MIN($AO50,MAX(0,INT((Lists!G$21-N($J50))/7)+1))-MIN($AO50,MAX(0,INT((Lists!G$22-N($J50))/7)+1))),IF($AP50="D",$H50*MAX(0,MIN(Lists!G$21,N($J50)+$AO50)-MAX(Lists!G$22,N($J50)))/$AO50,IF($AP50="M",$H50/$AO50*(IF(Lists!G$21&lt;$J50,0,MIN($AO50,(((YEAR(Lists!G$21)-YEAR($J50))*12+MONTH(Lists!G$21)-MONTH($J50))-(EDATE($J50,((YEAR(Lists!G$21)-YEAR($J50))*12+MONTH(Lists!G$21)-MONTH($J50)))&gt;Lists!G$21)+1)))-IF(Lists!G$22&lt;$J50,0,MIN($AO50,(((YEAR(Lists!G$22)-YEAR($J50))*12+MONTH(Lists!G$22)-MONTH($J50))-(EDATE($J50,((YEAR(Lists!G$22)-YEAR($J50))*12+MONTH(Lists!G$22)-MONTH($J50)))&gt;Lists!G$22)+1)))),IF($AP50="F",IF(N($K50)&lt;=0,0,MIN(MAX(0,$H50),N($K50)*IF(Lists!G$21&lt;$J50,0,(((YEAR(Lists!G$21)-YEAR($J50))*12+MONTH(Lists!G$21)-MONTH($J50))-(EDATE($J50,((YEAR(Lists!G$21)-YEAR($J50))*12+MONTH(Lists!G$21)-MONTH($J50)))&gt;Lists!G$21)+1)))-MIN(MAX(0,$H50),N($K50)*IF(Lists!G$22&lt;$J50,0,(((YEAR(Lists!G$22)-YEAR($J50))*12+MONTH(Lists!G$22)-MONTH($J50))-(EDATE($J50,((YEAR(Lists!G$22)-YEAR($J50))*12+MONTH(Lists!G$22)-MONTH($J50)))&gt;Lists!G$22)+1)))),N($C50)*IF($AE50-$AD50&lt;1,($AD50&gt;Lists!G$22)*($AD50&lt;=Lists!G$21),MAX(0,MIN(Lists!G$21,$AE50)-MAX(Lists!G$22,$AD50))/($AE50-$AD50))+N($D50)*IF($AG50-$AF50&lt;1,($AF50&gt;Lists!G$22)*($AF50&lt;=Lists!G$21),MAX(0,MIN(Lists!G$21,$AG50)-MAX(Lists!G$22,$AF50))/($AG50-$AF50))+N($E50)*IF($AI50-$AH50&lt;1,($AH50&gt;Lists!G$22)*($AH50&lt;=Lists!G$21),MAX(0,MIN(Lists!G$21,$AI50)-MAX(Lists!G$22,$AH50))/($AI50-$AH50))+N($F50)*IF($AK50-$AJ50&lt;1,($AJ50&gt;Lists!G$22)*($AJ50&lt;=Lists!G$21),MAX(0,MIN(Lists!G$21,$AK50)-MAX(Lists!G$22,$AJ50))/($AK50-$AJ50))+N($G50)*IF($AM50-$AL50&lt;1,($AL50&gt;Lists!G$22)*($AL50&lt;=Lists!G$21),MAX(0,MIN(Lists!G$21,$AM50)-MAX(Lists!G$22,$AL50))/($AM50-$AL50))))))))</f>
        <v>0</v>
      </c>
      <c r="R50" s="53" t="n">
        <f aca="false">IF($H50=0,0,IF($AP50="X",0,IF($AP50="S",$H50/$AO50*(MIN($AO50,MAX(0,INT((Lists!H$21-N($J50))/7)+1))-MIN($AO50,MAX(0,INT((Lists!H$22-N($J50))/7)+1))),IF($AP50="D",$H50*MAX(0,MIN(Lists!H$21,N($J50)+$AO50)-MAX(Lists!H$22,N($J50)))/$AO50,IF($AP50="M",$H50/$AO50*(IF(Lists!H$21&lt;$J50,0,MIN($AO50,(((YEAR(Lists!H$21)-YEAR($J50))*12+MONTH(Lists!H$21)-MONTH($J50))-(EDATE($J50,((YEAR(Lists!H$21)-YEAR($J50))*12+MONTH(Lists!H$21)-MONTH($J50)))&gt;Lists!H$21)+1)))-IF(Lists!H$22&lt;$J50,0,MIN($AO50,(((YEAR(Lists!H$22)-YEAR($J50))*12+MONTH(Lists!H$22)-MONTH($J50))-(EDATE($J50,((YEAR(Lists!H$22)-YEAR($J50))*12+MONTH(Lists!H$22)-MONTH($J50)))&gt;Lists!H$22)+1)))),IF($AP50="F",IF(N($K50)&lt;=0,0,MIN(MAX(0,$H50),N($K50)*IF(Lists!H$21&lt;$J50,0,(((YEAR(Lists!H$21)-YEAR($J50))*12+MONTH(Lists!H$21)-MONTH($J50))-(EDATE($J50,((YEAR(Lists!H$21)-YEAR($J50))*12+MONTH(Lists!H$21)-MONTH($J50)))&gt;Lists!H$21)+1)))-MIN(MAX(0,$H50),N($K50)*IF(Lists!H$22&lt;$J50,0,(((YEAR(Lists!H$22)-YEAR($J50))*12+MONTH(Lists!H$22)-MONTH($J50))-(EDATE($J50,((YEAR(Lists!H$22)-YEAR($J50))*12+MONTH(Lists!H$22)-MONTH($J50)))&gt;Lists!H$22)+1)))),N($C50)*IF($AE50-$AD50&lt;1,($AD50&gt;Lists!H$22)*($AD50&lt;=Lists!H$21),MAX(0,MIN(Lists!H$21,$AE50)-MAX(Lists!H$22,$AD50))/($AE50-$AD50))+N($D50)*IF($AG50-$AF50&lt;1,($AF50&gt;Lists!H$22)*($AF50&lt;=Lists!H$21),MAX(0,MIN(Lists!H$21,$AG50)-MAX(Lists!H$22,$AF50))/($AG50-$AF50))+N($E50)*IF($AI50-$AH50&lt;1,($AH50&gt;Lists!H$22)*($AH50&lt;=Lists!H$21),MAX(0,MIN(Lists!H$21,$AI50)-MAX(Lists!H$22,$AH50))/($AI50-$AH50))+N($F50)*IF($AK50-$AJ50&lt;1,($AJ50&gt;Lists!H$22)*($AJ50&lt;=Lists!H$21),MAX(0,MIN(Lists!H$21,$AK50)-MAX(Lists!H$22,$AJ50))/($AK50-$AJ50))+N($G50)*IF($AM50-$AL50&lt;1,($AL50&gt;Lists!H$22)*($AL50&lt;=Lists!H$21),MAX(0,MIN(Lists!H$21,$AM50)-MAX(Lists!H$22,$AL50))/($AM50-$AL50))))))))</f>
        <v>0</v>
      </c>
      <c r="S50" s="53" t="n">
        <f aca="false">IF($H50=0,0,IF($AP50="X",0,IF($AP50="S",$H50/$AO50*(MIN($AO50,MAX(0,INT((Lists!I$21-N($J50))/7)+1))-MIN($AO50,MAX(0,INT((Lists!I$22-N($J50))/7)+1))),IF($AP50="D",$H50*MAX(0,MIN(Lists!I$21,N($J50)+$AO50)-MAX(Lists!I$22,N($J50)))/$AO50,IF($AP50="M",$H50/$AO50*(IF(Lists!I$21&lt;$J50,0,MIN($AO50,(((YEAR(Lists!I$21)-YEAR($J50))*12+MONTH(Lists!I$21)-MONTH($J50))-(EDATE($J50,((YEAR(Lists!I$21)-YEAR($J50))*12+MONTH(Lists!I$21)-MONTH($J50)))&gt;Lists!I$21)+1)))-IF(Lists!I$22&lt;$J50,0,MIN($AO50,(((YEAR(Lists!I$22)-YEAR($J50))*12+MONTH(Lists!I$22)-MONTH($J50))-(EDATE($J50,((YEAR(Lists!I$22)-YEAR($J50))*12+MONTH(Lists!I$22)-MONTH($J50)))&gt;Lists!I$22)+1)))),IF($AP50="F",IF(N($K50)&lt;=0,0,MIN(MAX(0,$H50),N($K50)*IF(Lists!I$21&lt;$J50,0,(((YEAR(Lists!I$21)-YEAR($J50))*12+MONTH(Lists!I$21)-MONTH($J50))-(EDATE($J50,((YEAR(Lists!I$21)-YEAR($J50))*12+MONTH(Lists!I$21)-MONTH($J50)))&gt;Lists!I$21)+1)))-MIN(MAX(0,$H50),N($K50)*IF(Lists!I$22&lt;$J50,0,(((YEAR(Lists!I$22)-YEAR($J50))*12+MONTH(Lists!I$22)-MONTH($J50))-(EDATE($J50,((YEAR(Lists!I$22)-YEAR($J50))*12+MONTH(Lists!I$22)-MONTH($J50)))&gt;Lists!I$22)+1)))),N($C50)*IF($AE50-$AD50&lt;1,($AD50&gt;Lists!I$22)*($AD50&lt;=Lists!I$21),MAX(0,MIN(Lists!I$21,$AE50)-MAX(Lists!I$22,$AD50))/($AE50-$AD50))+N($D50)*IF($AG50-$AF50&lt;1,($AF50&gt;Lists!I$22)*($AF50&lt;=Lists!I$21),MAX(0,MIN(Lists!I$21,$AG50)-MAX(Lists!I$22,$AF50))/($AG50-$AF50))+N($E50)*IF($AI50-$AH50&lt;1,($AH50&gt;Lists!I$22)*($AH50&lt;=Lists!I$21),MAX(0,MIN(Lists!I$21,$AI50)-MAX(Lists!I$22,$AH50))/($AI50-$AH50))+N($F50)*IF($AK50-$AJ50&lt;1,($AJ50&gt;Lists!I$22)*($AJ50&lt;=Lists!I$21),MAX(0,MIN(Lists!I$21,$AK50)-MAX(Lists!I$22,$AJ50))/($AK50-$AJ50))+N($G50)*IF($AM50-$AL50&lt;1,($AL50&gt;Lists!I$22)*($AL50&lt;=Lists!I$21),MAX(0,MIN(Lists!I$21,$AM50)-MAX(Lists!I$22,$AL50))/($AM50-$AL50))))))))</f>
        <v>0</v>
      </c>
      <c r="T50" s="53" t="n">
        <f aca="false">IF($H50=0,0,IF($AP50="X",0,IF($AP50="S",$H50/$AO50*(MIN($AO50,MAX(0,INT((Lists!J$21-N($J50))/7)+1))-MIN($AO50,MAX(0,INT((Lists!J$22-N($J50))/7)+1))),IF($AP50="D",$H50*MAX(0,MIN(Lists!J$21,N($J50)+$AO50)-MAX(Lists!J$22,N($J50)))/$AO50,IF($AP50="M",$H50/$AO50*(IF(Lists!J$21&lt;$J50,0,MIN($AO50,(((YEAR(Lists!J$21)-YEAR($J50))*12+MONTH(Lists!J$21)-MONTH($J50))-(EDATE($J50,((YEAR(Lists!J$21)-YEAR($J50))*12+MONTH(Lists!J$21)-MONTH($J50)))&gt;Lists!J$21)+1)))-IF(Lists!J$22&lt;$J50,0,MIN($AO50,(((YEAR(Lists!J$22)-YEAR($J50))*12+MONTH(Lists!J$22)-MONTH($J50))-(EDATE($J50,((YEAR(Lists!J$22)-YEAR($J50))*12+MONTH(Lists!J$22)-MONTH($J50)))&gt;Lists!J$22)+1)))),IF($AP50="F",IF(N($K50)&lt;=0,0,MIN(MAX(0,$H50),N($K50)*IF(Lists!J$21&lt;$J50,0,(((YEAR(Lists!J$21)-YEAR($J50))*12+MONTH(Lists!J$21)-MONTH($J50))-(EDATE($J50,((YEAR(Lists!J$21)-YEAR($J50))*12+MONTH(Lists!J$21)-MONTH($J50)))&gt;Lists!J$21)+1)))-MIN(MAX(0,$H50),N($K50)*IF(Lists!J$22&lt;$J50,0,(((YEAR(Lists!J$22)-YEAR($J50))*12+MONTH(Lists!J$22)-MONTH($J50))-(EDATE($J50,((YEAR(Lists!J$22)-YEAR($J50))*12+MONTH(Lists!J$22)-MONTH($J50)))&gt;Lists!J$22)+1)))),N($C50)*IF($AE50-$AD50&lt;1,($AD50&gt;Lists!J$22)*($AD50&lt;=Lists!J$21),MAX(0,MIN(Lists!J$21,$AE50)-MAX(Lists!J$22,$AD50))/($AE50-$AD50))+N($D50)*IF($AG50-$AF50&lt;1,($AF50&gt;Lists!J$22)*($AF50&lt;=Lists!J$21),MAX(0,MIN(Lists!J$21,$AG50)-MAX(Lists!J$22,$AF50))/($AG50-$AF50))+N($E50)*IF($AI50-$AH50&lt;1,($AH50&gt;Lists!J$22)*($AH50&lt;=Lists!J$21),MAX(0,MIN(Lists!J$21,$AI50)-MAX(Lists!J$22,$AH50))/($AI50-$AH50))+N($F50)*IF($AK50-$AJ50&lt;1,($AJ50&gt;Lists!J$22)*($AJ50&lt;=Lists!J$21),MAX(0,MIN(Lists!J$21,$AK50)-MAX(Lists!J$22,$AJ50))/($AK50-$AJ50))+N($G50)*IF($AM50-$AL50&lt;1,($AL50&gt;Lists!J$22)*($AL50&lt;=Lists!J$21),MAX(0,MIN(Lists!J$21,$AM50)-MAX(Lists!J$22,$AL50))/($AM50-$AL50))))))))</f>
        <v>0</v>
      </c>
      <c r="U50" s="53" t="n">
        <f aca="false">IF($H50=0,0,IF($AP50="X",0,IF($AP50="S",$H50/$AO50*(MIN($AO50,MAX(0,INT((Lists!K$21-N($J50))/7)+1))-MIN($AO50,MAX(0,INT((Lists!K$22-N($J50))/7)+1))),IF($AP50="D",$H50*MAX(0,MIN(Lists!K$21,N($J50)+$AO50)-MAX(Lists!K$22,N($J50)))/$AO50,IF($AP50="M",$H50/$AO50*(IF(Lists!K$21&lt;$J50,0,MIN($AO50,(((YEAR(Lists!K$21)-YEAR($J50))*12+MONTH(Lists!K$21)-MONTH($J50))-(EDATE($J50,((YEAR(Lists!K$21)-YEAR($J50))*12+MONTH(Lists!K$21)-MONTH($J50)))&gt;Lists!K$21)+1)))-IF(Lists!K$22&lt;$J50,0,MIN($AO50,(((YEAR(Lists!K$22)-YEAR($J50))*12+MONTH(Lists!K$22)-MONTH($J50))-(EDATE($J50,((YEAR(Lists!K$22)-YEAR($J50))*12+MONTH(Lists!K$22)-MONTH($J50)))&gt;Lists!K$22)+1)))),IF($AP50="F",IF(N($K50)&lt;=0,0,MIN(MAX(0,$H50),N($K50)*IF(Lists!K$21&lt;$J50,0,(((YEAR(Lists!K$21)-YEAR($J50))*12+MONTH(Lists!K$21)-MONTH($J50))-(EDATE($J50,((YEAR(Lists!K$21)-YEAR($J50))*12+MONTH(Lists!K$21)-MONTH($J50)))&gt;Lists!K$21)+1)))-MIN(MAX(0,$H50),N($K50)*IF(Lists!K$22&lt;$J50,0,(((YEAR(Lists!K$22)-YEAR($J50))*12+MONTH(Lists!K$22)-MONTH($J50))-(EDATE($J50,((YEAR(Lists!K$22)-YEAR($J50))*12+MONTH(Lists!K$22)-MONTH($J50)))&gt;Lists!K$22)+1)))),N($C50)*IF($AE50-$AD50&lt;1,($AD50&gt;Lists!K$22)*($AD50&lt;=Lists!K$21),MAX(0,MIN(Lists!K$21,$AE50)-MAX(Lists!K$22,$AD50))/($AE50-$AD50))+N($D50)*IF($AG50-$AF50&lt;1,($AF50&gt;Lists!K$22)*($AF50&lt;=Lists!K$21),MAX(0,MIN(Lists!K$21,$AG50)-MAX(Lists!K$22,$AF50))/($AG50-$AF50))+N($E50)*IF($AI50-$AH50&lt;1,($AH50&gt;Lists!K$22)*($AH50&lt;=Lists!K$21),MAX(0,MIN(Lists!K$21,$AI50)-MAX(Lists!K$22,$AH50))/($AI50-$AH50))+N($F50)*IF($AK50-$AJ50&lt;1,($AJ50&gt;Lists!K$22)*($AJ50&lt;=Lists!K$21),MAX(0,MIN(Lists!K$21,$AK50)-MAX(Lists!K$22,$AJ50))/($AK50-$AJ50))+N($G50)*IF($AM50-$AL50&lt;1,($AL50&gt;Lists!K$22)*($AL50&lt;=Lists!K$21),MAX(0,MIN(Lists!K$21,$AM50)-MAX(Lists!K$22,$AL50))/($AM50-$AL50))))))))</f>
        <v>0</v>
      </c>
      <c r="V50" s="53" t="n">
        <f aca="false">IF($H50=0,0,IF($AP50="X",0,IF($AP50="S",$H50/$AO50*(MIN($AO50,MAX(0,INT((Lists!L$21-N($J50))/7)+1))-MIN($AO50,MAX(0,INT((Lists!L$22-N($J50))/7)+1))),IF($AP50="D",$H50*MAX(0,MIN(Lists!L$21,N($J50)+$AO50)-MAX(Lists!L$22,N($J50)))/$AO50,IF($AP50="M",$H50/$AO50*(IF(Lists!L$21&lt;$J50,0,MIN($AO50,(((YEAR(Lists!L$21)-YEAR($J50))*12+MONTH(Lists!L$21)-MONTH($J50))-(EDATE($J50,((YEAR(Lists!L$21)-YEAR($J50))*12+MONTH(Lists!L$21)-MONTH($J50)))&gt;Lists!L$21)+1)))-IF(Lists!L$22&lt;$J50,0,MIN($AO50,(((YEAR(Lists!L$22)-YEAR($J50))*12+MONTH(Lists!L$22)-MONTH($J50))-(EDATE($J50,((YEAR(Lists!L$22)-YEAR($J50))*12+MONTH(Lists!L$22)-MONTH($J50)))&gt;Lists!L$22)+1)))),IF($AP50="F",IF(N($K50)&lt;=0,0,MIN(MAX(0,$H50),N($K50)*IF(Lists!L$21&lt;$J50,0,(((YEAR(Lists!L$21)-YEAR($J50))*12+MONTH(Lists!L$21)-MONTH($J50))-(EDATE($J50,((YEAR(Lists!L$21)-YEAR($J50))*12+MONTH(Lists!L$21)-MONTH($J50)))&gt;Lists!L$21)+1)))-MIN(MAX(0,$H50),N($K50)*IF(Lists!L$22&lt;$J50,0,(((YEAR(Lists!L$22)-YEAR($J50))*12+MONTH(Lists!L$22)-MONTH($J50))-(EDATE($J50,((YEAR(Lists!L$22)-YEAR($J50))*12+MONTH(Lists!L$22)-MONTH($J50)))&gt;Lists!L$22)+1)))),N($C50)*IF($AE50-$AD50&lt;1,($AD50&gt;Lists!L$22)*($AD50&lt;=Lists!L$21),MAX(0,MIN(Lists!L$21,$AE50)-MAX(Lists!L$22,$AD50))/($AE50-$AD50))+N($D50)*IF($AG50-$AF50&lt;1,($AF50&gt;Lists!L$22)*($AF50&lt;=Lists!L$21),MAX(0,MIN(Lists!L$21,$AG50)-MAX(Lists!L$22,$AF50))/($AG50-$AF50))+N($E50)*IF($AI50-$AH50&lt;1,($AH50&gt;Lists!L$22)*($AH50&lt;=Lists!L$21),MAX(0,MIN(Lists!L$21,$AI50)-MAX(Lists!L$22,$AH50))/($AI50-$AH50))+N($F50)*IF($AK50-$AJ50&lt;1,($AJ50&gt;Lists!L$22)*($AJ50&lt;=Lists!L$21),MAX(0,MIN(Lists!L$21,$AK50)-MAX(Lists!L$22,$AJ50))/($AK50-$AJ50))+N($G50)*IF($AM50-$AL50&lt;1,($AL50&gt;Lists!L$22)*($AL50&lt;=Lists!L$21),MAX(0,MIN(Lists!L$21,$AM50)-MAX(Lists!L$22,$AL50))/($AM50-$AL50))))))))</f>
        <v>0</v>
      </c>
      <c r="W50" s="53" t="n">
        <f aca="false">IF($H50=0,0,IF($AP50="X",0,IF($AP50="S",$H50/$AO50*(MIN($AO50,MAX(0,INT((Lists!M$21-N($J50))/7)+1))-MIN($AO50,MAX(0,INT((Lists!M$22-N($J50))/7)+1))),IF($AP50="D",$H50*MAX(0,MIN(Lists!M$21,N($J50)+$AO50)-MAX(Lists!M$22,N($J50)))/$AO50,IF($AP50="M",$H50/$AO50*(IF(Lists!M$21&lt;$J50,0,MIN($AO50,(((YEAR(Lists!M$21)-YEAR($J50))*12+MONTH(Lists!M$21)-MONTH($J50))-(EDATE($J50,((YEAR(Lists!M$21)-YEAR($J50))*12+MONTH(Lists!M$21)-MONTH($J50)))&gt;Lists!M$21)+1)))-IF(Lists!M$22&lt;$J50,0,MIN($AO50,(((YEAR(Lists!M$22)-YEAR($J50))*12+MONTH(Lists!M$22)-MONTH($J50))-(EDATE($J50,((YEAR(Lists!M$22)-YEAR($J50))*12+MONTH(Lists!M$22)-MONTH($J50)))&gt;Lists!M$22)+1)))),IF($AP50="F",IF(N($K50)&lt;=0,0,MIN(MAX(0,$H50),N($K50)*IF(Lists!M$21&lt;$J50,0,(((YEAR(Lists!M$21)-YEAR($J50))*12+MONTH(Lists!M$21)-MONTH($J50))-(EDATE($J50,((YEAR(Lists!M$21)-YEAR($J50))*12+MONTH(Lists!M$21)-MONTH($J50)))&gt;Lists!M$21)+1)))-MIN(MAX(0,$H50),N($K50)*IF(Lists!M$22&lt;$J50,0,(((YEAR(Lists!M$22)-YEAR($J50))*12+MONTH(Lists!M$22)-MONTH($J50))-(EDATE($J50,((YEAR(Lists!M$22)-YEAR($J50))*12+MONTH(Lists!M$22)-MONTH($J50)))&gt;Lists!M$22)+1)))),N($C50)*IF($AE50-$AD50&lt;1,($AD50&gt;Lists!M$22)*($AD50&lt;=Lists!M$21),MAX(0,MIN(Lists!M$21,$AE50)-MAX(Lists!M$22,$AD50))/($AE50-$AD50))+N($D50)*IF($AG50-$AF50&lt;1,($AF50&gt;Lists!M$22)*($AF50&lt;=Lists!M$21),MAX(0,MIN(Lists!M$21,$AG50)-MAX(Lists!M$22,$AF50))/($AG50-$AF50))+N($E50)*IF($AI50-$AH50&lt;1,($AH50&gt;Lists!M$22)*($AH50&lt;=Lists!M$21),MAX(0,MIN(Lists!M$21,$AI50)-MAX(Lists!M$22,$AH50))/($AI50-$AH50))+N($F50)*IF($AK50-$AJ50&lt;1,($AJ50&gt;Lists!M$22)*($AJ50&lt;=Lists!M$21),MAX(0,MIN(Lists!M$21,$AK50)-MAX(Lists!M$22,$AJ50))/($AK50-$AJ50))+N($G50)*IF($AM50-$AL50&lt;1,($AL50&gt;Lists!M$22)*($AL50&lt;=Lists!M$21),MAX(0,MIN(Lists!M$21,$AM50)-MAX(Lists!M$22,$AL50))/($AM50-$AL50))))))))</f>
        <v>0</v>
      </c>
      <c r="X50" s="53" t="n">
        <f aca="false">IF($H50=0,0,IF($AP50="X",0,IF($AP50="S",$H50/$AO50*(MIN($AO50,MAX(0,INT((Lists!N$21-N($J50))/7)+1))-MIN($AO50,MAX(0,INT((Lists!N$22-N($J50))/7)+1))),IF($AP50="D",$H50*MAX(0,MIN(Lists!N$21,N($J50)+$AO50)-MAX(Lists!N$22,N($J50)))/$AO50,IF($AP50="M",$H50/$AO50*(IF(Lists!N$21&lt;$J50,0,MIN($AO50,(((YEAR(Lists!N$21)-YEAR($J50))*12+MONTH(Lists!N$21)-MONTH($J50))-(EDATE($J50,((YEAR(Lists!N$21)-YEAR($J50))*12+MONTH(Lists!N$21)-MONTH($J50)))&gt;Lists!N$21)+1)))-IF(Lists!N$22&lt;$J50,0,MIN($AO50,(((YEAR(Lists!N$22)-YEAR($J50))*12+MONTH(Lists!N$22)-MONTH($J50))-(EDATE($J50,((YEAR(Lists!N$22)-YEAR($J50))*12+MONTH(Lists!N$22)-MONTH($J50)))&gt;Lists!N$22)+1)))),IF($AP50="F",IF(N($K50)&lt;=0,0,MIN(MAX(0,$H50),N($K50)*IF(Lists!N$21&lt;$J50,0,(((YEAR(Lists!N$21)-YEAR($J50))*12+MONTH(Lists!N$21)-MONTH($J50))-(EDATE($J50,((YEAR(Lists!N$21)-YEAR($J50))*12+MONTH(Lists!N$21)-MONTH($J50)))&gt;Lists!N$21)+1)))-MIN(MAX(0,$H50),N($K50)*IF(Lists!N$22&lt;$J50,0,(((YEAR(Lists!N$22)-YEAR($J50))*12+MONTH(Lists!N$22)-MONTH($J50))-(EDATE($J50,((YEAR(Lists!N$22)-YEAR($J50))*12+MONTH(Lists!N$22)-MONTH($J50)))&gt;Lists!N$22)+1)))),N($C50)*IF($AE50-$AD50&lt;1,($AD50&gt;Lists!N$22)*($AD50&lt;=Lists!N$21),MAX(0,MIN(Lists!N$21,$AE50)-MAX(Lists!N$22,$AD50))/($AE50-$AD50))+N($D50)*IF($AG50-$AF50&lt;1,($AF50&gt;Lists!N$22)*($AF50&lt;=Lists!N$21),MAX(0,MIN(Lists!N$21,$AG50)-MAX(Lists!N$22,$AF50))/($AG50-$AF50))+N($E50)*IF($AI50-$AH50&lt;1,($AH50&gt;Lists!N$22)*($AH50&lt;=Lists!N$21),MAX(0,MIN(Lists!N$21,$AI50)-MAX(Lists!N$22,$AH50))/($AI50-$AH50))+N($F50)*IF($AK50-$AJ50&lt;1,($AJ50&gt;Lists!N$22)*($AJ50&lt;=Lists!N$21),MAX(0,MIN(Lists!N$21,$AK50)-MAX(Lists!N$22,$AJ50))/($AK50-$AJ50))+N($G50)*IF($AM50-$AL50&lt;1,($AL50&gt;Lists!N$22)*($AL50&lt;=Lists!N$21),MAX(0,MIN(Lists!N$21,$AM50)-MAX(Lists!N$22,$AL50))/($AM50-$AL50))))))))</f>
        <v>0</v>
      </c>
      <c r="Y50" s="53" t="n">
        <f aca="false">IF($H50=0,0,IF($AP50="X",0,IF($AP50="S",$H50/$AO50*(MIN($AO50,MAX(0,INT((Lists!O$21-N($J50))/7)+1))-MIN($AO50,MAX(0,INT((Lists!O$22-N($J50))/7)+1))),IF($AP50="D",$H50*MAX(0,MIN(Lists!O$21,N($J50)+$AO50)-MAX(Lists!O$22,N($J50)))/$AO50,IF($AP50="M",$H50/$AO50*(IF(Lists!O$21&lt;$J50,0,MIN($AO50,(((YEAR(Lists!O$21)-YEAR($J50))*12+MONTH(Lists!O$21)-MONTH($J50))-(EDATE($J50,((YEAR(Lists!O$21)-YEAR($J50))*12+MONTH(Lists!O$21)-MONTH($J50)))&gt;Lists!O$21)+1)))-IF(Lists!O$22&lt;$J50,0,MIN($AO50,(((YEAR(Lists!O$22)-YEAR($J50))*12+MONTH(Lists!O$22)-MONTH($J50))-(EDATE($J50,((YEAR(Lists!O$22)-YEAR($J50))*12+MONTH(Lists!O$22)-MONTH($J50)))&gt;Lists!O$22)+1)))),IF($AP50="F",IF(N($K50)&lt;=0,0,MIN(MAX(0,$H50),N($K50)*IF(Lists!O$21&lt;$J50,0,(((YEAR(Lists!O$21)-YEAR($J50))*12+MONTH(Lists!O$21)-MONTH($J50))-(EDATE($J50,((YEAR(Lists!O$21)-YEAR($J50))*12+MONTH(Lists!O$21)-MONTH($J50)))&gt;Lists!O$21)+1)))-MIN(MAX(0,$H50),N($K50)*IF(Lists!O$22&lt;$J50,0,(((YEAR(Lists!O$22)-YEAR($J50))*12+MONTH(Lists!O$22)-MONTH($J50))-(EDATE($J50,((YEAR(Lists!O$22)-YEAR($J50))*12+MONTH(Lists!O$22)-MONTH($J50)))&gt;Lists!O$22)+1)))),N($C50)*IF($AE50-$AD50&lt;1,($AD50&gt;Lists!O$22)*($AD50&lt;=Lists!O$21),MAX(0,MIN(Lists!O$21,$AE50)-MAX(Lists!O$22,$AD50))/($AE50-$AD50))+N($D50)*IF($AG50-$AF50&lt;1,($AF50&gt;Lists!O$22)*($AF50&lt;=Lists!O$21),MAX(0,MIN(Lists!O$21,$AG50)-MAX(Lists!O$22,$AF50))/($AG50-$AF50))+N($E50)*IF($AI50-$AH50&lt;1,($AH50&gt;Lists!O$22)*($AH50&lt;=Lists!O$21),MAX(0,MIN(Lists!O$21,$AI50)-MAX(Lists!O$22,$AH50))/($AI50-$AH50))+N($F50)*IF($AK50-$AJ50&lt;1,($AJ50&gt;Lists!O$22)*($AJ50&lt;=Lists!O$21),MAX(0,MIN(Lists!O$21,$AK50)-MAX(Lists!O$22,$AJ50))/($AK50-$AJ50))+N($G50)*IF($AM50-$AL50&lt;1,($AL50&gt;Lists!O$22)*($AL50&lt;=Lists!O$21),MAX(0,MIN(Lists!O$21,$AM50)-MAX(Lists!O$22,$AL50))/($AM50-$AL50))))))))</f>
        <v>0</v>
      </c>
      <c r="Z50" s="46" t="n">
        <f aca="false">SUM(M50:Y50)</f>
        <v>0</v>
      </c>
      <c r="AA50" s="92" t="n">
        <f aca="false">H50-Z50</f>
        <v>0</v>
      </c>
      <c r="AB50" s="55"/>
      <c r="AC50" s="2"/>
      <c r="AD50" s="93" t="n">
        <f aca="false">Setup!$D$10+MAX(0,$AN50-30)</f>
        <v>46365</v>
      </c>
      <c r="AE50" s="93" t="n">
        <f aca="false">Setup!$D$10+IF($AN50-30&lt;0,MAX(Setup!$D$22,$AN50-0),$AN50-0)</f>
        <v>46395</v>
      </c>
      <c r="AF50" s="93" t="n">
        <f aca="false">Setup!$D$10+MAX(0,$AN50-60)</f>
        <v>46335</v>
      </c>
      <c r="AG50" s="93" t="n">
        <f aca="false">Setup!$D$10+IF($AN50-60&lt;0,MAX(Setup!$D$22,$AN50-31),$AN50-31)</f>
        <v>46364</v>
      </c>
      <c r="AH50" s="93" t="n">
        <f aca="false">Setup!$D$10+MAX(0,$AN50-90)</f>
        <v>46335</v>
      </c>
      <c r="AI50" s="93" t="n">
        <f aca="false">Setup!$D$10+IF($AN50-90&lt;0,MAX(Setup!$D$22,$AN50-61),$AN50-61)</f>
        <v>46363</v>
      </c>
      <c r="AJ50" s="93" t="n">
        <f aca="false">Setup!$D$10+MAX(0,$AN50-120)</f>
        <v>46335</v>
      </c>
      <c r="AK50" s="93" t="n">
        <f aca="false">Setup!$D$10+IF($AN50-120&lt;0,MAX(Setup!$D$22,$AN50-91),$AN50-91)</f>
        <v>46363</v>
      </c>
      <c r="AL50" s="93" t="n">
        <f aca="false">IF(Setup!$D$23="Yes",2958465,Setup!$D$10)</f>
        <v>2958465</v>
      </c>
      <c r="AM50" s="93" t="n">
        <f aca="false">IF(AL50=2958465,AL50,Setup!$D$10+Setup!$D$22)</f>
        <v>2958465</v>
      </c>
      <c r="AN50" s="94" t="n">
        <f aca="false">IF(N(L50)=0,Setup!$D$20,L50)</f>
        <v>60</v>
      </c>
      <c r="AO50" s="94" t="n">
        <f aca="false">MAX(1,ROUND(N(K50),0))</f>
        <v>1</v>
      </c>
      <c r="AP50" s="95" t="str">
        <f aca="false">IF(I50="Doubtful","X",IF(N(J50)=0,"A",IF(I50="Specific date","S",IF(I50="Spread over days","D",IF(I50="Monthly on set day","M",IF(I50="Monthly fixed amount","F","A"))))))</f>
        <v>A</v>
      </c>
    </row>
    <row r="51" customFormat="false" ht="15" hidden="false" customHeight="false" outlineLevel="0" collapsed="false">
      <c r="A51" s="87" t="n">
        <v>43</v>
      </c>
      <c r="B51" s="55"/>
      <c r="C51" s="88"/>
      <c r="D51" s="88"/>
      <c r="E51" s="88"/>
      <c r="F51" s="88"/>
      <c r="G51" s="88"/>
      <c r="H51" s="89" t="n">
        <f aca="false">SUM(C51:G51)</f>
        <v>0</v>
      </c>
      <c r="I51" s="58"/>
      <c r="J51" s="90"/>
      <c r="K51" s="91"/>
      <c r="L51" s="80"/>
      <c r="M51" s="53" t="n">
        <f aca="false">IF($H51=0,0,IF($AP51="X",0,IF($AP51="S",$H51/$AO51*(MIN($AO51,MAX(0,INT((Lists!C$21-N($J51))/7)+1))-MIN($AO51,MAX(0,INT((Lists!C$22-N($J51))/7)+1))),IF($AP51="D",$H51*MAX(0,MIN(Lists!C$21,N($J51)+$AO51)-MAX(Lists!C$22,N($J51)))/$AO51,IF($AP51="M",$H51/$AO51*(IF(Lists!C$21&lt;$J51,0,MIN($AO51,(((YEAR(Lists!C$21)-YEAR($J51))*12+MONTH(Lists!C$21)-MONTH($J51))-(EDATE($J51,((YEAR(Lists!C$21)-YEAR($J51))*12+MONTH(Lists!C$21)-MONTH($J51)))&gt;Lists!C$21)+1)))-IF(Lists!C$22&lt;$J51,0,MIN($AO51,(((YEAR(Lists!C$22)-YEAR($J51))*12+MONTH(Lists!C$22)-MONTH($J51))-(EDATE($J51,((YEAR(Lists!C$22)-YEAR($J51))*12+MONTH(Lists!C$22)-MONTH($J51)))&gt;Lists!C$22)+1)))),IF($AP51="F",IF(N($K51)&lt;=0,0,MIN(MAX(0,$H51),N($K51)*IF(Lists!C$21&lt;$J51,0,(((YEAR(Lists!C$21)-YEAR($J51))*12+MONTH(Lists!C$21)-MONTH($J51))-(EDATE($J51,((YEAR(Lists!C$21)-YEAR($J51))*12+MONTH(Lists!C$21)-MONTH($J51)))&gt;Lists!C$21)+1)))-MIN(MAX(0,$H51),N($K51)*IF(Lists!C$22&lt;$J51,0,(((YEAR(Lists!C$22)-YEAR($J51))*12+MONTH(Lists!C$22)-MONTH($J51))-(EDATE($J51,((YEAR(Lists!C$22)-YEAR($J51))*12+MONTH(Lists!C$22)-MONTH($J51)))&gt;Lists!C$22)+1)))),N($C51)*IF($AE51-$AD51&lt;1,($AD51&gt;Lists!C$22)*($AD51&lt;=Lists!C$21),MAX(0,MIN(Lists!C$21,$AE51)-MAX(Lists!C$22,$AD51))/($AE51-$AD51))+N($D51)*IF($AG51-$AF51&lt;1,($AF51&gt;Lists!C$22)*($AF51&lt;=Lists!C$21),MAX(0,MIN(Lists!C$21,$AG51)-MAX(Lists!C$22,$AF51))/($AG51-$AF51))+N($E51)*IF($AI51-$AH51&lt;1,($AH51&gt;Lists!C$22)*($AH51&lt;=Lists!C$21),MAX(0,MIN(Lists!C$21,$AI51)-MAX(Lists!C$22,$AH51))/($AI51-$AH51))+N($F51)*IF($AK51-$AJ51&lt;1,($AJ51&gt;Lists!C$22)*($AJ51&lt;=Lists!C$21),MAX(0,MIN(Lists!C$21,$AK51)-MAX(Lists!C$22,$AJ51))/($AK51-$AJ51))+N($G51)*IF($AM51-$AL51&lt;1,($AL51&gt;Lists!C$22)*($AL51&lt;=Lists!C$21),MAX(0,MIN(Lists!C$21,$AM51)-MAX(Lists!C$22,$AL51))/($AM51-$AL51))))))))</f>
        <v>0</v>
      </c>
      <c r="N51" s="53" t="n">
        <f aca="false">IF($H51=0,0,IF($AP51="X",0,IF($AP51="S",$H51/$AO51*(MIN($AO51,MAX(0,INT((Lists!D$21-N($J51))/7)+1))-MIN($AO51,MAX(0,INT((Lists!D$22-N($J51))/7)+1))),IF($AP51="D",$H51*MAX(0,MIN(Lists!D$21,N($J51)+$AO51)-MAX(Lists!D$22,N($J51)))/$AO51,IF($AP51="M",$H51/$AO51*(IF(Lists!D$21&lt;$J51,0,MIN($AO51,(((YEAR(Lists!D$21)-YEAR($J51))*12+MONTH(Lists!D$21)-MONTH($J51))-(EDATE($J51,((YEAR(Lists!D$21)-YEAR($J51))*12+MONTH(Lists!D$21)-MONTH($J51)))&gt;Lists!D$21)+1)))-IF(Lists!D$22&lt;$J51,0,MIN($AO51,(((YEAR(Lists!D$22)-YEAR($J51))*12+MONTH(Lists!D$22)-MONTH($J51))-(EDATE($J51,((YEAR(Lists!D$22)-YEAR($J51))*12+MONTH(Lists!D$22)-MONTH($J51)))&gt;Lists!D$22)+1)))),IF($AP51="F",IF(N($K51)&lt;=0,0,MIN(MAX(0,$H51),N($K51)*IF(Lists!D$21&lt;$J51,0,(((YEAR(Lists!D$21)-YEAR($J51))*12+MONTH(Lists!D$21)-MONTH($J51))-(EDATE($J51,((YEAR(Lists!D$21)-YEAR($J51))*12+MONTH(Lists!D$21)-MONTH($J51)))&gt;Lists!D$21)+1)))-MIN(MAX(0,$H51),N($K51)*IF(Lists!D$22&lt;$J51,0,(((YEAR(Lists!D$22)-YEAR($J51))*12+MONTH(Lists!D$22)-MONTH($J51))-(EDATE($J51,((YEAR(Lists!D$22)-YEAR($J51))*12+MONTH(Lists!D$22)-MONTH($J51)))&gt;Lists!D$22)+1)))),N($C51)*IF($AE51-$AD51&lt;1,($AD51&gt;Lists!D$22)*($AD51&lt;=Lists!D$21),MAX(0,MIN(Lists!D$21,$AE51)-MAX(Lists!D$22,$AD51))/($AE51-$AD51))+N($D51)*IF($AG51-$AF51&lt;1,($AF51&gt;Lists!D$22)*($AF51&lt;=Lists!D$21),MAX(0,MIN(Lists!D$21,$AG51)-MAX(Lists!D$22,$AF51))/($AG51-$AF51))+N($E51)*IF($AI51-$AH51&lt;1,($AH51&gt;Lists!D$22)*($AH51&lt;=Lists!D$21),MAX(0,MIN(Lists!D$21,$AI51)-MAX(Lists!D$22,$AH51))/($AI51-$AH51))+N($F51)*IF($AK51-$AJ51&lt;1,($AJ51&gt;Lists!D$22)*($AJ51&lt;=Lists!D$21),MAX(0,MIN(Lists!D$21,$AK51)-MAX(Lists!D$22,$AJ51))/($AK51-$AJ51))+N($G51)*IF($AM51-$AL51&lt;1,($AL51&gt;Lists!D$22)*($AL51&lt;=Lists!D$21),MAX(0,MIN(Lists!D$21,$AM51)-MAX(Lists!D$22,$AL51))/($AM51-$AL51))))))))</f>
        <v>0</v>
      </c>
      <c r="O51" s="53" t="n">
        <f aca="false">IF($H51=0,0,IF($AP51="X",0,IF($AP51="S",$H51/$AO51*(MIN($AO51,MAX(0,INT((Lists!E$21-N($J51))/7)+1))-MIN($AO51,MAX(0,INT((Lists!E$22-N($J51))/7)+1))),IF($AP51="D",$H51*MAX(0,MIN(Lists!E$21,N($J51)+$AO51)-MAX(Lists!E$22,N($J51)))/$AO51,IF($AP51="M",$H51/$AO51*(IF(Lists!E$21&lt;$J51,0,MIN($AO51,(((YEAR(Lists!E$21)-YEAR($J51))*12+MONTH(Lists!E$21)-MONTH($J51))-(EDATE($J51,((YEAR(Lists!E$21)-YEAR($J51))*12+MONTH(Lists!E$21)-MONTH($J51)))&gt;Lists!E$21)+1)))-IF(Lists!E$22&lt;$J51,0,MIN($AO51,(((YEAR(Lists!E$22)-YEAR($J51))*12+MONTH(Lists!E$22)-MONTH($J51))-(EDATE($J51,((YEAR(Lists!E$22)-YEAR($J51))*12+MONTH(Lists!E$22)-MONTH($J51)))&gt;Lists!E$22)+1)))),IF($AP51="F",IF(N($K51)&lt;=0,0,MIN(MAX(0,$H51),N($K51)*IF(Lists!E$21&lt;$J51,0,(((YEAR(Lists!E$21)-YEAR($J51))*12+MONTH(Lists!E$21)-MONTH($J51))-(EDATE($J51,((YEAR(Lists!E$21)-YEAR($J51))*12+MONTH(Lists!E$21)-MONTH($J51)))&gt;Lists!E$21)+1)))-MIN(MAX(0,$H51),N($K51)*IF(Lists!E$22&lt;$J51,0,(((YEAR(Lists!E$22)-YEAR($J51))*12+MONTH(Lists!E$22)-MONTH($J51))-(EDATE($J51,((YEAR(Lists!E$22)-YEAR($J51))*12+MONTH(Lists!E$22)-MONTH($J51)))&gt;Lists!E$22)+1)))),N($C51)*IF($AE51-$AD51&lt;1,($AD51&gt;Lists!E$22)*($AD51&lt;=Lists!E$21),MAX(0,MIN(Lists!E$21,$AE51)-MAX(Lists!E$22,$AD51))/($AE51-$AD51))+N($D51)*IF($AG51-$AF51&lt;1,($AF51&gt;Lists!E$22)*($AF51&lt;=Lists!E$21),MAX(0,MIN(Lists!E$21,$AG51)-MAX(Lists!E$22,$AF51))/($AG51-$AF51))+N($E51)*IF($AI51-$AH51&lt;1,($AH51&gt;Lists!E$22)*($AH51&lt;=Lists!E$21),MAX(0,MIN(Lists!E$21,$AI51)-MAX(Lists!E$22,$AH51))/($AI51-$AH51))+N($F51)*IF($AK51-$AJ51&lt;1,($AJ51&gt;Lists!E$22)*($AJ51&lt;=Lists!E$21),MAX(0,MIN(Lists!E$21,$AK51)-MAX(Lists!E$22,$AJ51))/($AK51-$AJ51))+N($G51)*IF($AM51-$AL51&lt;1,($AL51&gt;Lists!E$22)*($AL51&lt;=Lists!E$21),MAX(0,MIN(Lists!E$21,$AM51)-MAX(Lists!E$22,$AL51))/($AM51-$AL51))))))))</f>
        <v>0</v>
      </c>
      <c r="P51" s="53" t="n">
        <f aca="false">IF($H51=0,0,IF($AP51="X",0,IF($AP51="S",$H51/$AO51*(MIN($AO51,MAX(0,INT((Lists!F$21-N($J51))/7)+1))-MIN($AO51,MAX(0,INT((Lists!F$22-N($J51))/7)+1))),IF($AP51="D",$H51*MAX(0,MIN(Lists!F$21,N($J51)+$AO51)-MAX(Lists!F$22,N($J51)))/$AO51,IF($AP51="M",$H51/$AO51*(IF(Lists!F$21&lt;$J51,0,MIN($AO51,(((YEAR(Lists!F$21)-YEAR($J51))*12+MONTH(Lists!F$21)-MONTH($J51))-(EDATE($J51,((YEAR(Lists!F$21)-YEAR($J51))*12+MONTH(Lists!F$21)-MONTH($J51)))&gt;Lists!F$21)+1)))-IF(Lists!F$22&lt;$J51,0,MIN($AO51,(((YEAR(Lists!F$22)-YEAR($J51))*12+MONTH(Lists!F$22)-MONTH($J51))-(EDATE($J51,((YEAR(Lists!F$22)-YEAR($J51))*12+MONTH(Lists!F$22)-MONTH($J51)))&gt;Lists!F$22)+1)))),IF($AP51="F",IF(N($K51)&lt;=0,0,MIN(MAX(0,$H51),N($K51)*IF(Lists!F$21&lt;$J51,0,(((YEAR(Lists!F$21)-YEAR($J51))*12+MONTH(Lists!F$21)-MONTH($J51))-(EDATE($J51,((YEAR(Lists!F$21)-YEAR($J51))*12+MONTH(Lists!F$21)-MONTH($J51)))&gt;Lists!F$21)+1)))-MIN(MAX(0,$H51),N($K51)*IF(Lists!F$22&lt;$J51,0,(((YEAR(Lists!F$22)-YEAR($J51))*12+MONTH(Lists!F$22)-MONTH($J51))-(EDATE($J51,((YEAR(Lists!F$22)-YEAR($J51))*12+MONTH(Lists!F$22)-MONTH($J51)))&gt;Lists!F$22)+1)))),N($C51)*IF($AE51-$AD51&lt;1,($AD51&gt;Lists!F$22)*($AD51&lt;=Lists!F$21),MAX(0,MIN(Lists!F$21,$AE51)-MAX(Lists!F$22,$AD51))/($AE51-$AD51))+N($D51)*IF($AG51-$AF51&lt;1,($AF51&gt;Lists!F$22)*($AF51&lt;=Lists!F$21),MAX(0,MIN(Lists!F$21,$AG51)-MAX(Lists!F$22,$AF51))/($AG51-$AF51))+N($E51)*IF($AI51-$AH51&lt;1,($AH51&gt;Lists!F$22)*($AH51&lt;=Lists!F$21),MAX(0,MIN(Lists!F$21,$AI51)-MAX(Lists!F$22,$AH51))/($AI51-$AH51))+N($F51)*IF($AK51-$AJ51&lt;1,($AJ51&gt;Lists!F$22)*($AJ51&lt;=Lists!F$21),MAX(0,MIN(Lists!F$21,$AK51)-MAX(Lists!F$22,$AJ51))/($AK51-$AJ51))+N($G51)*IF($AM51-$AL51&lt;1,($AL51&gt;Lists!F$22)*($AL51&lt;=Lists!F$21),MAX(0,MIN(Lists!F$21,$AM51)-MAX(Lists!F$22,$AL51))/($AM51-$AL51))))))))</f>
        <v>0</v>
      </c>
      <c r="Q51" s="53" t="n">
        <f aca="false">IF($H51=0,0,IF($AP51="X",0,IF($AP51="S",$H51/$AO51*(MIN($AO51,MAX(0,INT((Lists!G$21-N($J51))/7)+1))-MIN($AO51,MAX(0,INT((Lists!G$22-N($J51))/7)+1))),IF($AP51="D",$H51*MAX(0,MIN(Lists!G$21,N($J51)+$AO51)-MAX(Lists!G$22,N($J51)))/$AO51,IF($AP51="M",$H51/$AO51*(IF(Lists!G$21&lt;$J51,0,MIN($AO51,(((YEAR(Lists!G$21)-YEAR($J51))*12+MONTH(Lists!G$21)-MONTH($J51))-(EDATE($J51,((YEAR(Lists!G$21)-YEAR($J51))*12+MONTH(Lists!G$21)-MONTH($J51)))&gt;Lists!G$21)+1)))-IF(Lists!G$22&lt;$J51,0,MIN($AO51,(((YEAR(Lists!G$22)-YEAR($J51))*12+MONTH(Lists!G$22)-MONTH($J51))-(EDATE($J51,((YEAR(Lists!G$22)-YEAR($J51))*12+MONTH(Lists!G$22)-MONTH($J51)))&gt;Lists!G$22)+1)))),IF($AP51="F",IF(N($K51)&lt;=0,0,MIN(MAX(0,$H51),N($K51)*IF(Lists!G$21&lt;$J51,0,(((YEAR(Lists!G$21)-YEAR($J51))*12+MONTH(Lists!G$21)-MONTH($J51))-(EDATE($J51,((YEAR(Lists!G$21)-YEAR($J51))*12+MONTH(Lists!G$21)-MONTH($J51)))&gt;Lists!G$21)+1)))-MIN(MAX(0,$H51),N($K51)*IF(Lists!G$22&lt;$J51,0,(((YEAR(Lists!G$22)-YEAR($J51))*12+MONTH(Lists!G$22)-MONTH($J51))-(EDATE($J51,((YEAR(Lists!G$22)-YEAR($J51))*12+MONTH(Lists!G$22)-MONTH($J51)))&gt;Lists!G$22)+1)))),N($C51)*IF($AE51-$AD51&lt;1,($AD51&gt;Lists!G$22)*($AD51&lt;=Lists!G$21),MAX(0,MIN(Lists!G$21,$AE51)-MAX(Lists!G$22,$AD51))/($AE51-$AD51))+N($D51)*IF($AG51-$AF51&lt;1,($AF51&gt;Lists!G$22)*($AF51&lt;=Lists!G$21),MAX(0,MIN(Lists!G$21,$AG51)-MAX(Lists!G$22,$AF51))/($AG51-$AF51))+N($E51)*IF($AI51-$AH51&lt;1,($AH51&gt;Lists!G$22)*($AH51&lt;=Lists!G$21),MAX(0,MIN(Lists!G$21,$AI51)-MAX(Lists!G$22,$AH51))/($AI51-$AH51))+N($F51)*IF($AK51-$AJ51&lt;1,($AJ51&gt;Lists!G$22)*($AJ51&lt;=Lists!G$21),MAX(0,MIN(Lists!G$21,$AK51)-MAX(Lists!G$22,$AJ51))/($AK51-$AJ51))+N($G51)*IF($AM51-$AL51&lt;1,($AL51&gt;Lists!G$22)*($AL51&lt;=Lists!G$21),MAX(0,MIN(Lists!G$21,$AM51)-MAX(Lists!G$22,$AL51))/($AM51-$AL51))))))))</f>
        <v>0</v>
      </c>
      <c r="R51" s="53" t="n">
        <f aca="false">IF($H51=0,0,IF($AP51="X",0,IF($AP51="S",$H51/$AO51*(MIN($AO51,MAX(0,INT((Lists!H$21-N($J51))/7)+1))-MIN($AO51,MAX(0,INT((Lists!H$22-N($J51))/7)+1))),IF($AP51="D",$H51*MAX(0,MIN(Lists!H$21,N($J51)+$AO51)-MAX(Lists!H$22,N($J51)))/$AO51,IF($AP51="M",$H51/$AO51*(IF(Lists!H$21&lt;$J51,0,MIN($AO51,(((YEAR(Lists!H$21)-YEAR($J51))*12+MONTH(Lists!H$21)-MONTH($J51))-(EDATE($J51,((YEAR(Lists!H$21)-YEAR($J51))*12+MONTH(Lists!H$21)-MONTH($J51)))&gt;Lists!H$21)+1)))-IF(Lists!H$22&lt;$J51,0,MIN($AO51,(((YEAR(Lists!H$22)-YEAR($J51))*12+MONTH(Lists!H$22)-MONTH($J51))-(EDATE($J51,((YEAR(Lists!H$22)-YEAR($J51))*12+MONTH(Lists!H$22)-MONTH($J51)))&gt;Lists!H$22)+1)))),IF($AP51="F",IF(N($K51)&lt;=0,0,MIN(MAX(0,$H51),N($K51)*IF(Lists!H$21&lt;$J51,0,(((YEAR(Lists!H$21)-YEAR($J51))*12+MONTH(Lists!H$21)-MONTH($J51))-(EDATE($J51,((YEAR(Lists!H$21)-YEAR($J51))*12+MONTH(Lists!H$21)-MONTH($J51)))&gt;Lists!H$21)+1)))-MIN(MAX(0,$H51),N($K51)*IF(Lists!H$22&lt;$J51,0,(((YEAR(Lists!H$22)-YEAR($J51))*12+MONTH(Lists!H$22)-MONTH($J51))-(EDATE($J51,((YEAR(Lists!H$22)-YEAR($J51))*12+MONTH(Lists!H$22)-MONTH($J51)))&gt;Lists!H$22)+1)))),N($C51)*IF($AE51-$AD51&lt;1,($AD51&gt;Lists!H$22)*($AD51&lt;=Lists!H$21),MAX(0,MIN(Lists!H$21,$AE51)-MAX(Lists!H$22,$AD51))/($AE51-$AD51))+N($D51)*IF($AG51-$AF51&lt;1,($AF51&gt;Lists!H$22)*($AF51&lt;=Lists!H$21),MAX(0,MIN(Lists!H$21,$AG51)-MAX(Lists!H$22,$AF51))/($AG51-$AF51))+N($E51)*IF($AI51-$AH51&lt;1,($AH51&gt;Lists!H$22)*($AH51&lt;=Lists!H$21),MAX(0,MIN(Lists!H$21,$AI51)-MAX(Lists!H$22,$AH51))/($AI51-$AH51))+N($F51)*IF($AK51-$AJ51&lt;1,($AJ51&gt;Lists!H$22)*($AJ51&lt;=Lists!H$21),MAX(0,MIN(Lists!H$21,$AK51)-MAX(Lists!H$22,$AJ51))/($AK51-$AJ51))+N($G51)*IF($AM51-$AL51&lt;1,($AL51&gt;Lists!H$22)*($AL51&lt;=Lists!H$21),MAX(0,MIN(Lists!H$21,$AM51)-MAX(Lists!H$22,$AL51))/($AM51-$AL51))))))))</f>
        <v>0</v>
      </c>
      <c r="S51" s="53" t="n">
        <f aca="false">IF($H51=0,0,IF($AP51="X",0,IF($AP51="S",$H51/$AO51*(MIN($AO51,MAX(0,INT((Lists!I$21-N($J51))/7)+1))-MIN($AO51,MAX(0,INT((Lists!I$22-N($J51))/7)+1))),IF($AP51="D",$H51*MAX(0,MIN(Lists!I$21,N($J51)+$AO51)-MAX(Lists!I$22,N($J51)))/$AO51,IF($AP51="M",$H51/$AO51*(IF(Lists!I$21&lt;$J51,0,MIN($AO51,(((YEAR(Lists!I$21)-YEAR($J51))*12+MONTH(Lists!I$21)-MONTH($J51))-(EDATE($J51,((YEAR(Lists!I$21)-YEAR($J51))*12+MONTH(Lists!I$21)-MONTH($J51)))&gt;Lists!I$21)+1)))-IF(Lists!I$22&lt;$J51,0,MIN($AO51,(((YEAR(Lists!I$22)-YEAR($J51))*12+MONTH(Lists!I$22)-MONTH($J51))-(EDATE($J51,((YEAR(Lists!I$22)-YEAR($J51))*12+MONTH(Lists!I$22)-MONTH($J51)))&gt;Lists!I$22)+1)))),IF($AP51="F",IF(N($K51)&lt;=0,0,MIN(MAX(0,$H51),N($K51)*IF(Lists!I$21&lt;$J51,0,(((YEAR(Lists!I$21)-YEAR($J51))*12+MONTH(Lists!I$21)-MONTH($J51))-(EDATE($J51,((YEAR(Lists!I$21)-YEAR($J51))*12+MONTH(Lists!I$21)-MONTH($J51)))&gt;Lists!I$21)+1)))-MIN(MAX(0,$H51),N($K51)*IF(Lists!I$22&lt;$J51,0,(((YEAR(Lists!I$22)-YEAR($J51))*12+MONTH(Lists!I$22)-MONTH($J51))-(EDATE($J51,((YEAR(Lists!I$22)-YEAR($J51))*12+MONTH(Lists!I$22)-MONTH($J51)))&gt;Lists!I$22)+1)))),N($C51)*IF($AE51-$AD51&lt;1,($AD51&gt;Lists!I$22)*($AD51&lt;=Lists!I$21),MAX(0,MIN(Lists!I$21,$AE51)-MAX(Lists!I$22,$AD51))/($AE51-$AD51))+N($D51)*IF($AG51-$AF51&lt;1,($AF51&gt;Lists!I$22)*($AF51&lt;=Lists!I$21),MAX(0,MIN(Lists!I$21,$AG51)-MAX(Lists!I$22,$AF51))/($AG51-$AF51))+N($E51)*IF($AI51-$AH51&lt;1,($AH51&gt;Lists!I$22)*($AH51&lt;=Lists!I$21),MAX(0,MIN(Lists!I$21,$AI51)-MAX(Lists!I$22,$AH51))/($AI51-$AH51))+N($F51)*IF($AK51-$AJ51&lt;1,($AJ51&gt;Lists!I$22)*($AJ51&lt;=Lists!I$21),MAX(0,MIN(Lists!I$21,$AK51)-MAX(Lists!I$22,$AJ51))/($AK51-$AJ51))+N($G51)*IF($AM51-$AL51&lt;1,($AL51&gt;Lists!I$22)*($AL51&lt;=Lists!I$21),MAX(0,MIN(Lists!I$21,$AM51)-MAX(Lists!I$22,$AL51))/($AM51-$AL51))))))))</f>
        <v>0</v>
      </c>
      <c r="T51" s="53" t="n">
        <f aca="false">IF($H51=0,0,IF($AP51="X",0,IF($AP51="S",$H51/$AO51*(MIN($AO51,MAX(0,INT((Lists!J$21-N($J51))/7)+1))-MIN($AO51,MAX(0,INT((Lists!J$22-N($J51))/7)+1))),IF($AP51="D",$H51*MAX(0,MIN(Lists!J$21,N($J51)+$AO51)-MAX(Lists!J$22,N($J51)))/$AO51,IF($AP51="M",$H51/$AO51*(IF(Lists!J$21&lt;$J51,0,MIN($AO51,(((YEAR(Lists!J$21)-YEAR($J51))*12+MONTH(Lists!J$21)-MONTH($J51))-(EDATE($J51,((YEAR(Lists!J$21)-YEAR($J51))*12+MONTH(Lists!J$21)-MONTH($J51)))&gt;Lists!J$21)+1)))-IF(Lists!J$22&lt;$J51,0,MIN($AO51,(((YEAR(Lists!J$22)-YEAR($J51))*12+MONTH(Lists!J$22)-MONTH($J51))-(EDATE($J51,((YEAR(Lists!J$22)-YEAR($J51))*12+MONTH(Lists!J$22)-MONTH($J51)))&gt;Lists!J$22)+1)))),IF($AP51="F",IF(N($K51)&lt;=0,0,MIN(MAX(0,$H51),N($K51)*IF(Lists!J$21&lt;$J51,0,(((YEAR(Lists!J$21)-YEAR($J51))*12+MONTH(Lists!J$21)-MONTH($J51))-(EDATE($J51,((YEAR(Lists!J$21)-YEAR($J51))*12+MONTH(Lists!J$21)-MONTH($J51)))&gt;Lists!J$21)+1)))-MIN(MAX(0,$H51),N($K51)*IF(Lists!J$22&lt;$J51,0,(((YEAR(Lists!J$22)-YEAR($J51))*12+MONTH(Lists!J$22)-MONTH($J51))-(EDATE($J51,((YEAR(Lists!J$22)-YEAR($J51))*12+MONTH(Lists!J$22)-MONTH($J51)))&gt;Lists!J$22)+1)))),N($C51)*IF($AE51-$AD51&lt;1,($AD51&gt;Lists!J$22)*($AD51&lt;=Lists!J$21),MAX(0,MIN(Lists!J$21,$AE51)-MAX(Lists!J$22,$AD51))/($AE51-$AD51))+N($D51)*IF($AG51-$AF51&lt;1,($AF51&gt;Lists!J$22)*($AF51&lt;=Lists!J$21),MAX(0,MIN(Lists!J$21,$AG51)-MAX(Lists!J$22,$AF51))/($AG51-$AF51))+N($E51)*IF($AI51-$AH51&lt;1,($AH51&gt;Lists!J$22)*($AH51&lt;=Lists!J$21),MAX(0,MIN(Lists!J$21,$AI51)-MAX(Lists!J$22,$AH51))/($AI51-$AH51))+N($F51)*IF($AK51-$AJ51&lt;1,($AJ51&gt;Lists!J$22)*($AJ51&lt;=Lists!J$21),MAX(0,MIN(Lists!J$21,$AK51)-MAX(Lists!J$22,$AJ51))/($AK51-$AJ51))+N($G51)*IF($AM51-$AL51&lt;1,($AL51&gt;Lists!J$22)*($AL51&lt;=Lists!J$21),MAX(0,MIN(Lists!J$21,$AM51)-MAX(Lists!J$22,$AL51))/($AM51-$AL51))))))))</f>
        <v>0</v>
      </c>
      <c r="U51" s="53" t="n">
        <f aca="false">IF($H51=0,0,IF($AP51="X",0,IF($AP51="S",$H51/$AO51*(MIN($AO51,MAX(0,INT((Lists!K$21-N($J51))/7)+1))-MIN($AO51,MAX(0,INT((Lists!K$22-N($J51))/7)+1))),IF($AP51="D",$H51*MAX(0,MIN(Lists!K$21,N($J51)+$AO51)-MAX(Lists!K$22,N($J51)))/$AO51,IF($AP51="M",$H51/$AO51*(IF(Lists!K$21&lt;$J51,0,MIN($AO51,(((YEAR(Lists!K$21)-YEAR($J51))*12+MONTH(Lists!K$21)-MONTH($J51))-(EDATE($J51,((YEAR(Lists!K$21)-YEAR($J51))*12+MONTH(Lists!K$21)-MONTH($J51)))&gt;Lists!K$21)+1)))-IF(Lists!K$22&lt;$J51,0,MIN($AO51,(((YEAR(Lists!K$22)-YEAR($J51))*12+MONTH(Lists!K$22)-MONTH($J51))-(EDATE($J51,((YEAR(Lists!K$22)-YEAR($J51))*12+MONTH(Lists!K$22)-MONTH($J51)))&gt;Lists!K$22)+1)))),IF($AP51="F",IF(N($K51)&lt;=0,0,MIN(MAX(0,$H51),N($K51)*IF(Lists!K$21&lt;$J51,0,(((YEAR(Lists!K$21)-YEAR($J51))*12+MONTH(Lists!K$21)-MONTH($J51))-(EDATE($J51,((YEAR(Lists!K$21)-YEAR($J51))*12+MONTH(Lists!K$21)-MONTH($J51)))&gt;Lists!K$21)+1)))-MIN(MAX(0,$H51),N($K51)*IF(Lists!K$22&lt;$J51,0,(((YEAR(Lists!K$22)-YEAR($J51))*12+MONTH(Lists!K$22)-MONTH($J51))-(EDATE($J51,((YEAR(Lists!K$22)-YEAR($J51))*12+MONTH(Lists!K$22)-MONTH($J51)))&gt;Lists!K$22)+1)))),N($C51)*IF($AE51-$AD51&lt;1,($AD51&gt;Lists!K$22)*($AD51&lt;=Lists!K$21),MAX(0,MIN(Lists!K$21,$AE51)-MAX(Lists!K$22,$AD51))/($AE51-$AD51))+N($D51)*IF($AG51-$AF51&lt;1,($AF51&gt;Lists!K$22)*($AF51&lt;=Lists!K$21),MAX(0,MIN(Lists!K$21,$AG51)-MAX(Lists!K$22,$AF51))/($AG51-$AF51))+N($E51)*IF($AI51-$AH51&lt;1,($AH51&gt;Lists!K$22)*($AH51&lt;=Lists!K$21),MAX(0,MIN(Lists!K$21,$AI51)-MAX(Lists!K$22,$AH51))/($AI51-$AH51))+N($F51)*IF($AK51-$AJ51&lt;1,($AJ51&gt;Lists!K$22)*($AJ51&lt;=Lists!K$21),MAX(0,MIN(Lists!K$21,$AK51)-MAX(Lists!K$22,$AJ51))/($AK51-$AJ51))+N($G51)*IF($AM51-$AL51&lt;1,($AL51&gt;Lists!K$22)*($AL51&lt;=Lists!K$21),MAX(0,MIN(Lists!K$21,$AM51)-MAX(Lists!K$22,$AL51))/($AM51-$AL51))))))))</f>
        <v>0</v>
      </c>
      <c r="V51" s="53" t="n">
        <f aca="false">IF($H51=0,0,IF($AP51="X",0,IF($AP51="S",$H51/$AO51*(MIN($AO51,MAX(0,INT((Lists!L$21-N($J51))/7)+1))-MIN($AO51,MAX(0,INT((Lists!L$22-N($J51))/7)+1))),IF($AP51="D",$H51*MAX(0,MIN(Lists!L$21,N($J51)+$AO51)-MAX(Lists!L$22,N($J51)))/$AO51,IF($AP51="M",$H51/$AO51*(IF(Lists!L$21&lt;$J51,0,MIN($AO51,(((YEAR(Lists!L$21)-YEAR($J51))*12+MONTH(Lists!L$21)-MONTH($J51))-(EDATE($J51,((YEAR(Lists!L$21)-YEAR($J51))*12+MONTH(Lists!L$21)-MONTH($J51)))&gt;Lists!L$21)+1)))-IF(Lists!L$22&lt;$J51,0,MIN($AO51,(((YEAR(Lists!L$22)-YEAR($J51))*12+MONTH(Lists!L$22)-MONTH($J51))-(EDATE($J51,((YEAR(Lists!L$22)-YEAR($J51))*12+MONTH(Lists!L$22)-MONTH($J51)))&gt;Lists!L$22)+1)))),IF($AP51="F",IF(N($K51)&lt;=0,0,MIN(MAX(0,$H51),N($K51)*IF(Lists!L$21&lt;$J51,0,(((YEAR(Lists!L$21)-YEAR($J51))*12+MONTH(Lists!L$21)-MONTH($J51))-(EDATE($J51,((YEAR(Lists!L$21)-YEAR($J51))*12+MONTH(Lists!L$21)-MONTH($J51)))&gt;Lists!L$21)+1)))-MIN(MAX(0,$H51),N($K51)*IF(Lists!L$22&lt;$J51,0,(((YEAR(Lists!L$22)-YEAR($J51))*12+MONTH(Lists!L$22)-MONTH($J51))-(EDATE($J51,((YEAR(Lists!L$22)-YEAR($J51))*12+MONTH(Lists!L$22)-MONTH($J51)))&gt;Lists!L$22)+1)))),N($C51)*IF($AE51-$AD51&lt;1,($AD51&gt;Lists!L$22)*($AD51&lt;=Lists!L$21),MAX(0,MIN(Lists!L$21,$AE51)-MAX(Lists!L$22,$AD51))/($AE51-$AD51))+N($D51)*IF($AG51-$AF51&lt;1,($AF51&gt;Lists!L$22)*($AF51&lt;=Lists!L$21),MAX(0,MIN(Lists!L$21,$AG51)-MAX(Lists!L$22,$AF51))/($AG51-$AF51))+N($E51)*IF($AI51-$AH51&lt;1,($AH51&gt;Lists!L$22)*($AH51&lt;=Lists!L$21),MAX(0,MIN(Lists!L$21,$AI51)-MAX(Lists!L$22,$AH51))/($AI51-$AH51))+N($F51)*IF($AK51-$AJ51&lt;1,($AJ51&gt;Lists!L$22)*($AJ51&lt;=Lists!L$21),MAX(0,MIN(Lists!L$21,$AK51)-MAX(Lists!L$22,$AJ51))/($AK51-$AJ51))+N($G51)*IF($AM51-$AL51&lt;1,($AL51&gt;Lists!L$22)*($AL51&lt;=Lists!L$21),MAX(0,MIN(Lists!L$21,$AM51)-MAX(Lists!L$22,$AL51))/($AM51-$AL51))))))))</f>
        <v>0</v>
      </c>
      <c r="W51" s="53" t="n">
        <f aca="false">IF($H51=0,0,IF($AP51="X",0,IF($AP51="S",$H51/$AO51*(MIN($AO51,MAX(0,INT((Lists!M$21-N($J51))/7)+1))-MIN($AO51,MAX(0,INT((Lists!M$22-N($J51))/7)+1))),IF($AP51="D",$H51*MAX(0,MIN(Lists!M$21,N($J51)+$AO51)-MAX(Lists!M$22,N($J51)))/$AO51,IF($AP51="M",$H51/$AO51*(IF(Lists!M$21&lt;$J51,0,MIN($AO51,(((YEAR(Lists!M$21)-YEAR($J51))*12+MONTH(Lists!M$21)-MONTH($J51))-(EDATE($J51,((YEAR(Lists!M$21)-YEAR($J51))*12+MONTH(Lists!M$21)-MONTH($J51)))&gt;Lists!M$21)+1)))-IF(Lists!M$22&lt;$J51,0,MIN($AO51,(((YEAR(Lists!M$22)-YEAR($J51))*12+MONTH(Lists!M$22)-MONTH($J51))-(EDATE($J51,((YEAR(Lists!M$22)-YEAR($J51))*12+MONTH(Lists!M$22)-MONTH($J51)))&gt;Lists!M$22)+1)))),IF($AP51="F",IF(N($K51)&lt;=0,0,MIN(MAX(0,$H51),N($K51)*IF(Lists!M$21&lt;$J51,0,(((YEAR(Lists!M$21)-YEAR($J51))*12+MONTH(Lists!M$21)-MONTH($J51))-(EDATE($J51,((YEAR(Lists!M$21)-YEAR($J51))*12+MONTH(Lists!M$21)-MONTH($J51)))&gt;Lists!M$21)+1)))-MIN(MAX(0,$H51),N($K51)*IF(Lists!M$22&lt;$J51,0,(((YEAR(Lists!M$22)-YEAR($J51))*12+MONTH(Lists!M$22)-MONTH($J51))-(EDATE($J51,((YEAR(Lists!M$22)-YEAR($J51))*12+MONTH(Lists!M$22)-MONTH($J51)))&gt;Lists!M$22)+1)))),N($C51)*IF($AE51-$AD51&lt;1,($AD51&gt;Lists!M$22)*($AD51&lt;=Lists!M$21),MAX(0,MIN(Lists!M$21,$AE51)-MAX(Lists!M$22,$AD51))/($AE51-$AD51))+N($D51)*IF($AG51-$AF51&lt;1,($AF51&gt;Lists!M$22)*($AF51&lt;=Lists!M$21),MAX(0,MIN(Lists!M$21,$AG51)-MAX(Lists!M$22,$AF51))/($AG51-$AF51))+N($E51)*IF($AI51-$AH51&lt;1,($AH51&gt;Lists!M$22)*($AH51&lt;=Lists!M$21),MAX(0,MIN(Lists!M$21,$AI51)-MAX(Lists!M$22,$AH51))/($AI51-$AH51))+N($F51)*IF($AK51-$AJ51&lt;1,($AJ51&gt;Lists!M$22)*($AJ51&lt;=Lists!M$21),MAX(0,MIN(Lists!M$21,$AK51)-MAX(Lists!M$22,$AJ51))/($AK51-$AJ51))+N($G51)*IF($AM51-$AL51&lt;1,($AL51&gt;Lists!M$22)*($AL51&lt;=Lists!M$21),MAX(0,MIN(Lists!M$21,$AM51)-MAX(Lists!M$22,$AL51))/($AM51-$AL51))))))))</f>
        <v>0</v>
      </c>
      <c r="X51" s="53" t="n">
        <f aca="false">IF($H51=0,0,IF($AP51="X",0,IF($AP51="S",$H51/$AO51*(MIN($AO51,MAX(0,INT((Lists!N$21-N($J51))/7)+1))-MIN($AO51,MAX(0,INT((Lists!N$22-N($J51))/7)+1))),IF($AP51="D",$H51*MAX(0,MIN(Lists!N$21,N($J51)+$AO51)-MAX(Lists!N$22,N($J51)))/$AO51,IF($AP51="M",$H51/$AO51*(IF(Lists!N$21&lt;$J51,0,MIN($AO51,(((YEAR(Lists!N$21)-YEAR($J51))*12+MONTH(Lists!N$21)-MONTH($J51))-(EDATE($J51,((YEAR(Lists!N$21)-YEAR($J51))*12+MONTH(Lists!N$21)-MONTH($J51)))&gt;Lists!N$21)+1)))-IF(Lists!N$22&lt;$J51,0,MIN($AO51,(((YEAR(Lists!N$22)-YEAR($J51))*12+MONTH(Lists!N$22)-MONTH($J51))-(EDATE($J51,((YEAR(Lists!N$22)-YEAR($J51))*12+MONTH(Lists!N$22)-MONTH($J51)))&gt;Lists!N$22)+1)))),IF($AP51="F",IF(N($K51)&lt;=0,0,MIN(MAX(0,$H51),N($K51)*IF(Lists!N$21&lt;$J51,0,(((YEAR(Lists!N$21)-YEAR($J51))*12+MONTH(Lists!N$21)-MONTH($J51))-(EDATE($J51,((YEAR(Lists!N$21)-YEAR($J51))*12+MONTH(Lists!N$21)-MONTH($J51)))&gt;Lists!N$21)+1)))-MIN(MAX(0,$H51),N($K51)*IF(Lists!N$22&lt;$J51,0,(((YEAR(Lists!N$22)-YEAR($J51))*12+MONTH(Lists!N$22)-MONTH($J51))-(EDATE($J51,((YEAR(Lists!N$22)-YEAR($J51))*12+MONTH(Lists!N$22)-MONTH($J51)))&gt;Lists!N$22)+1)))),N($C51)*IF($AE51-$AD51&lt;1,($AD51&gt;Lists!N$22)*($AD51&lt;=Lists!N$21),MAX(0,MIN(Lists!N$21,$AE51)-MAX(Lists!N$22,$AD51))/($AE51-$AD51))+N($D51)*IF($AG51-$AF51&lt;1,($AF51&gt;Lists!N$22)*($AF51&lt;=Lists!N$21),MAX(0,MIN(Lists!N$21,$AG51)-MAX(Lists!N$22,$AF51))/($AG51-$AF51))+N($E51)*IF($AI51-$AH51&lt;1,($AH51&gt;Lists!N$22)*($AH51&lt;=Lists!N$21),MAX(0,MIN(Lists!N$21,$AI51)-MAX(Lists!N$22,$AH51))/($AI51-$AH51))+N($F51)*IF($AK51-$AJ51&lt;1,($AJ51&gt;Lists!N$22)*($AJ51&lt;=Lists!N$21),MAX(0,MIN(Lists!N$21,$AK51)-MAX(Lists!N$22,$AJ51))/($AK51-$AJ51))+N($G51)*IF($AM51-$AL51&lt;1,($AL51&gt;Lists!N$22)*($AL51&lt;=Lists!N$21),MAX(0,MIN(Lists!N$21,$AM51)-MAX(Lists!N$22,$AL51))/($AM51-$AL51))))))))</f>
        <v>0</v>
      </c>
      <c r="Y51" s="53" t="n">
        <f aca="false">IF($H51=0,0,IF($AP51="X",0,IF($AP51="S",$H51/$AO51*(MIN($AO51,MAX(0,INT((Lists!O$21-N($J51))/7)+1))-MIN($AO51,MAX(0,INT((Lists!O$22-N($J51))/7)+1))),IF($AP51="D",$H51*MAX(0,MIN(Lists!O$21,N($J51)+$AO51)-MAX(Lists!O$22,N($J51)))/$AO51,IF($AP51="M",$H51/$AO51*(IF(Lists!O$21&lt;$J51,0,MIN($AO51,(((YEAR(Lists!O$21)-YEAR($J51))*12+MONTH(Lists!O$21)-MONTH($J51))-(EDATE($J51,((YEAR(Lists!O$21)-YEAR($J51))*12+MONTH(Lists!O$21)-MONTH($J51)))&gt;Lists!O$21)+1)))-IF(Lists!O$22&lt;$J51,0,MIN($AO51,(((YEAR(Lists!O$22)-YEAR($J51))*12+MONTH(Lists!O$22)-MONTH($J51))-(EDATE($J51,((YEAR(Lists!O$22)-YEAR($J51))*12+MONTH(Lists!O$22)-MONTH($J51)))&gt;Lists!O$22)+1)))),IF($AP51="F",IF(N($K51)&lt;=0,0,MIN(MAX(0,$H51),N($K51)*IF(Lists!O$21&lt;$J51,0,(((YEAR(Lists!O$21)-YEAR($J51))*12+MONTH(Lists!O$21)-MONTH($J51))-(EDATE($J51,((YEAR(Lists!O$21)-YEAR($J51))*12+MONTH(Lists!O$21)-MONTH($J51)))&gt;Lists!O$21)+1)))-MIN(MAX(0,$H51),N($K51)*IF(Lists!O$22&lt;$J51,0,(((YEAR(Lists!O$22)-YEAR($J51))*12+MONTH(Lists!O$22)-MONTH($J51))-(EDATE($J51,((YEAR(Lists!O$22)-YEAR($J51))*12+MONTH(Lists!O$22)-MONTH($J51)))&gt;Lists!O$22)+1)))),N($C51)*IF($AE51-$AD51&lt;1,($AD51&gt;Lists!O$22)*($AD51&lt;=Lists!O$21),MAX(0,MIN(Lists!O$21,$AE51)-MAX(Lists!O$22,$AD51))/($AE51-$AD51))+N($D51)*IF($AG51-$AF51&lt;1,($AF51&gt;Lists!O$22)*($AF51&lt;=Lists!O$21),MAX(0,MIN(Lists!O$21,$AG51)-MAX(Lists!O$22,$AF51))/($AG51-$AF51))+N($E51)*IF($AI51-$AH51&lt;1,($AH51&gt;Lists!O$22)*($AH51&lt;=Lists!O$21),MAX(0,MIN(Lists!O$21,$AI51)-MAX(Lists!O$22,$AH51))/($AI51-$AH51))+N($F51)*IF($AK51-$AJ51&lt;1,($AJ51&gt;Lists!O$22)*($AJ51&lt;=Lists!O$21),MAX(0,MIN(Lists!O$21,$AK51)-MAX(Lists!O$22,$AJ51))/($AK51-$AJ51))+N($G51)*IF($AM51-$AL51&lt;1,($AL51&gt;Lists!O$22)*($AL51&lt;=Lists!O$21),MAX(0,MIN(Lists!O$21,$AM51)-MAX(Lists!O$22,$AL51))/($AM51-$AL51))))))))</f>
        <v>0</v>
      </c>
      <c r="Z51" s="46" t="n">
        <f aca="false">SUM(M51:Y51)</f>
        <v>0</v>
      </c>
      <c r="AA51" s="92" t="n">
        <f aca="false">H51-Z51</f>
        <v>0</v>
      </c>
      <c r="AB51" s="55"/>
      <c r="AC51" s="2"/>
      <c r="AD51" s="93" t="n">
        <f aca="false">Setup!$D$10+MAX(0,$AN51-30)</f>
        <v>46365</v>
      </c>
      <c r="AE51" s="93" t="n">
        <f aca="false">Setup!$D$10+IF($AN51-30&lt;0,MAX(Setup!$D$22,$AN51-0),$AN51-0)</f>
        <v>46395</v>
      </c>
      <c r="AF51" s="93" t="n">
        <f aca="false">Setup!$D$10+MAX(0,$AN51-60)</f>
        <v>46335</v>
      </c>
      <c r="AG51" s="93" t="n">
        <f aca="false">Setup!$D$10+IF($AN51-60&lt;0,MAX(Setup!$D$22,$AN51-31),$AN51-31)</f>
        <v>46364</v>
      </c>
      <c r="AH51" s="93" t="n">
        <f aca="false">Setup!$D$10+MAX(0,$AN51-90)</f>
        <v>46335</v>
      </c>
      <c r="AI51" s="93" t="n">
        <f aca="false">Setup!$D$10+IF($AN51-90&lt;0,MAX(Setup!$D$22,$AN51-61),$AN51-61)</f>
        <v>46363</v>
      </c>
      <c r="AJ51" s="93" t="n">
        <f aca="false">Setup!$D$10+MAX(0,$AN51-120)</f>
        <v>46335</v>
      </c>
      <c r="AK51" s="93" t="n">
        <f aca="false">Setup!$D$10+IF($AN51-120&lt;0,MAX(Setup!$D$22,$AN51-91),$AN51-91)</f>
        <v>46363</v>
      </c>
      <c r="AL51" s="93" t="n">
        <f aca="false">IF(Setup!$D$23="Yes",2958465,Setup!$D$10)</f>
        <v>2958465</v>
      </c>
      <c r="AM51" s="93" t="n">
        <f aca="false">IF(AL51=2958465,AL51,Setup!$D$10+Setup!$D$22)</f>
        <v>2958465</v>
      </c>
      <c r="AN51" s="94" t="n">
        <f aca="false">IF(N(L51)=0,Setup!$D$20,L51)</f>
        <v>60</v>
      </c>
      <c r="AO51" s="94" t="n">
        <f aca="false">MAX(1,ROUND(N(K51),0))</f>
        <v>1</v>
      </c>
      <c r="AP51" s="95" t="str">
        <f aca="false">IF(I51="Doubtful","X",IF(N(J51)=0,"A",IF(I51="Specific date","S",IF(I51="Spread over days","D",IF(I51="Monthly on set day","M",IF(I51="Monthly fixed amount","F","A"))))))</f>
        <v>A</v>
      </c>
    </row>
    <row r="52" customFormat="false" ht="15" hidden="false" customHeight="false" outlineLevel="0" collapsed="false">
      <c r="A52" s="87" t="n">
        <v>44</v>
      </c>
      <c r="B52" s="55"/>
      <c r="C52" s="88"/>
      <c r="D52" s="88"/>
      <c r="E52" s="88"/>
      <c r="F52" s="88"/>
      <c r="G52" s="88"/>
      <c r="H52" s="89" t="n">
        <f aca="false">SUM(C52:G52)</f>
        <v>0</v>
      </c>
      <c r="I52" s="58"/>
      <c r="J52" s="90"/>
      <c r="K52" s="91"/>
      <c r="L52" s="80"/>
      <c r="M52" s="53" t="n">
        <f aca="false">IF($H52=0,0,IF($AP52="X",0,IF($AP52="S",$H52/$AO52*(MIN($AO52,MAX(0,INT((Lists!C$21-N($J52))/7)+1))-MIN($AO52,MAX(0,INT((Lists!C$22-N($J52))/7)+1))),IF($AP52="D",$H52*MAX(0,MIN(Lists!C$21,N($J52)+$AO52)-MAX(Lists!C$22,N($J52)))/$AO52,IF($AP52="M",$H52/$AO52*(IF(Lists!C$21&lt;$J52,0,MIN($AO52,(((YEAR(Lists!C$21)-YEAR($J52))*12+MONTH(Lists!C$21)-MONTH($J52))-(EDATE($J52,((YEAR(Lists!C$21)-YEAR($J52))*12+MONTH(Lists!C$21)-MONTH($J52)))&gt;Lists!C$21)+1)))-IF(Lists!C$22&lt;$J52,0,MIN($AO52,(((YEAR(Lists!C$22)-YEAR($J52))*12+MONTH(Lists!C$22)-MONTH($J52))-(EDATE($J52,((YEAR(Lists!C$22)-YEAR($J52))*12+MONTH(Lists!C$22)-MONTH($J52)))&gt;Lists!C$22)+1)))),IF($AP52="F",IF(N($K52)&lt;=0,0,MIN(MAX(0,$H52),N($K52)*IF(Lists!C$21&lt;$J52,0,(((YEAR(Lists!C$21)-YEAR($J52))*12+MONTH(Lists!C$21)-MONTH($J52))-(EDATE($J52,((YEAR(Lists!C$21)-YEAR($J52))*12+MONTH(Lists!C$21)-MONTH($J52)))&gt;Lists!C$21)+1)))-MIN(MAX(0,$H52),N($K52)*IF(Lists!C$22&lt;$J52,0,(((YEAR(Lists!C$22)-YEAR($J52))*12+MONTH(Lists!C$22)-MONTH($J52))-(EDATE($J52,((YEAR(Lists!C$22)-YEAR($J52))*12+MONTH(Lists!C$22)-MONTH($J52)))&gt;Lists!C$22)+1)))),N($C52)*IF($AE52-$AD52&lt;1,($AD52&gt;Lists!C$22)*($AD52&lt;=Lists!C$21),MAX(0,MIN(Lists!C$21,$AE52)-MAX(Lists!C$22,$AD52))/($AE52-$AD52))+N($D52)*IF($AG52-$AF52&lt;1,($AF52&gt;Lists!C$22)*($AF52&lt;=Lists!C$21),MAX(0,MIN(Lists!C$21,$AG52)-MAX(Lists!C$22,$AF52))/($AG52-$AF52))+N($E52)*IF($AI52-$AH52&lt;1,($AH52&gt;Lists!C$22)*($AH52&lt;=Lists!C$21),MAX(0,MIN(Lists!C$21,$AI52)-MAX(Lists!C$22,$AH52))/($AI52-$AH52))+N($F52)*IF($AK52-$AJ52&lt;1,($AJ52&gt;Lists!C$22)*($AJ52&lt;=Lists!C$21),MAX(0,MIN(Lists!C$21,$AK52)-MAX(Lists!C$22,$AJ52))/($AK52-$AJ52))+N($G52)*IF($AM52-$AL52&lt;1,($AL52&gt;Lists!C$22)*($AL52&lt;=Lists!C$21),MAX(0,MIN(Lists!C$21,$AM52)-MAX(Lists!C$22,$AL52))/($AM52-$AL52))))))))</f>
        <v>0</v>
      </c>
      <c r="N52" s="53" t="n">
        <f aca="false">IF($H52=0,0,IF($AP52="X",0,IF($AP52="S",$H52/$AO52*(MIN($AO52,MAX(0,INT((Lists!D$21-N($J52))/7)+1))-MIN($AO52,MAX(0,INT((Lists!D$22-N($J52))/7)+1))),IF($AP52="D",$H52*MAX(0,MIN(Lists!D$21,N($J52)+$AO52)-MAX(Lists!D$22,N($J52)))/$AO52,IF($AP52="M",$H52/$AO52*(IF(Lists!D$21&lt;$J52,0,MIN($AO52,(((YEAR(Lists!D$21)-YEAR($J52))*12+MONTH(Lists!D$21)-MONTH($J52))-(EDATE($J52,((YEAR(Lists!D$21)-YEAR($J52))*12+MONTH(Lists!D$21)-MONTH($J52)))&gt;Lists!D$21)+1)))-IF(Lists!D$22&lt;$J52,0,MIN($AO52,(((YEAR(Lists!D$22)-YEAR($J52))*12+MONTH(Lists!D$22)-MONTH($J52))-(EDATE($J52,((YEAR(Lists!D$22)-YEAR($J52))*12+MONTH(Lists!D$22)-MONTH($J52)))&gt;Lists!D$22)+1)))),IF($AP52="F",IF(N($K52)&lt;=0,0,MIN(MAX(0,$H52),N($K52)*IF(Lists!D$21&lt;$J52,0,(((YEAR(Lists!D$21)-YEAR($J52))*12+MONTH(Lists!D$21)-MONTH($J52))-(EDATE($J52,((YEAR(Lists!D$21)-YEAR($J52))*12+MONTH(Lists!D$21)-MONTH($J52)))&gt;Lists!D$21)+1)))-MIN(MAX(0,$H52),N($K52)*IF(Lists!D$22&lt;$J52,0,(((YEAR(Lists!D$22)-YEAR($J52))*12+MONTH(Lists!D$22)-MONTH($J52))-(EDATE($J52,((YEAR(Lists!D$22)-YEAR($J52))*12+MONTH(Lists!D$22)-MONTH($J52)))&gt;Lists!D$22)+1)))),N($C52)*IF($AE52-$AD52&lt;1,($AD52&gt;Lists!D$22)*($AD52&lt;=Lists!D$21),MAX(0,MIN(Lists!D$21,$AE52)-MAX(Lists!D$22,$AD52))/($AE52-$AD52))+N($D52)*IF($AG52-$AF52&lt;1,($AF52&gt;Lists!D$22)*($AF52&lt;=Lists!D$21),MAX(0,MIN(Lists!D$21,$AG52)-MAX(Lists!D$22,$AF52))/($AG52-$AF52))+N($E52)*IF($AI52-$AH52&lt;1,($AH52&gt;Lists!D$22)*($AH52&lt;=Lists!D$21),MAX(0,MIN(Lists!D$21,$AI52)-MAX(Lists!D$22,$AH52))/($AI52-$AH52))+N($F52)*IF($AK52-$AJ52&lt;1,($AJ52&gt;Lists!D$22)*($AJ52&lt;=Lists!D$21),MAX(0,MIN(Lists!D$21,$AK52)-MAX(Lists!D$22,$AJ52))/($AK52-$AJ52))+N($G52)*IF($AM52-$AL52&lt;1,($AL52&gt;Lists!D$22)*($AL52&lt;=Lists!D$21),MAX(0,MIN(Lists!D$21,$AM52)-MAX(Lists!D$22,$AL52))/($AM52-$AL52))))))))</f>
        <v>0</v>
      </c>
      <c r="O52" s="53" t="n">
        <f aca="false">IF($H52=0,0,IF($AP52="X",0,IF($AP52="S",$H52/$AO52*(MIN($AO52,MAX(0,INT((Lists!E$21-N($J52))/7)+1))-MIN($AO52,MAX(0,INT((Lists!E$22-N($J52))/7)+1))),IF($AP52="D",$H52*MAX(0,MIN(Lists!E$21,N($J52)+$AO52)-MAX(Lists!E$22,N($J52)))/$AO52,IF($AP52="M",$H52/$AO52*(IF(Lists!E$21&lt;$J52,0,MIN($AO52,(((YEAR(Lists!E$21)-YEAR($J52))*12+MONTH(Lists!E$21)-MONTH($J52))-(EDATE($J52,((YEAR(Lists!E$21)-YEAR($J52))*12+MONTH(Lists!E$21)-MONTH($J52)))&gt;Lists!E$21)+1)))-IF(Lists!E$22&lt;$J52,0,MIN($AO52,(((YEAR(Lists!E$22)-YEAR($J52))*12+MONTH(Lists!E$22)-MONTH($J52))-(EDATE($J52,((YEAR(Lists!E$22)-YEAR($J52))*12+MONTH(Lists!E$22)-MONTH($J52)))&gt;Lists!E$22)+1)))),IF($AP52="F",IF(N($K52)&lt;=0,0,MIN(MAX(0,$H52),N($K52)*IF(Lists!E$21&lt;$J52,0,(((YEAR(Lists!E$21)-YEAR($J52))*12+MONTH(Lists!E$21)-MONTH($J52))-(EDATE($J52,((YEAR(Lists!E$21)-YEAR($J52))*12+MONTH(Lists!E$21)-MONTH($J52)))&gt;Lists!E$21)+1)))-MIN(MAX(0,$H52),N($K52)*IF(Lists!E$22&lt;$J52,0,(((YEAR(Lists!E$22)-YEAR($J52))*12+MONTH(Lists!E$22)-MONTH($J52))-(EDATE($J52,((YEAR(Lists!E$22)-YEAR($J52))*12+MONTH(Lists!E$22)-MONTH($J52)))&gt;Lists!E$22)+1)))),N($C52)*IF($AE52-$AD52&lt;1,($AD52&gt;Lists!E$22)*($AD52&lt;=Lists!E$21),MAX(0,MIN(Lists!E$21,$AE52)-MAX(Lists!E$22,$AD52))/($AE52-$AD52))+N($D52)*IF($AG52-$AF52&lt;1,($AF52&gt;Lists!E$22)*($AF52&lt;=Lists!E$21),MAX(0,MIN(Lists!E$21,$AG52)-MAX(Lists!E$22,$AF52))/($AG52-$AF52))+N($E52)*IF($AI52-$AH52&lt;1,($AH52&gt;Lists!E$22)*($AH52&lt;=Lists!E$21),MAX(0,MIN(Lists!E$21,$AI52)-MAX(Lists!E$22,$AH52))/($AI52-$AH52))+N($F52)*IF($AK52-$AJ52&lt;1,($AJ52&gt;Lists!E$22)*($AJ52&lt;=Lists!E$21),MAX(0,MIN(Lists!E$21,$AK52)-MAX(Lists!E$22,$AJ52))/($AK52-$AJ52))+N($G52)*IF($AM52-$AL52&lt;1,($AL52&gt;Lists!E$22)*($AL52&lt;=Lists!E$21),MAX(0,MIN(Lists!E$21,$AM52)-MAX(Lists!E$22,$AL52))/($AM52-$AL52))))))))</f>
        <v>0</v>
      </c>
      <c r="P52" s="53" t="n">
        <f aca="false">IF($H52=0,0,IF($AP52="X",0,IF($AP52="S",$H52/$AO52*(MIN($AO52,MAX(0,INT((Lists!F$21-N($J52))/7)+1))-MIN($AO52,MAX(0,INT((Lists!F$22-N($J52))/7)+1))),IF($AP52="D",$H52*MAX(0,MIN(Lists!F$21,N($J52)+$AO52)-MAX(Lists!F$22,N($J52)))/$AO52,IF($AP52="M",$H52/$AO52*(IF(Lists!F$21&lt;$J52,0,MIN($AO52,(((YEAR(Lists!F$21)-YEAR($J52))*12+MONTH(Lists!F$21)-MONTH($J52))-(EDATE($J52,((YEAR(Lists!F$21)-YEAR($J52))*12+MONTH(Lists!F$21)-MONTH($J52)))&gt;Lists!F$21)+1)))-IF(Lists!F$22&lt;$J52,0,MIN($AO52,(((YEAR(Lists!F$22)-YEAR($J52))*12+MONTH(Lists!F$22)-MONTH($J52))-(EDATE($J52,((YEAR(Lists!F$22)-YEAR($J52))*12+MONTH(Lists!F$22)-MONTH($J52)))&gt;Lists!F$22)+1)))),IF($AP52="F",IF(N($K52)&lt;=0,0,MIN(MAX(0,$H52),N($K52)*IF(Lists!F$21&lt;$J52,0,(((YEAR(Lists!F$21)-YEAR($J52))*12+MONTH(Lists!F$21)-MONTH($J52))-(EDATE($J52,((YEAR(Lists!F$21)-YEAR($J52))*12+MONTH(Lists!F$21)-MONTH($J52)))&gt;Lists!F$21)+1)))-MIN(MAX(0,$H52),N($K52)*IF(Lists!F$22&lt;$J52,0,(((YEAR(Lists!F$22)-YEAR($J52))*12+MONTH(Lists!F$22)-MONTH($J52))-(EDATE($J52,((YEAR(Lists!F$22)-YEAR($J52))*12+MONTH(Lists!F$22)-MONTH($J52)))&gt;Lists!F$22)+1)))),N($C52)*IF($AE52-$AD52&lt;1,($AD52&gt;Lists!F$22)*($AD52&lt;=Lists!F$21),MAX(0,MIN(Lists!F$21,$AE52)-MAX(Lists!F$22,$AD52))/($AE52-$AD52))+N($D52)*IF($AG52-$AF52&lt;1,($AF52&gt;Lists!F$22)*($AF52&lt;=Lists!F$21),MAX(0,MIN(Lists!F$21,$AG52)-MAX(Lists!F$22,$AF52))/($AG52-$AF52))+N($E52)*IF($AI52-$AH52&lt;1,($AH52&gt;Lists!F$22)*($AH52&lt;=Lists!F$21),MAX(0,MIN(Lists!F$21,$AI52)-MAX(Lists!F$22,$AH52))/($AI52-$AH52))+N($F52)*IF($AK52-$AJ52&lt;1,($AJ52&gt;Lists!F$22)*($AJ52&lt;=Lists!F$21),MAX(0,MIN(Lists!F$21,$AK52)-MAX(Lists!F$22,$AJ52))/($AK52-$AJ52))+N($G52)*IF($AM52-$AL52&lt;1,($AL52&gt;Lists!F$22)*($AL52&lt;=Lists!F$21),MAX(0,MIN(Lists!F$21,$AM52)-MAX(Lists!F$22,$AL52))/($AM52-$AL52))))))))</f>
        <v>0</v>
      </c>
      <c r="Q52" s="53" t="n">
        <f aca="false">IF($H52=0,0,IF($AP52="X",0,IF($AP52="S",$H52/$AO52*(MIN($AO52,MAX(0,INT((Lists!G$21-N($J52))/7)+1))-MIN($AO52,MAX(0,INT((Lists!G$22-N($J52))/7)+1))),IF($AP52="D",$H52*MAX(0,MIN(Lists!G$21,N($J52)+$AO52)-MAX(Lists!G$22,N($J52)))/$AO52,IF($AP52="M",$H52/$AO52*(IF(Lists!G$21&lt;$J52,0,MIN($AO52,(((YEAR(Lists!G$21)-YEAR($J52))*12+MONTH(Lists!G$21)-MONTH($J52))-(EDATE($J52,((YEAR(Lists!G$21)-YEAR($J52))*12+MONTH(Lists!G$21)-MONTH($J52)))&gt;Lists!G$21)+1)))-IF(Lists!G$22&lt;$J52,0,MIN($AO52,(((YEAR(Lists!G$22)-YEAR($J52))*12+MONTH(Lists!G$22)-MONTH($J52))-(EDATE($J52,((YEAR(Lists!G$22)-YEAR($J52))*12+MONTH(Lists!G$22)-MONTH($J52)))&gt;Lists!G$22)+1)))),IF($AP52="F",IF(N($K52)&lt;=0,0,MIN(MAX(0,$H52),N($K52)*IF(Lists!G$21&lt;$J52,0,(((YEAR(Lists!G$21)-YEAR($J52))*12+MONTH(Lists!G$21)-MONTH($J52))-(EDATE($J52,((YEAR(Lists!G$21)-YEAR($J52))*12+MONTH(Lists!G$21)-MONTH($J52)))&gt;Lists!G$21)+1)))-MIN(MAX(0,$H52),N($K52)*IF(Lists!G$22&lt;$J52,0,(((YEAR(Lists!G$22)-YEAR($J52))*12+MONTH(Lists!G$22)-MONTH($J52))-(EDATE($J52,((YEAR(Lists!G$22)-YEAR($J52))*12+MONTH(Lists!G$22)-MONTH($J52)))&gt;Lists!G$22)+1)))),N($C52)*IF($AE52-$AD52&lt;1,($AD52&gt;Lists!G$22)*($AD52&lt;=Lists!G$21),MAX(0,MIN(Lists!G$21,$AE52)-MAX(Lists!G$22,$AD52))/($AE52-$AD52))+N($D52)*IF($AG52-$AF52&lt;1,($AF52&gt;Lists!G$22)*($AF52&lt;=Lists!G$21),MAX(0,MIN(Lists!G$21,$AG52)-MAX(Lists!G$22,$AF52))/($AG52-$AF52))+N($E52)*IF($AI52-$AH52&lt;1,($AH52&gt;Lists!G$22)*($AH52&lt;=Lists!G$21),MAX(0,MIN(Lists!G$21,$AI52)-MAX(Lists!G$22,$AH52))/($AI52-$AH52))+N($F52)*IF($AK52-$AJ52&lt;1,($AJ52&gt;Lists!G$22)*($AJ52&lt;=Lists!G$21),MAX(0,MIN(Lists!G$21,$AK52)-MAX(Lists!G$22,$AJ52))/($AK52-$AJ52))+N($G52)*IF($AM52-$AL52&lt;1,($AL52&gt;Lists!G$22)*($AL52&lt;=Lists!G$21),MAX(0,MIN(Lists!G$21,$AM52)-MAX(Lists!G$22,$AL52))/($AM52-$AL52))))))))</f>
        <v>0</v>
      </c>
      <c r="R52" s="53" t="n">
        <f aca="false">IF($H52=0,0,IF($AP52="X",0,IF($AP52="S",$H52/$AO52*(MIN($AO52,MAX(0,INT((Lists!H$21-N($J52))/7)+1))-MIN($AO52,MAX(0,INT((Lists!H$22-N($J52))/7)+1))),IF($AP52="D",$H52*MAX(0,MIN(Lists!H$21,N($J52)+$AO52)-MAX(Lists!H$22,N($J52)))/$AO52,IF($AP52="M",$H52/$AO52*(IF(Lists!H$21&lt;$J52,0,MIN($AO52,(((YEAR(Lists!H$21)-YEAR($J52))*12+MONTH(Lists!H$21)-MONTH($J52))-(EDATE($J52,((YEAR(Lists!H$21)-YEAR($J52))*12+MONTH(Lists!H$21)-MONTH($J52)))&gt;Lists!H$21)+1)))-IF(Lists!H$22&lt;$J52,0,MIN($AO52,(((YEAR(Lists!H$22)-YEAR($J52))*12+MONTH(Lists!H$22)-MONTH($J52))-(EDATE($J52,((YEAR(Lists!H$22)-YEAR($J52))*12+MONTH(Lists!H$22)-MONTH($J52)))&gt;Lists!H$22)+1)))),IF($AP52="F",IF(N($K52)&lt;=0,0,MIN(MAX(0,$H52),N($K52)*IF(Lists!H$21&lt;$J52,0,(((YEAR(Lists!H$21)-YEAR($J52))*12+MONTH(Lists!H$21)-MONTH($J52))-(EDATE($J52,((YEAR(Lists!H$21)-YEAR($J52))*12+MONTH(Lists!H$21)-MONTH($J52)))&gt;Lists!H$21)+1)))-MIN(MAX(0,$H52),N($K52)*IF(Lists!H$22&lt;$J52,0,(((YEAR(Lists!H$22)-YEAR($J52))*12+MONTH(Lists!H$22)-MONTH($J52))-(EDATE($J52,((YEAR(Lists!H$22)-YEAR($J52))*12+MONTH(Lists!H$22)-MONTH($J52)))&gt;Lists!H$22)+1)))),N($C52)*IF($AE52-$AD52&lt;1,($AD52&gt;Lists!H$22)*($AD52&lt;=Lists!H$21),MAX(0,MIN(Lists!H$21,$AE52)-MAX(Lists!H$22,$AD52))/($AE52-$AD52))+N($D52)*IF($AG52-$AF52&lt;1,($AF52&gt;Lists!H$22)*($AF52&lt;=Lists!H$21),MAX(0,MIN(Lists!H$21,$AG52)-MAX(Lists!H$22,$AF52))/($AG52-$AF52))+N($E52)*IF($AI52-$AH52&lt;1,($AH52&gt;Lists!H$22)*($AH52&lt;=Lists!H$21),MAX(0,MIN(Lists!H$21,$AI52)-MAX(Lists!H$22,$AH52))/($AI52-$AH52))+N($F52)*IF($AK52-$AJ52&lt;1,($AJ52&gt;Lists!H$22)*($AJ52&lt;=Lists!H$21),MAX(0,MIN(Lists!H$21,$AK52)-MAX(Lists!H$22,$AJ52))/($AK52-$AJ52))+N($G52)*IF($AM52-$AL52&lt;1,($AL52&gt;Lists!H$22)*($AL52&lt;=Lists!H$21),MAX(0,MIN(Lists!H$21,$AM52)-MAX(Lists!H$22,$AL52))/($AM52-$AL52))))))))</f>
        <v>0</v>
      </c>
      <c r="S52" s="53" t="n">
        <f aca="false">IF($H52=0,0,IF($AP52="X",0,IF($AP52="S",$H52/$AO52*(MIN($AO52,MAX(0,INT((Lists!I$21-N($J52))/7)+1))-MIN($AO52,MAX(0,INT((Lists!I$22-N($J52))/7)+1))),IF($AP52="D",$H52*MAX(0,MIN(Lists!I$21,N($J52)+$AO52)-MAX(Lists!I$22,N($J52)))/$AO52,IF($AP52="M",$H52/$AO52*(IF(Lists!I$21&lt;$J52,0,MIN($AO52,(((YEAR(Lists!I$21)-YEAR($J52))*12+MONTH(Lists!I$21)-MONTH($J52))-(EDATE($J52,((YEAR(Lists!I$21)-YEAR($J52))*12+MONTH(Lists!I$21)-MONTH($J52)))&gt;Lists!I$21)+1)))-IF(Lists!I$22&lt;$J52,0,MIN($AO52,(((YEAR(Lists!I$22)-YEAR($J52))*12+MONTH(Lists!I$22)-MONTH($J52))-(EDATE($J52,((YEAR(Lists!I$22)-YEAR($J52))*12+MONTH(Lists!I$22)-MONTH($J52)))&gt;Lists!I$22)+1)))),IF($AP52="F",IF(N($K52)&lt;=0,0,MIN(MAX(0,$H52),N($K52)*IF(Lists!I$21&lt;$J52,0,(((YEAR(Lists!I$21)-YEAR($J52))*12+MONTH(Lists!I$21)-MONTH($J52))-(EDATE($J52,((YEAR(Lists!I$21)-YEAR($J52))*12+MONTH(Lists!I$21)-MONTH($J52)))&gt;Lists!I$21)+1)))-MIN(MAX(0,$H52),N($K52)*IF(Lists!I$22&lt;$J52,0,(((YEAR(Lists!I$22)-YEAR($J52))*12+MONTH(Lists!I$22)-MONTH($J52))-(EDATE($J52,((YEAR(Lists!I$22)-YEAR($J52))*12+MONTH(Lists!I$22)-MONTH($J52)))&gt;Lists!I$22)+1)))),N($C52)*IF($AE52-$AD52&lt;1,($AD52&gt;Lists!I$22)*($AD52&lt;=Lists!I$21),MAX(0,MIN(Lists!I$21,$AE52)-MAX(Lists!I$22,$AD52))/($AE52-$AD52))+N($D52)*IF($AG52-$AF52&lt;1,($AF52&gt;Lists!I$22)*($AF52&lt;=Lists!I$21),MAX(0,MIN(Lists!I$21,$AG52)-MAX(Lists!I$22,$AF52))/($AG52-$AF52))+N($E52)*IF($AI52-$AH52&lt;1,($AH52&gt;Lists!I$22)*($AH52&lt;=Lists!I$21),MAX(0,MIN(Lists!I$21,$AI52)-MAX(Lists!I$22,$AH52))/($AI52-$AH52))+N($F52)*IF($AK52-$AJ52&lt;1,($AJ52&gt;Lists!I$22)*($AJ52&lt;=Lists!I$21),MAX(0,MIN(Lists!I$21,$AK52)-MAX(Lists!I$22,$AJ52))/($AK52-$AJ52))+N($G52)*IF($AM52-$AL52&lt;1,($AL52&gt;Lists!I$22)*($AL52&lt;=Lists!I$21),MAX(0,MIN(Lists!I$21,$AM52)-MAX(Lists!I$22,$AL52))/($AM52-$AL52))))))))</f>
        <v>0</v>
      </c>
      <c r="T52" s="53" t="n">
        <f aca="false">IF($H52=0,0,IF($AP52="X",0,IF($AP52="S",$H52/$AO52*(MIN($AO52,MAX(0,INT((Lists!J$21-N($J52))/7)+1))-MIN($AO52,MAX(0,INT((Lists!J$22-N($J52))/7)+1))),IF($AP52="D",$H52*MAX(0,MIN(Lists!J$21,N($J52)+$AO52)-MAX(Lists!J$22,N($J52)))/$AO52,IF($AP52="M",$H52/$AO52*(IF(Lists!J$21&lt;$J52,0,MIN($AO52,(((YEAR(Lists!J$21)-YEAR($J52))*12+MONTH(Lists!J$21)-MONTH($J52))-(EDATE($J52,((YEAR(Lists!J$21)-YEAR($J52))*12+MONTH(Lists!J$21)-MONTH($J52)))&gt;Lists!J$21)+1)))-IF(Lists!J$22&lt;$J52,0,MIN($AO52,(((YEAR(Lists!J$22)-YEAR($J52))*12+MONTH(Lists!J$22)-MONTH($J52))-(EDATE($J52,((YEAR(Lists!J$22)-YEAR($J52))*12+MONTH(Lists!J$22)-MONTH($J52)))&gt;Lists!J$22)+1)))),IF($AP52="F",IF(N($K52)&lt;=0,0,MIN(MAX(0,$H52),N($K52)*IF(Lists!J$21&lt;$J52,0,(((YEAR(Lists!J$21)-YEAR($J52))*12+MONTH(Lists!J$21)-MONTH($J52))-(EDATE($J52,((YEAR(Lists!J$21)-YEAR($J52))*12+MONTH(Lists!J$21)-MONTH($J52)))&gt;Lists!J$21)+1)))-MIN(MAX(0,$H52),N($K52)*IF(Lists!J$22&lt;$J52,0,(((YEAR(Lists!J$22)-YEAR($J52))*12+MONTH(Lists!J$22)-MONTH($J52))-(EDATE($J52,((YEAR(Lists!J$22)-YEAR($J52))*12+MONTH(Lists!J$22)-MONTH($J52)))&gt;Lists!J$22)+1)))),N($C52)*IF($AE52-$AD52&lt;1,($AD52&gt;Lists!J$22)*($AD52&lt;=Lists!J$21),MAX(0,MIN(Lists!J$21,$AE52)-MAX(Lists!J$22,$AD52))/($AE52-$AD52))+N($D52)*IF($AG52-$AF52&lt;1,($AF52&gt;Lists!J$22)*($AF52&lt;=Lists!J$21),MAX(0,MIN(Lists!J$21,$AG52)-MAX(Lists!J$22,$AF52))/($AG52-$AF52))+N($E52)*IF($AI52-$AH52&lt;1,($AH52&gt;Lists!J$22)*($AH52&lt;=Lists!J$21),MAX(0,MIN(Lists!J$21,$AI52)-MAX(Lists!J$22,$AH52))/($AI52-$AH52))+N($F52)*IF($AK52-$AJ52&lt;1,($AJ52&gt;Lists!J$22)*($AJ52&lt;=Lists!J$21),MAX(0,MIN(Lists!J$21,$AK52)-MAX(Lists!J$22,$AJ52))/($AK52-$AJ52))+N($G52)*IF($AM52-$AL52&lt;1,($AL52&gt;Lists!J$22)*($AL52&lt;=Lists!J$21),MAX(0,MIN(Lists!J$21,$AM52)-MAX(Lists!J$22,$AL52))/($AM52-$AL52))))))))</f>
        <v>0</v>
      </c>
      <c r="U52" s="53" t="n">
        <f aca="false">IF($H52=0,0,IF($AP52="X",0,IF($AP52="S",$H52/$AO52*(MIN($AO52,MAX(0,INT((Lists!K$21-N($J52))/7)+1))-MIN($AO52,MAX(0,INT((Lists!K$22-N($J52))/7)+1))),IF($AP52="D",$H52*MAX(0,MIN(Lists!K$21,N($J52)+$AO52)-MAX(Lists!K$22,N($J52)))/$AO52,IF($AP52="M",$H52/$AO52*(IF(Lists!K$21&lt;$J52,0,MIN($AO52,(((YEAR(Lists!K$21)-YEAR($J52))*12+MONTH(Lists!K$21)-MONTH($J52))-(EDATE($J52,((YEAR(Lists!K$21)-YEAR($J52))*12+MONTH(Lists!K$21)-MONTH($J52)))&gt;Lists!K$21)+1)))-IF(Lists!K$22&lt;$J52,0,MIN($AO52,(((YEAR(Lists!K$22)-YEAR($J52))*12+MONTH(Lists!K$22)-MONTH($J52))-(EDATE($J52,((YEAR(Lists!K$22)-YEAR($J52))*12+MONTH(Lists!K$22)-MONTH($J52)))&gt;Lists!K$22)+1)))),IF($AP52="F",IF(N($K52)&lt;=0,0,MIN(MAX(0,$H52),N($K52)*IF(Lists!K$21&lt;$J52,0,(((YEAR(Lists!K$21)-YEAR($J52))*12+MONTH(Lists!K$21)-MONTH($J52))-(EDATE($J52,((YEAR(Lists!K$21)-YEAR($J52))*12+MONTH(Lists!K$21)-MONTH($J52)))&gt;Lists!K$21)+1)))-MIN(MAX(0,$H52),N($K52)*IF(Lists!K$22&lt;$J52,0,(((YEAR(Lists!K$22)-YEAR($J52))*12+MONTH(Lists!K$22)-MONTH($J52))-(EDATE($J52,((YEAR(Lists!K$22)-YEAR($J52))*12+MONTH(Lists!K$22)-MONTH($J52)))&gt;Lists!K$22)+1)))),N($C52)*IF($AE52-$AD52&lt;1,($AD52&gt;Lists!K$22)*($AD52&lt;=Lists!K$21),MAX(0,MIN(Lists!K$21,$AE52)-MAX(Lists!K$22,$AD52))/($AE52-$AD52))+N($D52)*IF($AG52-$AF52&lt;1,($AF52&gt;Lists!K$22)*($AF52&lt;=Lists!K$21),MAX(0,MIN(Lists!K$21,$AG52)-MAX(Lists!K$22,$AF52))/($AG52-$AF52))+N($E52)*IF($AI52-$AH52&lt;1,($AH52&gt;Lists!K$22)*($AH52&lt;=Lists!K$21),MAX(0,MIN(Lists!K$21,$AI52)-MAX(Lists!K$22,$AH52))/($AI52-$AH52))+N($F52)*IF($AK52-$AJ52&lt;1,($AJ52&gt;Lists!K$22)*($AJ52&lt;=Lists!K$21),MAX(0,MIN(Lists!K$21,$AK52)-MAX(Lists!K$22,$AJ52))/($AK52-$AJ52))+N($G52)*IF($AM52-$AL52&lt;1,($AL52&gt;Lists!K$22)*($AL52&lt;=Lists!K$21),MAX(0,MIN(Lists!K$21,$AM52)-MAX(Lists!K$22,$AL52))/($AM52-$AL52))))))))</f>
        <v>0</v>
      </c>
      <c r="V52" s="53" t="n">
        <f aca="false">IF($H52=0,0,IF($AP52="X",0,IF($AP52="S",$H52/$AO52*(MIN($AO52,MAX(0,INT((Lists!L$21-N($J52))/7)+1))-MIN($AO52,MAX(0,INT((Lists!L$22-N($J52))/7)+1))),IF($AP52="D",$H52*MAX(0,MIN(Lists!L$21,N($J52)+$AO52)-MAX(Lists!L$22,N($J52)))/$AO52,IF($AP52="M",$H52/$AO52*(IF(Lists!L$21&lt;$J52,0,MIN($AO52,(((YEAR(Lists!L$21)-YEAR($J52))*12+MONTH(Lists!L$21)-MONTH($J52))-(EDATE($J52,((YEAR(Lists!L$21)-YEAR($J52))*12+MONTH(Lists!L$21)-MONTH($J52)))&gt;Lists!L$21)+1)))-IF(Lists!L$22&lt;$J52,0,MIN($AO52,(((YEAR(Lists!L$22)-YEAR($J52))*12+MONTH(Lists!L$22)-MONTH($J52))-(EDATE($J52,((YEAR(Lists!L$22)-YEAR($J52))*12+MONTH(Lists!L$22)-MONTH($J52)))&gt;Lists!L$22)+1)))),IF($AP52="F",IF(N($K52)&lt;=0,0,MIN(MAX(0,$H52),N($K52)*IF(Lists!L$21&lt;$J52,0,(((YEAR(Lists!L$21)-YEAR($J52))*12+MONTH(Lists!L$21)-MONTH($J52))-(EDATE($J52,((YEAR(Lists!L$21)-YEAR($J52))*12+MONTH(Lists!L$21)-MONTH($J52)))&gt;Lists!L$21)+1)))-MIN(MAX(0,$H52),N($K52)*IF(Lists!L$22&lt;$J52,0,(((YEAR(Lists!L$22)-YEAR($J52))*12+MONTH(Lists!L$22)-MONTH($J52))-(EDATE($J52,((YEAR(Lists!L$22)-YEAR($J52))*12+MONTH(Lists!L$22)-MONTH($J52)))&gt;Lists!L$22)+1)))),N($C52)*IF($AE52-$AD52&lt;1,($AD52&gt;Lists!L$22)*($AD52&lt;=Lists!L$21),MAX(0,MIN(Lists!L$21,$AE52)-MAX(Lists!L$22,$AD52))/($AE52-$AD52))+N($D52)*IF($AG52-$AF52&lt;1,($AF52&gt;Lists!L$22)*($AF52&lt;=Lists!L$21),MAX(0,MIN(Lists!L$21,$AG52)-MAX(Lists!L$22,$AF52))/($AG52-$AF52))+N($E52)*IF($AI52-$AH52&lt;1,($AH52&gt;Lists!L$22)*($AH52&lt;=Lists!L$21),MAX(0,MIN(Lists!L$21,$AI52)-MAX(Lists!L$22,$AH52))/($AI52-$AH52))+N($F52)*IF($AK52-$AJ52&lt;1,($AJ52&gt;Lists!L$22)*($AJ52&lt;=Lists!L$21),MAX(0,MIN(Lists!L$21,$AK52)-MAX(Lists!L$22,$AJ52))/($AK52-$AJ52))+N($G52)*IF($AM52-$AL52&lt;1,($AL52&gt;Lists!L$22)*($AL52&lt;=Lists!L$21),MAX(0,MIN(Lists!L$21,$AM52)-MAX(Lists!L$22,$AL52))/($AM52-$AL52))))))))</f>
        <v>0</v>
      </c>
      <c r="W52" s="53" t="n">
        <f aca="false">IF($H52=0,0,IF($AP52="X",0,IF($AP52="S",$H52/$AO52*(MIN($AO52,MAX(0,INT((Lists!M$21-N($J52))/7)+1))-MIN($AO52,MAX(0,INT((Lists!M$22-N($J52))/7)+1))),IF($AP52="D",$H52*MAX(0,MIN(Lists!M$21,N($J52)+$AO52)-MAX(Lists!M$22,N($J52)))/$AO52,IF($AP52="M",$H52/$AO52*(IF(Lists!M$21&lt;$J52,0,MIN($AO52,(((YEAR(Lists!M$21)-YEAR($J52))*12+MONTH(Lists!M$21)-MONTH($J52))-(EDATE($J52,((YEAR(Lists!M$21)-YEAR($J52))*12+MONTH(Lists!M$21)-MONTH($J52)))&gt;Lists!M$21)+1)))-IF(Lists!M$22&lt;$J52,0,MIN($AO52,(((YEAR(Lists!M$22)-YEAR($J52))*12+MONTH(Lists!M$22)-MONTH($J52))-(EDATE($J52,((YEAR(Lists!M$22)-YEAR($J52))*12+MONTH(Lists!M$22)-MONTH($J52)))&gt;Lists!M$22)+1)))),IF($AP52="F",IF(N($K52)&lt;=0,0,MIN(MAX(0,$H52),N($K52)*IF(Lists!M$21&lt;$J52,0,(((YEAR(Lists!M$21)-YEAR($J52))*12+MONTH(Lists!M$21)-MONTH($J52))-(EDATE($J52,((YEAR(Lists!M$21)-YEAR($J52))*12+MONTH(Lists!M$21)-MONTH($J52)))&gt;Lists!M$21)+1)))-MIN(MAX(0,$H52),N($K52)*IF(Lists!M$22&lt;$J52,0,(((YEAR(Lists!M$22)-YEAR($J52))*12+MONTH(Lists!M$22)-MONTH($J52))-(EDATE($J52,((YEAR(Lists!M$22)-YEAR($J52))*12+MONTH(Lists!M$22)-MONTH($J52)))&gt;Lists!M$22)+1)))),N($C52)*IF($AE52-$AD52&lt;1,($AD52&gt;Lists!M$22)*($AD52&lt;=Lists!M$21),MAX(0,MIN(Lists!M$21,$AE52)-MAX(Lists!M$22,$AD52))/($AE52-$AD52))+N($D52)*IF($AG52-$AF52&lt;1,($AF52&gt;Lists!M$22)*($AF52&lt;=Lists!M$21),MAX(0,MIN(Lists!M$21,$AG52)-MAX(Lists!M$22,$AF52))/($AG52-$AF52))+N($E52)*IF($AI52-$AH52&lt;1,($AH52&gt;Lists!M$22)*($AH52&lt;=Lists!M$21),MAX(0,MIN(Lists!M$21,$AI52)-MAX(Lists!M$22,$AH52))/($AI52-$AH52))+N($F52)*IF($AK52-$AJ52&lt;1,($AJ52&gt;Lists!M$22)*($AJ52&lt;=Lists!M$21),MAX(0,MIN(Lists!M$21,$AK52)-MAX(Lists!M$22,$AJ52))/($AK52-$AJ52))+N($G52)*IF($AM52-$AL52&lt;1,($AL52&gt;Lists!M$22)*($AL52&lt;=Lists!M$21),MAX(0,MIN(Lists!M$21,$AM52)-MAX(Lists!M$22,$AL52))/($AM52-$AL52))))))))</f>
        <v>0</v>
      </c>
      <c r="X52" s="53" t="n">
        <f aca="false">IF($H52=0,0,IF($AP52="X",0,IF($AP52="S",$H52/$AO52*(MIN($AO52,MAX(0,INT((Lists!N$21-N($J52))/7)+1))-MIN($AO52,MAX(0,INT((Lists!N$22-N($J52))/7)+1))),IF($AP52="D",$H52*MAX(0,MIN(Lists!N$21,N($J52)+$AO52)-MAX(Lists!N$22,N($J52)))/$AO52,IF($AP52="M",$H52/$AO52*(IF(Lists!N$21&lt;$J52,0,MIN($AO52,(((YEAR(Lists!N$21)-YEAR($J52))*12+MONTH(Lists!N$21)-MONTH($J52))-(EDATE($J52,((YEAR(Lists!N$21)-YEAR($J52))*12+MONTH(Lists!N$21)-MONTH($J52)))&gt;Lists!N$21)+1)))-IF(Lists!N$22&lt;$J52,0,MIN($AO52,(((YEAR(Lists!N$22)-YEAR($J52))*12+MONTH(Lists!N$22)-MONTH($J52))-(EDATE($J52,((YEAR(Lists!N$22)-YEAR($J52))*12+MONTH(Lists!N$22)-MONTH($J52)))&gt;Lists!N$22)+1)))),IF($AP52="F",IF(N($K52)&lt;=0,0,MIN(MAX(0,$H52),N($K52)*IF(Lists!N$21&lt;$J52,0,(((YEAR(Lists!N$21)-YEAR($J52))*12+MONTH(Lists!N$21)-MONTH($J52))-(EDATE($J52,((YEAR(Lists!N$21)-YEAR($J52))*12+MONTH(Lists!N$21)-MONTH($J52)))&gt;Lists!N$21)+1)))-MIN(MAX(0,$H52),N($K52)*IF(Lists!N$22&lt;$J52,0,(((YEAR(Lists!N$22)-YEAR($J52))*12+MONTH(Lists!N$22)-MONTH($J52))-(EDATE($J52,((YEAR(Lists!N$22)-YEAR($J52))*12+MONTH(Lists!N$22)-MONTH($J52)))&gt;Lists!N$22)+1)))),N($C52)*IF($AE52-$AD52&lt;1,($AD52&gt;Lists!N$22)*($AD52&lt;=Lists!N$21),MAX(0,MIN(Lists!N$21,$AE52)-MAX(Lists!N$22,$AD52))/($AE52-$AD52))+N($D52)*IF($AG52-$AF52&lt;1,($AF52&gt;Lists!N$22)*($AF52&lt;=Lists!N$21),MAX(0,MIN(Lists!N$21,$AG52)-MAX(Lists!N$22,$AF52))/($AG52-$AF52))+N($E52)*IF($AI52-$AH52&lt;1,($AH52&gt;Lists!N$22)*($AH52&lt;=Lists!N$21),MAX(0,MIN(Lists!N$21,$AI52)-MAX(Lists!N$22,$AH52))/($AI52-$AH52))+N($F52)*IF($AK52-$AJ52&lt;1,($AJ52&gt;Lists!N$22)*($AJ52&lt;=Lists!N$21),MAX(0,MIN(Lists!N$21,$AK52)-MAX(Lists!N$22,$AJ52))/($AK52-$AJ52))+N($G52)*IF($AM52-$AL52&lt;1,($AL52&gt;Lists!N$22)*($AL52&lt;=Lists!N$21),MAX(0,MIN(Lists!N$21,$AM52)-MAX(Lists!N$22,$AL52))/($AM52-$AL52))))))))</f>
        <v>0</v>
      </c>
      <c r="Y52" s="53" t="n">
        <f aca="false">IF($H52=0,0,IF($AP52="X",0,IF($AP52="S",$H52/$AO52*(MIN($AO52,MAX(0,INT((Lists!O$21-N($J52))/7)+1))-MIN($AO52,MAX(0,INT((Lists!O$22-N($J52))/7)+1))),IF($AP52="D",$H52*MAX(0,MIN(Lists!O$21,N($J52)+$AO52)-MAX(Lists!O$22,N($J52)))/$AO52,IF($AP52="M",$H52/$AO52*(IF(Lists!O$21&lt;$J52,0,MIN($AO52,(((YEAR(Lists!O$21)-YEAR($J52))*12+MONTH(Lists!O$21)-MONTH($J52))-(EDATE($J52,((YEAR(Lists!O$21)-YEAR($J52))*12+MONTH(Lists!O$21)-MONTH($J52)))&gt;Lists!O$21)+1)))-IF(Lists!O$22&lt;$J52,0,MIN($AO52,(((YEAR(Lists!O$22)-YEAR($J52))*12+MONTH(Lists!O$22)-MONTH($J52))-(EDATE($J52,((YEAR(Lists!O$22)-YEAR($J52))*12+MONTH(Lists!O$22)-MONTH($J52)))&gt;Lists!O$22)+1)))),IF($AP52="F",IF(N($K52)&lt;=0,0,MIN(MAX(0,$H52),N($K52)*IF(Lists!O$21&lt;$J52,0,(((YEAR(Lists!O$21)-YEAR($J52))*12+MONTH(Lists!O$21)-MONTH($J52))-(EDATE($J52,((YEAR(Lists!O$21)-YEAR($J52))*12+MONTH(Lists!O$21)-MONTH($J52)))&gt;Lists!O$21)+1)))-MIN(MAX(0,$H52),N($K52)*IF(Lists!O$22&lt;$J52,0,(((YEAR(Lists!O$22)-YEAR($J52))*12+MONTH(Lists!O$22)-MONTH($J52))-(EDATE($J52,((YEAR(Lists!O$22)-YEAR($J52))*12+MONTH(Lists!O$22)-MONTH($J52)))&gt;Lists!O$22)+1)))),N($C52)*IF($AE52-$AD52&lt;1,($AD52&gt;Lists!O$22)*($AD52&lt;=Lists!O$21),MAX(0,MIN(Lists!O$21,$AE52)-MAX(Lists!O$22,$AD52))/($AE52-$AD52))+N($D52)*IF($AG52-$AF52&lt;1,($AF52&gt;Lists!O$22)*($AF52&lt;=Lists!O$21),MAX(0,MIN(Lists!O$21,$AG52)-MAX(Lists!O$22,$AF52))/($AG52-$AF52))+N($E52)*IF($AI52-$AH52&lt;1,($AH52&gt;Lists!O$22)*($AH52&lt;=Lists!O$21),MAX(0,MIN(Lists!O$21,$AI52)-MAX(Lists!O$22,$AH52))/($AI52-$AH52))+N($F52)*IF($AK52-$AJ52&lt;1,($AJ52&gt;Lists!O$22)*($AJ52&lt;=Lists!O$21),MAX(0,MIN(Lists!O$21,$AK52)-MAX(Lists!O$22,$AJ52))/($AK52-$AJ52))+N($G52)*IF($AM52-$AL52&lt;1,($AL52&gt;Lists!O$22)*($AL52&lt;=Lists!O$21),MAX(0,MIN(Lists!O$21,$AM52)-MAX(Lists!O$22,$AL52))/($AM52-$AL52))))))))</f>
        <v>0</v>
      </c>
      <c r="Z52" s="46" t="n">
        <f aca="false">SUM(M52:Y52)</f>
        <v>0</v>
      </c>
      <c r="AA52" s="92" t="n">
        <f aca="false">H52-Z52</f>
        <v>0</v>
      </c>
      <c r="AB52" s="55"/>
      <c r="AC52" s="2"/>
      <c r="AD52" s="93" t="n">
        <f aca="false">Setup!$D$10+MAX(0,$AN52-30)</f>
        <v>46365</v>
      </c>
      <c r="AE52" s="93" t="n">
        <f aca="false">Setup!$D$10+IF($AN52-30&lt;0,MAX(Setup!$D$22,$AN52-0),$AN52-0)</f>
        <v>46395</v>
      </c>
      <c r="AF52" s="93" t="n">
        <f aca="false">Setup!$D$10+MAX(0,$AN52-60)</f>
        <v>46335</v>
      </c>
      <c r="AG52" s="93" t="n">
        <f aca="false">Setup!$D$10+IF($AN52-60&lt;0,MAX(Setup!$D$22,$AN52-31),$AN52-31)</f>
        <v>46364</v>
      </c>
      <c r="AH52" s="93" t="n">
        <f aca="false">Setup!$D$10+MAX(0,$AN52-90)</f>
        <v>46335</v>
      </c>
      <c r="AI52" s="93" t="n">
        <f aca="false">Setup!$D$10+IF($AN52-90&lt;0,MAX(Setup!$D$22,$AN52-61),$AN52-61)</f>
        <v>46363</v>
      </c>
      <c r="AJ52" s="93" t="n">
        <f aca="false">Setup!$D$10+MAX(0,$AN52-120)</f>
        <v>46335</v>
      </c>
      <c r="AK52" s="93" t="n">
        <f aca="false">Setup!$D$10+IF($AN52-120&lt;0,MAX(Setup!$D$22,$AN52-91),$AN52-91)</f>
        <v>46363</v>
      </c>
      <c r="AL52" s="93" t="n">
        <f aca="false">IF(Setup!$D$23="Yes",2958465,Setup!$D$10)</f>
        <v>2958465</v>
      </c>
      <c r="AM52" s="93" t="n">
        <f aca="false">IF(AL52=2958465,AL52,Setup!$D$10+Setup!$D$22)</f>
        <v>2958465</v>
      </c>
      <c r="AN52" s="94" t="n">
        <f aca="false">IF(N(L52)=0,Setup!$D$20,L52)</f>
        <v>60</v>
      </c>
      <c r="AO52" s="94" t="n">
        <f aca="false">MAX(1,ROUND(N(K52),0))</f>
        <v>1</v>
      </c>
      <c r="AP52" s="95" t="str">
        <f aca="false">IF(I52="Doubtful","X",IF(N(J52)=0,"A",IF(I52="Specific date","S",IF(I52="Spread over days","D",IF(I52="Monthly on set day","M",IF(I52="Monthly fixed amount","F","A"))))))</f>
        <v>A</v>
      </c>
    </row>
    <row r="53" customFormat="false" ht="15" hidden="false" customHeight="false" outlineLevel="0" collapsed="false">
      <c r="A53" s="87" t="n">
        <v>45</v>
      </c>
      <c r="B53" s="55"/>
      <c r="C53" s="88"/>
      <c r="D53" s="88"/>
      <c r="E53" s="88"/>
      <c r="F53" s="88"/>
      <c r="G53" s="88"/>
      <c r="H53" s="89" t="n">
        <f aca="false">SUM(C53:G53)</f>
        <v>0</v>
      </c>
      <c r="I53" s="58"/>
      <c r="J53" s="90"/>
      <c r="K53" s="91"/>
      <c r="L53" s="80"/>
      <c r="M53" s="53" t="n">
        <f aca="false">IF($H53=0,0,IF($AP53="X",0,IF($AP53="S",$H53/$AO53*(MIN($AO53,MAX(0,INT((Lists!C$21-N($J53))/7)+1))-MIN($AO53,MAX(0,INT((Lists!C$22-N($J53))/7)+1))),IF($AP53="D",$H53*MAX(0,MIN(Lists!C$21,N($J53)+$AO53)-MAX(Lists!C$22,N($J53)))/$AO53,IF($AP53="M",$H53/$AO53*(IF(Lists!C$21&lt;$J53,0,MIN($AO53,(((YEAR(Lists!C$21)-YEAR($J53))*12+MONTH(Lists!C$21)-MONTH($J53))-(EDATE($J53,((YEAR(Lists!C$21)-YEAR($J53))*12+MONTH(Lists!C$21)-MONTH($J53)))&gt;Lists!C$21)+1)))-IF(Lists!C$22&lt;$J53,0,MIN($AO53,(((YEAR(Lists!C$22)-YEAR($J53))*12+MONTH(Lists!C$22)-MONTH($J53))-(EDATE($J53,((YEAR(Lists!C$22)-YEAR($J53))*12+MONTH(Lists!C$22)-MONTH($J53)))&gt;Lists!C$22)+1)))),IF($AP53="F",IF(N($K53)&lt;=0,0,MIN(MAX(0,$H53),N($K53)*IF(Lists!C$21&lt;$J53,0,(((YEAR(Lists!C$21)-YEAR($J53))*12+MONTH(Lists!C$21)-MONTH($J53))-(EDATE($J53,((YEAR(Lists!C$21)-YEAR($J53))*12+MONTH(Lists!C$21)-MONTH($J53)))&gt;Lists!C$21)+1)))-MIN(MAX(0,$H53),N($K53)*IF(Lists!C$22&lt;$J53,0,(((YEAR(Lists!C$22)-YEAR($J53))*12+MONTH(Lists!C$22)-MONTH($J53))-(EDATE($J53,((YEAR(Lists!C$22)-YEAR($J53))*12+MONTH(Lists!C$22)-MONTH($J53)))&gt;Lists!C$22)+1)))),N($C53)*IF($AE53-$AD53&lt;1,($AD53&gt;Lists!C$22)*($AD53&lt;=Lists!C$21),MAX(0,MIN(Lists!C$21,$AE53)-MAX(Lists!C$22,$AD53))/($AE53-$AD53))+N($D53)*IF($AG53-$AF53&lt;1,($AF53&gt;Lists!C$22)*($AF53&lt;=Lists!C$21),MAX(0,MIN(Lists!C$21,$AG53)-MAX(Lists!C$22,$AF53))/($AG53-$AF53))+N($E53)*IF($AI53-$AH53&lt;1,($AH53&gt;Lists!C$22)*($AH53&lt;=Lists!C$21),MAX(0,MIN(Lists!C$21,$AI53)-MAX(Lists!C$22,$AH53))/($AI53-$AH53))+N($F53)*IF($AK53-$AJ53&lt;1,($AJ53&gt;Lists!C$22)*($AJ53&lt;=Lists!C$21),MAX(0,MIN(Lists!C$21,$AK53)-MAX(Lists!C$22,$AJ53))/($AK53-$AJ53))+N($G53)*IF($AM53-$AL53&lt;1,($AL53&gt;Lists!C$22)*($AL53&lt;=Lists!C$21),MAX(0,MIN(Lists!C$21,$AM53)-MAX(Lists!C$22,$AL53))/($AM53-$AL53))))))))</f>
        <v>0</v>
      </c>
      <c r="N53" s="53" t="n">
        <f aca="false">IF($H53=0,0,IF($AP53="X",0,IF($AP53="S",$H53/$AO53*(MIN($AO53,MAX(0,INT((Lists!D$21-N($J53))/7)+1))-MIN($AO53,MAX(0,INT((Lists!D$22-N($J53))/7)+1))),IF($AP53="D",$H53*MAX(0,MIN(Lists!D$21,N($J53)+$AO53)-MAX(Lists!D$22,N($J53)))/$AO53,IF($AP53="M",$H53/$AO53*(IF(Lists!D$21&lt;$J53,0,MIN($AO53,(((YEAR(Lists!D$21)-YEAR($J53))*12+MONTH(Lists!D$21)-MONTH($J53))-(EDATE($J53,((YEAR(Lists!D$21)-YEAR($J53))*12+MONTH(Lists!D$21)-MONTH($J53)))&gt;Lists!D$21)+1)))-IF(Lists!D$22&lt;$J53,0,MIN($AO53,(((YEAR(Lists!D$22)-YEAR($J53))*12+MONTH(Lists!D$22)-MONTH($J53))-(EDATE($J53,((YEAR(Lists!D$22)-YEAR($J53))*12+MONTH(Lists!D$22)-MONTH($J53)))&gt;Lists!D$22)+1)))),IF($AP53="F",IF(N($K53)&lt;=0,0,MIN(MAX(0,$H53),N($K53)*IF(Lists!D$21&lt;$J53,0,(((YEAR(Lists!D$21)-YEAR($J53))*12+MONTH(Lists!D$21)-MONTH($J53))-(EDATE($J53,((YEAR(Lists!D$21)-YEAR($J53))*12+MONTH(Lists!D$21)-MONTH($J53)))&gt;Lists!D$21)+1)))-MIN(MAX(0,$H53),N($K53)*IF(Lists!D$22&lt;$J53,0,(((YEAR(Lists!D$22)-YEAR($J53))*12+MONTH(Lists!D$22)-MONTH($J53))-(EDATE($J53,((YEAR(Lists!D$22)-YEAR($J53))*12+MONTH(Lists!D$22)-MONTH($J53)))&gt;Lists!D$22)+1)))),N($C53)*IF($AE53-$AD53&lt;1,($AD53&gt;Lists!D$22)*($AD53&lt;=Lists!D$21),MAX(0,MIN(Lists!D$21,$AE53)-MAX(Lists!D$22,$AD53))/($AE53-$AD53))+N($D53)*IF($AG53-$AF53&lt;1,($AF53&gt;Lists!D$22)*($AF53&lt;=Lists!D$21),MAX(0,MIN(Lists!D$21,$AG53)-MAX(Lists!D$22,$AF53))/($AG53-$AF53))+N($E53)*IF($AI53-$AH53&lt;1,($AH53&gt;Lists!D$22)*($AH53&lt;=Lists!D$21),MAX(0,MIN(Lists!D$21,$AI53)-MAX(Lists!D$22,$AH53))/($AI53-$AH53))+N($F53)*IF($AK53-$AJ53&lt;1,($AJ53&gt;Lists!D$22)*($AJ53&lt;=Lists!D$21),MAX(0,MIN(Lists!D$21,$AK53)-MAX(Lists!D$22,$AJ53))/($AK53-$AJ53))+N($G53)*IF($AM53-$AL53&lt;1,($AL53&gt;Lists!D$22)*($AL53&lt;=Lists!D$21),MAX(0,MIN(Lists!D$21,$AM53)-MAX(Lists!D$22,$AL53))/($AM53-$AL53))))))))</f>
        <v>0</v>
      </c>
      <c r="O53" s="53" t="n">
        <f aca="false">IF($H53=0,0,IF($AP53="X",0,IF($AP53="S",$H53/$AO53*(MIN($AO53,MAX(0,INT((Lists!E$21-N($J53))/7)+1))-MIN($AO53,MAX(0,INT((Lists!E$22-N($J53))/7)+1))),IF($AP53="D",$H53*MAX(0,MIN(Lists!E$21,N($J53)+$AO53)-MAX(Lists!E$22,N($J53)))/$AO53,IF($AP53="M",$H53/$AO53*(IF(Lists!E$21&lt;$J53,0,MIN($AO53,(((YEAR(Lists!E$21)-YEAR($J53))*12+MONTH(Lists!E$21)-MONTH($J53))-(EDATE($J53,((YEAR(Lists!E$21)-YEAR($J53))*12+MONTH(Lists!E$21)-MONTH($J53)))&gt;Lists!E$21)+1)))-IF(Lists!E$22&lt;$J53,0,MIN($AO53,(((YEAR(Lists!E$22)-YEAR($J53))*12+MONTH(Lists!E$22)-MONTH($J53))-(EDATE($J53,((YEAR(Lists!E$22)-YEAR($J53))*12+MONTH(Lists!E$22)-MONTH($J53)))&gt;Lists!E$22)+1)))),IF($AP53="F",IF(N($K53)&lt;=0,0,MIN(MAX(0,$H53),N($K53)*IF(Lists!E$21&lt;$J53,0,(((YEAR(Lists!E$21)-YEAR($J53))*12+MONTH(Lists!E$21)-MONTH($J53))-(EDATE($J53,((YEAR(Lists!E$21)-YEAR($J53))*12+MONTH(Lists!E$21)-MONTH($J53)))&gt;Lists!E$21)+1)))-MIN(MAX(0,$H53),N($K53)*IF(Lists!E$22&lt;$J53,0,(((YEAR(Lists!E$22)-YEAR($J53))*12+MONTH(Lists!E$22)-MONTH($J53))-(EDATE($J53,((YEAR(Lists!E$22)-YEAR($J53))*12+MONTH(Lists!E$22)-MONTH($J53)))&gt;Lists!E$22)+1)))),N($C53)*IF($AE53-$AD53&lt;1,($AD53&gt;Lists!E$22)*($AD53&lt;=Lists!E$21),MAX(0,MIN(Lists!E$21,$AE53)-MAX(Lists!E$22,$AD53))/($AE53-$AD53))+N($D53)*IF($AG53-$AF53&lt;1,($AF53&gt;Lists!E$22)*($AF53&lt;=Lists!E$21),MAX(0,MIN(Lists!E$21,$AG53)-MAX(Lists!E$22,$AF53))/($AG53-$AF53))+N($E53)*IF($AI53-$AH53&lt;1,($AH53&gt;Lists!E$22)*($AH53&lt;=Lists!E$21),MAX(0,MIN(Lists!E$21,$AI53)-MAX(Lists!E$22,$AH53))/($AI53-$AH53))+N($F53)*IF($AK53-$AJ53&lt;1,($AJ53&gt;Lists!E$22)*($AJ53&lt;=Lists!E$21),MAX(0,MIN(Lists!E$21,$AK53)-MAX(Lists!E$22,$AJ53))/($AK53-$AJ53))+N($G53)*IF($AM53-$AL53&lt;1,($AL53&gt;Lists!E$22)*($AL53&lt;=Lists!E$21),MAX(0,MIN(Lists!E$21,$AM53)-MAX(Lists!E$22,$AL53))/($AM53-$AL53))))))))</f>
        <v>0</v>
      </c>
      <c r="P53" s="53" t="n">
        <f aca="false">IF($H53=0,0,IF($AP53="X",0,IF($AP53="S",$H53/$AO53*(MIN($AO53,MAX(0,INT((Lists!F$21-N($J53))/7)+1))-MIN($AO53,MAX(0,INT((Lists!F$22-N($J53))/7)+1))),IF($AP53="D",$H53*MAX(0,MIN(Lists!F$21,N($J53)+$AO53)-MAX(Lists!F$22,N($J53)))/$AO53,IF($AP53="M",$H53/$AO53*(IF(Lists!F$21&lt;$J53,0,MIN($AO53,(((YEAR(Lists!F$21)-YEAR($J53))*12+MONTH(Lists!F$21)-MONTH($J53))-(EDATE($J53,((YEAR(Lists!F$21)-YEAR($J53))*12+MONTH(Lists!F$21)-MONTH($J53)))&gt;Lists!F$21)+1)))-IF(Lists!F$22&lt;$J53,0,MIN($AO53,(((YEAR(Lists!F$22)-YEAR($J53))*12+MONTH(Lists!F$22)-MONTH($J53))-(EDATE($J53,((YEAR(Lists!F$22)-YEAR($J53))*12+MONTH(Lists!F$22)-MONTH($J53)))&gt;Lists!F$22)+1)))),IF($AP53="F",IF(N($K53)&lt;=0,0,MIN(MAX(0,$H53),N($K53)*IF(Lists!F$21&lt;$J53,0,(((YEAR(Lists!F$21)-YEAR($J53))*12+MONTH(Lists!F$21)-MONTH($J53))-(EDATE($J53,((YEAR(Lists!F$21)-YEAR($J53))*12+MONTH(Lists!F$21)-MONTH($J53)))&gt;Lists!F$21)+1)))-MIN(MAX(0,$H53),N($K53)*IF(Lists!F$22&lt;$J53,0,(((YEAR(Lists!F$22)-YEAR($J53))*12+MONTH(Lists!F$22)-MONTH($J53))-(EDATE($J53,((YEAR(Lists!F$22)-YEAR($J53))*12+MONTH(Lists!F$22)-MONTH($J53)))&gt;Lists!F$22)+1)))),N($C53)*IF($AE53-$AD53&lt;1,($AD53&gt;Lists!F$22)*($AD53&lt;=Lists!F$21),MAX(0,MIN(Lists!F$21,$AE53)-MAX(Lists!F$22,$AD53))/($AE53-$AD53))+N($D53)*IF($AG53-$AF53&lt;1,($AF53&gt;Lists!F$22)*($AF53&lt;=Lists!F$21),MAX(0,MIN(Lists!F$21,$AG53)-MAX(Lists!F$22,$AF53))/($AG53-$AF53))+N($E53)*IF($AI53-$AH53&lt;1,($AH53&gt;Lists!F$22)*($AH53&lt;=Lists!F$21),MAX(0,MIN(Lists!F$21,$AI53)-MAX(Lists!F$22,$AH53))/($AI53-$AH53))+N($F53)*IF($AK53-$AJ53&lt;1,($AJ53&gt;Lists!F$22)*($AJ53&lt;=Lists!F$21),MAX(0,MIN(Lists!F$21,$AK53)-MAX(Lists!F$22,$AJ53))/($AK53-$AJ53))+N($G53)*IF($AM53-$AL53&lt;1,($AL53&gt;Lists!F$22)*($AL53&lt;=Lists!F$21),MAX(0,MIN(Lists!F$21,$AM53)-MAX(Lists!F$22,$AL53))/($AM53-$AL53))))))))</f>
        <v>0</v>
      </c>
      <c r="Q53" s="53" t="n">
        <f aca="false">IF($H53=0,0,IF($AP53="X",0,IF($AP53="S",$H53/$AO53*(MIN($AO53,MAX(0,INT((Lists!G$21-N($J53))/7)+1))-MIN($AO53,MAX(0,INT((Lists!G$22-N($J53))/7)+1))),IF($AP53="D",$H53*MAX(0,MIN(Lists!G$21,N($J53)+$AO53)-MAX(Lists!G$22,N($J53)))/$AO53,IF($AP53="M",$H53/$AO53*(IF(Lists!G$21&lt;$J53,0,MIN($AO53,(((YEAR(Lists!G$21)-YEAR($J53))*12+MONTH(Lists!G$21)-MONTH($J53))-(EDATE($J53,((YEAR(Lists!G$21)-YEAR($J53))*12+MONTH(Lists!G$21)-MONTH($J53)))&gt;Lists!G$21)+1)))-IF(Lists!G$22&lt;$J53,0,MIN($AO53,(((YEAR(Lists!G$22)-YEAR($J53))*12+MONTH(Lists!G$22)-MONTH($J53))-(EDATE($J53,((YEAR(Lists!G$22)-YEAR($J53))*12+MONTH(Lists!G$22)-MONTH($J53)))&gt;Lists!G$22)+1)))),IF($AP53="F",IF(N($K53)&lt;=0,0,MIN(MAX(0,$H53),N($K53)*IF(Lists!G$21&lt;$J53,0,(((YEAR(Lists!G$21)-YEAR($J53))*12+MONTH(Lists!G$21)-MONTH($J53))-(EDATE($J53,((YEAR(Lists!G$21)-YEAR($J53))*12+MONTH(Lists!G$21)-MONTH($J53)))&gt;Lists!G$21)+1)))-MIN(MAX(0,$H53),N($K53)*IF(Lists!G$22&lt;$J53,0,(((YEAR(Lists!G$22)-YEAR($J53))*12+MONTH(Lists!G$22)-MONTH($J53))-(EDATE($J53,((YEAR(Lists!G$22)-YEAR($J53))*12+MONTH(Lists!G$22)-MONTH($J53)))&gt;Lists!G$22)+1)))),N($C53)*IF($AE53-$AD53&lt;1,($AD53&gt;Lists!G$22)*($AD53&lt;=Lists!G$21),MAX(0,MIN(Lists!G$21,$AE53)-MAX(Lists!G$22,$AD53))/($AE53-$AD53))+N($D53)*IF($AG53-$AF53&lt;1,($AF53&gt;Lists!G$22)*($AF53&lt;=Lists!G$21),MAX(0,MIN(Lists!G$21,$AG53)-MAX(Lists!G$22,$AF53))/($AG53-$AF53))+N($E53)*IF($AI53-$AH53&lt;1,($AH53&gt;Lists!G$22)*($AH53&lt;=Lists!G$21),MAX(0,MIN(Lists!G$21,$AI53)-MAX(Lists!G$22,$AH53))/($AI53-$AH53))+N($F53)*IF($AK53-$AJ53&lt;1,($AJ53&gt;Lists!G$22)*($AJ53&lt;=Lists!G$21),MAX(0,MIN(Lists!G$21,$AK53)-MAX(Lists!G$22,$AJ53))/($AK53-$AJ53))+N($G53)*IF($AM53-$AL53&lt;1,($AL53&gt;Lists!G$22)*($AL53&lt;=Lists!G$21),MAX(0,MIN(Lists!G$21,$AM53)-MAX(Lists!G$22,$AL53))/($AM53-$AL53))))))))</f>
        <v>0</v>
      </c>
      <c r="R53" s="53" t="n">
        <f aca="false">IF($H53=0,0,IF($AP53="X",0,IF($AP53="S",$H53/$AO53*(MIN($AO53,MAX(0,INT((Lists!H$21-N($J53))/7)+1))-MIN($AO53,MAX(0,INT((Lists!H$22-N($J53))/7)+1))),IF($AP53="D",$H53*MAX(0,MIN(Lists!H$21,N($J53)+$AO53)-MAX(Lists!H$22,N($J53)))/$AO53,IF($AP53="M",$H53/$AO53*(IF(Lists!H$21&lt;$J53,0,MIN($AO53,(((YEAR(Lists!H$21)-YEAR($J53))*12+MONTH(Lists!H$21)-MONTH($J53))-(EDATE($J53,((YEAR(Lists!H$21)-YEAR($J53))*12+MONTH(Lists!H$21)-MONTH($J53)))&gt;Lists!H$21)+1)))-IF(Lists!H$22&lt;$J53,0,MIN($AO53,(((YEAR(Lists!H$22)-YEAR($J53))*12+MONTH(Lists!H$22)-MONTH($J53))-(EDATE($J53,((YEAR(Lists!H$22)-YEAR($J53))*12+MONTH(Lists!H$22)-MONTH($J53)))&gt;Lists!H$22)+1)))),IF($AP53="F",IF(N($K53)&lt;=0,0,MIN(MAX(0,$H53),N($K53)*IF(Lists!H$21&lt;$J53,0,(((YEAR(Lists!H$21)-YEAR($J53))*12+MONTH(Lists!H$21)-MONTH($J53))-(EDATE($J53,((YEAR(Lists!H$21)-YEAR($J53))*12+MONTH(Lists!H$21)-MONTH($J53)))&gt;Lists!H$21)+1)))-MIN(MAX(0,$H53),N($K53)*IF(Lists!H$22&lt;$J53,0,(((YEAR(Lists!H$22)-YEAR($J53))*12+MONTH(Lists!H$22)-MONTH($J53))-(EDATE($J53,((YEAR(Lists!H$22)-YEAR($J53))*12+MONTH(Lists!H$22)-MONTH($J53)))&gt;Lists!H$22)+1)))),N($C53)*IF($AE53-$AD53&lt;1,($AD53&gt;Lists!H$22)*($AD53&lt;=Lists!H$21),MAX(0,MIN(Lists!H$21,$AE53)-MAX(Lists!H$22,$AD53))/($AE53-$AD53))+N($D53)*IF($AG53-$AF53&lt;1,($AF53&gt;Lists!H$22)*($AF53&lt;=Lists!H$21),MAX(0,MIN(Lists!H$21,$AG53)-MAX(Lists!H$22,$AF53))/($AG53-$AF53))+N($E53)*IF($AI53-$AH53&lt;1,($AH53&gt;Lists!H$22)*($AH53&lt;=Lists!H$21),MAX(0,MIN(Lists!H$21,$AI53)-MAX(Lists!H$22,$AH53))/($AI53-$AH53))+N($F53)*IF($AK53-$AJ53&lt;1,($AJ53&gt;Lists!H$22)*($AJ53&lt;=Lists!H$21),MAX(0,MIN(Lists!H$21,$AK53)-MAX(Lists!H$22,$AJ53))/($AK53-$AJ53))+N($G53)*IF($AM53-$AL53&lt;1,($AL53&gt;Lists!H$22)*($AL53&lt;=Lists!H$21),MAX(0,MIN(Lists!H$21,$AM53)-MAX(Lists!H$22,$AL53))/($AM53-$AL53))))))))</f>
        <v>0</v>
      </c>
      <c r="S53" s="53" t="n">
        <f aca="false">IF($H53=0,0,IF($AP53="X",0,IF($AP53="S",$H53/$AO53*(MIN($AO53,MAX(0,INT((Lists!I$21-N($J53))/7)+1))-MIN($AO53,MAX(0,INT((Lists!I$22-N($J53))/7)+1))),IF($AP53="D",$H53*MAX(0,MIN(Lists!I$21,N($J53)+$AO53)-MAX(Lists!I$22,N($J53)))/$AO53,IF($AP53="M",$H53/$AO53*(IF(Lists!I$21&lt;$J53,0,MIN($AO53,(((YEAR(Lists!I$21)-YEAR($J53))*12+MONTH(Lists!I$21)-MONTH($J53))-(EDATE($J53,((YEAR(Lists!I$21)-YEAR($J53))*12+MONTH(Lists!I$21)-MONTH($J53)))&gt;Lists!I$21)+1)))-IF(Lists!I$22&lt;$J53,0,MIN($AO53,(((YEAR(Lists!I$22)-YEAR($J53))*12+MONTH(Lists!I$22)-MONTH($J53))-(EDATE($J53,((YEAR(Lists!I$22)-YEAR($J53))*12+MONTH(Lists!I$22)-MONTH($J53)))&gt;Lists!I$22)+1)))),IF($AP53="F",IF(N($K53)&lt;=0,0,MIN(MAX(0,$H53),N($K53)*IF(Lists!I$21&lt;$J53,0,(((YEAR(Lists!I$21)-YEAR($J53))*12+MONTH(Lists!I$21)-MONTH($J53))-(EDATE($J53,((YEAR(Lists!I$21)-YEAR($J53))*12+MONTH(Lists!I$21)-MONTH($J53)))&gt;Lists!I$21)+1)))-MIN(MAX(0,$H53),N($K53)*IF(Lists!I$22&lt;$J53,0,(((YEAR(Lists!I$22)-YEAR($J53))*12+MONTH(Lists!I$22)-MONTH($J53))-(EDATE($J53,((YEAR(Lists!I$22)-YEAR($J53))*12+MONTH(Lists!I$22)-MONTH($J53)))&gt;Lists!I$22)+1)))),N($C53)*IF($AE53-$AD53&lt;1,($AD53&gt;Lists!I$22)*($AD53&lt;=Lists!I$21),MAX(0,MIN(Lists!I$21,$AE53)-MAX(Lists!I$22,$AD53))/($AE53-$AD53))+N($D53)*IF($AG53-$AF53&lt;1,($AF53&gt;Lists!I$22)*($AF53&lt;=Lists!I$21),MAX(0,MIN(Lists!I$21,$AG53)-MAX(Lists!I$22,$AF53))/($AG53-$AF53))+N($E53)*IF($AI53-$AH53&lt;1,($AH53&gt;Lists!I$22)*($AH53&lt;=Lists!I$21),MAX(0,MIN(Lists!I$21,$AI53)-MAX(Lists!I$22,$AH53))/($AI53-$AH53))+N($F53)*IF($AK53-$AJ53&lt;1,($AJ53&gt;Lists!I$22)*($AJ53&lt;=Lists!I$21),MAX(0,MIN(Lists!I$21,$AK53)-MAX(Lists!I$22,$AJ53))/($AK53-$AJ53))+N($G53)*IF($AM53-$AL53&lt;1,($AL53&gt;Lists!I$22)*($AL53&lt;=Lists!I$21),MAX(0,MIN(Lists!I$21,$AM53)-MAX(Lists!I$22,$AL53))/($AM53-$AL53))))))))</f>
        <v>0</v>
      </c>
      <c r="T53" s="53" t="n">
        <f aca="false">IF($H53=0,0,IF($AP53="X",0,IF($AP53="S",$H53/$AO53*(MIN($AO53,MAX(0,INT((Lists!J$21-N($J53))/7)+1))-MIN($AO53,MAX(0,INT((Lists!J$22-N($J53))/7)+1))),IF($AP53="D",$H53*MAX(0,MIN(Lists!J$21,N($J53)+$AO53)-MAX(Lists!J$22,N($J53)))/$AO53,IF($AP53="M",$H53/$AO53*(IF(Lists!J$21&lt;$J53,0,MIN($AO53,(((YEAR(Lists!J$21)-YEAR($J53))*12+MONTH(Lists!J$21)-MONTH($J53))-(EDATE($J53,((YEAR(Lists!J$21)-YEAR($J53))*12+MONTH(Lists!J$21)-MONTH($J53)))&gt;Lists!J$21)+1)))-IF(Lists!J$22&lt;$J53,0,MIN($AO53,(((YEAR(Lists!J$22)-YEAR($J53))*12+MONTH(Lists!J$22)-MONTH($J53))-(EDATE($J53,((YEAR(Lists!J$22)-YEAR($J53))*12+MONTH(Lists!J$22)-MONTH($J53)))&gt;Lists!J$22)+1)))),IF($AP53="F",IF(N($K53)&lt;=0,0,MIN(MAX(0,$H53),N($K53)*IF(Lists!J$21&lt;$J53,0,(((YEAR(Lists!J$21)-YEAR($J53))*12+MONTH(Lists!J$21)-MONTH($J53))-(EDATE($J53,((YEAR(Lists!J$21)-YEAR($J53))*12+MONTH(Lists!J$21)-MONTH($J53)))&gt;Lists!J$21)+1)))-MIN(MAX(0,$H53),N($K53)*IF(Lists!J$22&lt;$J53,0,(((YEAR(Lists!J$22)-YEAR($J53))*12+MONTH(Lists!J$22)-MONTH($J53))-(EDATE($J53,((YEAR(Lists!J$22)-YEAR($J53))*12+MONTH(Lists!J$22)-MONTH($J53)))&gt;Lists!J$22)+1)))),N($C53)*IF($AE53-$AD53&lt;1,($AD53&gt;Lists!J$22)*($AD53&lt;=Lists!J$21),MAX(0,MIN(Lists!J$21,$AE53)-MAX(Lists!J$22,$AD53))/($AE53-$AD53))+N($D53)*IF($AG53-$AF53&lt;1,($AF53&gt;Lists!J$22)*($AF53&lt;=Lists!J$21),MAX(0,MIN(Lists!J$21,$AG53)-MAX(Lists!J$22,$AF53))/($AG53-$AF53))+N($E53)*IF($AI53-$AH53&lt;1,($AH53&gt;Lists!J$22)*($AH53&lt;=Lists!J$21),MAX(0,MIN(Lists!J$21,$AI53)-MAX(Lists!J$22,$AH53))/($AI53-$AH53))+N($F53)*IF($AK53-$AJ53&lt;1,($AJ53&gt;Lists!J$22)*($AJ53&lt;=Lists!J$21),MAX(0,MIN(Lists!J$21,$AK53)-MAX(Lists!J$22,$AJ53))/($AK53-$AJ53))+N($G53)*IF($AM53-$AL53&lt;1,($AL53&gt;Lists!J$22)*($AL53&lt;=Lists!J$21),MAX(0,MIN(Lists!J$21,$AM53)-MAX(Lists!J$22,$AL53))/($AM53-$AL53))))))))</f>
        <v>0</v>
      </c>
      <c r="U53" s="53" t="n">
        <f aca="false">IF($H53=0,0,IF($AP53="X",0,IF($AP53="S",$H53/$AO53*(MIN($AO53,MAX(0,INT((Lists!K$21-N($J53))/7)+1))-MIN($AO53,MAX(0,INT((Lists!K$22-N($J53))/7)+1))),IF($AP53="D",$H53*MAX(0,MIN(Lists!K$21,N($J53)+$AO53)-MAX(Lists!K$22,N($J53)))/$AO53,IF($AP53="M",$H53/$AO53*(IF(Lists!K$21&lt;$J53,0,MIN($AO53,(((YEAR(Lists!K$21)-YEAR($J53))*12+MONTH(Lists!K$21)-MONTH($J53))-(EDATE($J53,((YEAR(Lists!K$21)-YEAR($J53))*12+MONTH(Lists!K$21)-MONTH($J53)))&gt;Lists!K$21)+1)))-IF(Lists!K$22&lt;$J53,0,MIN($AO53,(((YEAR(Lists!K$22)-YEAR($J53))*12+MONTH(Lists!K$22)-MONTH($J53))-(EDATE($J53,((YEAR(Lists!K$22)-YEAR($J53))*12+MONTH(Lists!K$22)-MONTH($J53)))&gt;Lists!K$22)+1)))),IF($AP53="F",IF(N($K53)&lt;=0,0,MIN(MAX(0,$H53),N($K53)*IF(Lists!K$21&lt;$J53,0,(((YEAR(Lists!K$21)-YEAR($J53))*12+MONTH(Lists!K$21)-MONTH($J53))-(EDATE($J53,((YEAR(Lists!K$21)-YEAR($J53))*12+MONTH(Lists!K$21)-MONTH($J53)))&gt;Lists!K$21)+1)))-MIN(MAX(0,$H53),N($K53)*IF(Lists!K$22&lt;$J53,0,(((YEAR(Lists!K$22)-YEAR($J53))*12+MONTH(Lists!K$22)-MONTH($J53))-(EDATE($J53,((YEAR(Lists!K$22)-YEAR($J53))*12+MONTH(Lists!K$22)-MONTH($J53)))&gt;Lists!K$22)+1)))),N($C53)*IF($AE53-$AD53&lt;1,($AD53&gt;Lists!K$22)*($AD53&lt;=Lists!K$21),MAX(0,MIN(Lists!K$21,$AE53)-MAX(Lists!K$22,$AD53))/($AE53-$AD53))+N($D53)*IF($AG53-$AF53&lt;1,($AF53&gt;Lists!K$22)*($AF53&lt;=Lists!K$21),MAX(0,MIN(Lists!K$21,$AG53)-MAX(Lists!K$22,$AF53))/($AG53-$AF53))+N($E53)*IF($AI53-$AH53&lt;1,($AH53&gt;Lists!K$22)*($AH53&lt;=Lists!K$21),MAX(0,MIN(Lists!K$21,$AI53)-MAX(Lists!K$22,$AH53))/($AI53-$AH53))+N($F53)*IF($AK53-$AJ53&lt;1,($AJ53&gt;Lists!K$22)*($AJ53&lt;=Lists!K$21),MAX(0,MIN(Lists!K$21,$AK53)-MAX(Lists!K$22,$AJ53))/($AK53-$AJ53))+N($G53)*IF($AM53-$AL53&lt;1,($AL53&gt;Lists!K$22)*($AL53&lt;=Lists!K$21),MAX(0,MIN(Lists!K$21,$AM53)-MAX(Lists!K$22,$AL53))/($AM53-$AL53))))))))</f>
        <v>0</v>
      </c>
      <c r="V53" s="53" t="n">
        <f aca="false">IF($H53=0,0,IF($AP53="X",0,IF($AP53="S",$H53/$AO53*(MIN($AO53,MAX(0,INT((Lists!L$21-N($J53))/7)+1))-MIN($AO53,MAX(0,INT((Lists!L$22-N($J53))/7)+1))),IF($AP53="D",$H53*MAX(0,MIN(Lists!L$21,N($J53)+$AO53)-MAX(Lists!L$22,N($J53)))/$AO53,IF($AP53="M",$H53/$AO53*(IF(Lists!L$21&lt;$J53,0,MIN($AO53,(((YEAR(Lists!L$21)-YEAR($J53))*12+MONTH(Lists!L$21)-MONTH($J53))-(EDATE($J53,((YEAR(Lists!L$21)-YEAR($J53))*12+MONTH(Lists!L$21)-MONTH($J53)))&gt;Lists!L$21)+1)))-IF(Lists!L$22&lt;$J53,0,MIN($AO53,(((YEAR(Lists!L$22)-YEAR($J53))*12+MONTH(Lists!L$22)-MONTH($J53))-(EDATE($J53,((YEAR(Lists!L$22)-YEAR($J53))*12+MONTH(Lists!L$22)-MONTH($J53)))&gt;Lists!L$22)+1)))),IF($AP53="F",IF(N($K53)&lt;=0,0,MIN(MAX(0,$H53),N($K53)*IF(Lists!L$21&lt;$J53,0,(((YEAR(Lists!L$21)-YEAR($J53))*12+MONTH(Lists!L$21)-MONTH($J53))-(EDATE($J53,((YEAR(Lists!L$21)-YEAR($J53))*12+MONTH(Lists!L$21)-MONTH($J53)))&gt;Lists!L$21)+1)))-MIN(MAX(0,$H53),N($K53)*IF(Lists!L$22&lt;$J53,0,(((YEAR(Lists!L$22)-YEAR($J53))*12+MONTH(Lists!L$22)-MONTH($J53))-(EDATE($J53,((YEAR(Lists!L$22)-YEAR($J53))*12+MONTH(Lists!L$22)-MONTH($J53)))&gt;Lists!L$22)+1)))),N($C53)*IF($AE53-$AD53&lt;1,($AD53&gt;Lists!L$22)*($AD53&lt;=Lists!L$21),MAX(0,MIN(Lists!L$21,$AE53)-MAX(Lists!L$22,$AD53))/($AE53-$AD53))+N($D53)*IF($AG53-$AF53&lt;1,($AF53&gt;Lists!L$22)*($AF53&lt;=Lists!L$21),MAX(0,MIN(Lists!L$21,$AG53)-MAX(Lists!L$22,$AF53))/($AG53-$AF53))+N($E53)*IF($AI53-$AH53&lt;1,($AH53&gt;Lists!L$22)*($AH53&lt;=Lists!L$21),MAX(0,MIN(Lists!L$21,$AI53)-MAX(Lists!L$22,$AH53))/($AI53-$AH53))+N($F53)*IF($AK53-$AJ53&lt;1,($AJ53&gt;Lists!L$22)*($AJ53&lt;=Lists!L$21),MAX(0,MIN(Lists!L$21,$AK53)-MAX(Lists!L$22,$AJ53))/($AK53-$AJ53))+N($G53)*IF($AM53-$AL53&lt;1,($AL53&gt;Lists!L$22)*($AL53&lt;=Lists!L$21),MAX(0,MIN(Lists!L$21,$AM53)-MAX(Lists!L$22,$AL53))/($AM53-$AL53))))))))</f>
        <v>0</v>
      </c>
      <c r="W53" s="53" t="n">
        <f aca="false">IF($H53=0,0,IF($AP53="X",0,IF($AP53="S",$H53/$AO53*(MIN($AO53,MAX(0,INT((Lists!M$21-N($J53))/7)+1))-MIN($AO53,MAX(0,INT((Lists!M$22-N($J53))/7)+1))),IF($AP53="D",$H53*MAX(0,MIN(Lists!M$21,N($J53)+$AO53)-MAX(Lists!M$22,N($J53)))/$AO53,IF($AP53="M",$H53/$AO53*(IF(Lists!M$21&lt;$J53,0,MIN($AO53,(((YEAR(Lists!M$21)-YEAR($J53))*12+MONTH(Lists!M$21)-MONTH($J53))-(EDATE($J53,((YEAR(Lists!M$21)-YEAR($J53))*12+MONTH(Lists!M$21)-MONTH($J53)))&gt;Lists!M$21)+1)))-IF(Lists!M$22&lt;$J53,0,MIN($AO53,(((YEAR(Lists!M$22)-YEAR($J53))*12+MONTH(Lists!M$22)-MONTH($J53))-(EDATE($J53,((YEAR(Lists!M$22)-YEAR($J53))*12+MONTH(Lists!M$22)-MONTH($J53)))&gt;Lists!M$22)+1)))),IF($AP53="F",IF(N($K53)&lt;=0,0,MIN(MAX(0,$H53),N($K53)*IF(Lists!M$21&lt;$J53,0,(((YEAR(Lists!M$21)-YEAR($J53))*12+MONTH(Lists!M$21)-MONTH($J53))-(EDATE($J53,((YEAR(Lists!M$21)-YEAR($J53))*12+MONTH(Lists!M$21)-MONTH($J53)))&gt;Lists!M$21)+1)))-MIN(MAX(0,$H53),N($K53)*IF(Lists!M$22&lt;$J53,0,(((YEAR(Lists!M$22)-YEAR($J53))*12+MONTH(Lists!M$22)-MONTH($J53))-(EDATE($J53,((YEAR(Lists!M$22)-YEAR($J53))*12+MONTH(Lists!M$22)-MONTH($J53)))&gt;Lists!M$22)+1)))),N($C53)*IF($AE53-$AD53&lt;1,($AD53&gt;Lists!M$22)*($AD53&lt;=Lists!M$21),MAX(0,MIN(Lists!M$21,$AE53)-MAX(Lists!M$22,$AD53))/($AE53-$AD53))+N($D53)*IF($AG53-$AF53&lt;1,($AF53&gt;Lists!M$22)*($AF53&lt;=Lists!M$21),MAX(0,MIN(Lists!M$21,$AG53)-MAX(Lists!M$22,$AF53))/($AG53-$AF53))+N($E53)*IF($AI53-$AH53&lt;1,($AH53&gt;Lists!M$22)*($AH53&lt;=Lists!M$21),MAX(0,MIN(Lists!M$21,$AI53)-MAX(Lists!M$22,$AH53))/($AI53-$AH53))+N($F53)*IF($AK53-$AJ53&lt;1,($AJ53&gt;Lists!M$22)*($AJ53&lt;=Lists!M$21),MAX(0,MIN(Lists!M$21,$AK53)-MAX(Lists!M$22,$AJ53))/($AK53-$AJ53))+N($G53)*IF($AM53-$AL53&lt;1,($AL53&gt;Lists!M$22)*($AL53&lt;=Lists!M$21),MAX(0,MIN(Lists!M$21,$AM53)-MAX(Lists!M$22,$AL53))/($AM53-$AL53))))))))</f>
        <v>0</v>
      </c>
      <c r="X53" s="53" t="n">
        <f aca="false">IF($H53=0,0,IF($AP53="X",0,IF($AP53="S",$H53/$AO53*(MIN($AO53,MAX(0,INT((Lists!N$21-N($J53))/7)+1))-MIN($AO53,MAX(0,INT((Lists!N$22-N($J53))/7)+1))),IF($AP53="D",$H53*MAX(0,MIN(Lists!N$21,N($J53)+$AO53)-MAX(Lists!N$22,N($J53)))/$AO53,IF($AP53="M",$H53/$AO53*(IF(Lists!N$21&lt;$J53,0,MIN($AO53,(((YEAR(Lists!N$21)-YEAR($J53))*12+MONTH(Lists!N$21)-MONTH($J53))-(EDATE($J53,((YEAR(Lists!N$21)-YEAR($J53))*12+MONTH(Lists!N$21)-MONTH($J53)))&gt;Lists!N$21)+1)))-IF(Lists!N$22&lt;$J53,0,MIN($AO53,(((YEAR(Lists!N$22)-YEAR($J53))*12+MONTH(Lists!N$22)-MONTH($J53))-(EDATE($J53,((YEAR(Lists!N$22)-YEAR($J53))*12+MONTH(Lists!N$22)-MONTH($J53)))&gt;Lists!N$22)+1)))),IF($AP53="F",IF(N($K53)&lt;=0,0,MIN(MAX(0,$H53),N($K53)*IF(Lists!N$21&lt;$J53,0,(((YEAR(Lists!N$21)-YEAR($J53))*12+MONTH(Lists!N$21)-MONTH($J53))-(EDATE($J53,((YEAR(Lists!N$21)-YEAR($J53))*12+MONTH(Lists!N$21)-MONTH($J53)))&gt;Lists!N$21)+1)))-MIN(MAX(0,$H53),N($K53)*IF(Lists!N$22&lt;$J53,0,(((YEAR(Lists!N$22)-YEAR($J53))*12+MONTH(Lists!N$22)-MONTH($J53))-(EDATE($J53,((YEAR(Lists!N$22)-YEAR($J53))*12+MONTH(Lists!N$22)-MONTH($J53)))&gt;Lists!N$22)+1)))),N($C53)*IF($AE53-$AD53&lt;1,($AD53&gt;Lists!N$22)*($AD53&lt;=Lists!N$21),MAX(0,MIN(Lists!N$21,$AE53)-MAX(Lists!N$22,$AD53))/($AE53-$AD53))+N($D53)*IF($AG53-$AF53&lt;1,($AF53&gt;Lists!N$22)*($AF53&lt;=Lists!N$21),MAX(0,MIN(Lists!N$21,$AG53)-MAX(Lists!N$22,$AF53))/($AG53-$AF53))+N($E53)*IF($AI53-$AH53&lt;1,($AH53&gt;Lists!N$22)*($AH53&lt;=Lists!N$21),MAX(0,MIN(Lists!N$21,$AI53)-MAX(Lists!N$22,$AH53))/($AI53-$AH53))+N($F53)*IF($AK53-$AJ53&lt;1,($AJ53&gt;Lists!N$22)*($AJ53&lt;=Lists!N$21),MAX(0,MIN(Lists!N$21,$AK53)-MAX(Lists!N$22,$AJ53))/($AK53-$AJ53))+N($G53)*IF($AM53-$AL53&lt;1,($AL53&gt;Lists!N$22)*($AL53&lt;=Lists!N$21),MAX(0,MIN(Lists!N$21,$AM53)-MAX(Lists!N$22,$AL53))/($AM53-$AL53))))))))</f>
        <v>0</v>
      </c>
      <c r="Y53" s="53" t="n">
        <f aca="false">IF($H53=0,0,IF($AP53="X",0,IF($AP53="S",$H53/$AO53*(MIN($AO53,MAX(0,INT((Lists!O$21-N($J53))/7)+1))-MIN($AO53,MAX(0,INT((Lists!O$22-N($J53))/7)+1))),IF($AP53="D",$H53*MAX(0,MIN(Lists!O$21,N($J53)+$AO53)-MAX(Lists!O$22,N($J53)))/$AO53,IF($AP53="M",$H53/$AO53*(IF(Lists!O$21&lt;$J53,0,MIN($AO53,(((YEAR(Lists!O$21)-YEAR($J53))*12+MONTH(Lists!O$21)-MONTH($J53))-(EDATE($J53,((YEAR(Lists!O$21)-YEAR($J53))*12+MONTH(Lists!O$21)-MONTH($J53)))&gt;Lists!O$21)+1)))-IF(Lists!O$22&lt;$J53,0,MIN($AO53,(((YEAR(Lists!O$22)-YEAR($J53))*12+MONTH(Lists!O$22)-MONTH($J53))-(EDATE($J53,((YEAR(Lists!O$22)-YEAR($J53))*12+MONTH(Lists!O$22)-MONTH($J53)))&gt;Lists!O$22)+1)))),IF($AP53="F",IF(N($K53)&lt;=0,0,MIN(MAX(0,$H53),N($K53)*IF(Lists!O$21&lt;$J53,0,(((YEAR(Lists!O$21)-YEAR($J53))*12+MONTH(Lists!O$21)-MONTH($J53))-(EDATE($J53,((YEAR(Lists!O$21)-YEAR($J53))*12+MONTH(Lists!O$21)-MONTH($J53)))&gt;Lists!O$21)+1)))-MIN(MAX(0,$H53),N($K53)*IF(Lists!O$22&lt;$J53,0,(((YEAR(Lists!O$22)-YEAR($J53))*12+MONTH(Lists!O$22)-MONTH($J53))-(EDATE($J53,((YEAR(Lists!O$22)-YEAR($J53))*12+MONTH(Lists!O$22)-MONTH($J53)))&gt;Lists!O$22)+1)))),N($C53)*IF($AE53-$AD53&lt;1,($AD53&gt;Lists!O$22)*($AD53&lt;=Lists!O$21),MAX(0,MIN(Lists!O$21,$AE53)-MAX(Lists!O$22,$AD53))/($AE53-$AD53))+N($D53)*IF($AG53-$AF53&lt;1,($AF53&gt;Lists!O$22)*($AF53&lt;=Lists!O$21),MAX(0,MIN(Lists!O$21,$AG53)-MAX(Lists!O$22,$AF53))/($AG53-$AF53))+N($E53)*IF($AI53-$AH53&lt;1,($AH53&gt;Lists!O$22)*($AH53&lt;=Lists!O$21),MAX(0,MIN(Lists!O$21,$AI53)-MAX(Lists!O$22,$AH53))/($AI53-$AH53))+N($F53)*IF($AK53-$AJ53&lt;1,($AJ53&gt;Lists!O$22)*($AJ53&lt;=Lists!O$21),MAX(0,MIN(Lists!O$21,$AK53)-MAX(Lists!O$22,$AJ53))/($AK53-$AJ53))+N($G53)*IF($AM53-$AL53&lt;1,($AL53&gt;Lists!O$22)*($AL53&lt;=Lists!O$21),MAX(0,MIN(Lists!O$21,$AM53)-MAX(Lists!O$22,$AL53))/($AM53-$AL53))))))))</f>
        <v>0</v>
      </c>
      <c r="Z53" s="46" t="n">
        <f aca="false">SUM(M53:Y53)</f>
        <v>0</v>
      </c>
      <c r="AA53" s="92" t="n">
        <f aca="false">H53-Z53</f>
        <v>0</v>
      </c>
      <c r="AB53" s="55"/>
      <c r="AC53" s="2"/>
      <c r="AD53" s="93" t="n">
        <f aca="false">Setup!$D$10+MAX(0,$AN53-30)</f>
        <v>46365</v>
      </c>
      <c r="AE53" s="93" t="n">
        <f aca="false">Setup!$D$10+IF($AN53-30&lt;0,MAX(Setup!$D$22,$AN53-0),$AN53-0)</f>
        <v>46395</v>
      </c>
      <c r="AF53" s="93" t="n">
        <f aca="false">Setup!$D$10+MAX(0,$AN53-60)</f>
        <v>46335</v>
      </c>
      <c r="AG53" s="93" t="n">
        <f aca="false">Setup!$D$10+IF($AN53-60&lt;0,MAX(Setup!$D$22,$AN53-31),$AN53-31)</f>
        <v>46364</v>
      </c>
      <c r="AH53" s="93" t="n">
        <f aca="false">Setup!$D$10+MAX(0,$AN53-90)</f>
        <v>46335</v>
      </c>
      <c r="AI53" s="93" t="n">
        <f aca="false">Setup!$D$10+IF($AN53-90&lt;0,MAX(Setup!$D$22,$AN53-61),$AN53-61)</f>
        <v>46363</v>
      </c>
      <c r="AJ53" s="93" t="n">
        <f aca="false">Setup!$D$10+MAX(0,$AN53-120)</f>
        <v>46335</v>
      </c>
      <c r="AK53" s="93" t="n">
        <f aca="false">Setup!$D$10+IF($AN53-120&lt;0,MAX(Setup!$D$22,$AN53-91),$AN53-91)</f>
        <v>46363</v>
      </c>
      <c r="AL53" s="93" t="n">
        <f aca="false">IF(Setup!$D$23="Yes",2958465,Setup!$D$10)</f>
        <v>2958465</v>
      </c>
      <c r="AM53" s="93" t="n">
        <f aca="false">IF(AL53=2958465,AL53,Setup!$D$10+Setup!$D$22)</f>
        <v>2958465</v>
      </c>
      <c r="AN53" s="94" t="n">
        <f aca="false">IF(N(L53)=0,Setup!$D$20,L53)</f>
        <v>60</v>
      </c>
      <c r="AO53" s="94" t="n">
        <f aca="false">MAX(1,ROUND(N(K53),0))</f>
        <v>1</v>
      </c>
      <c r="AP53" s="95" t="str">
        <f aca="false">IF(I53="Doubtful","X",IF(N(J53)=0,"A",IF(I53="Specific date","S",IF(I53="Spread over days","D",IF(I53="Monthly on set day","M",IF(I53="Monthly fixed amount","F","A"))))))</f>
        <v>A</v>
      </c>
    </row>
    <row r="54" customFormat="false" ht="15" hidden="false" customHeight="false" outlineLevel="0" collapsed="false">
      <c r="A54" s="87" t="n">
        <v>46</v>
      </c>
      <c r="B54" s="55"/>
      <c r="C54" s="88"/>
      <c r="D54" s="88"/>
      <c r="E54" s="88"/>
      <c r="F54" s="88"/>
      <c r="G54" s="88"/>
      <c r="H54" s="89" t="n">
        <f aca="false">SUM(C54:G54)</f>
        <v>0</v>
      </c>
      <c r="I54" s="58"/>
      <c r="J54" s="90"/>
      <c r="K54" s="91"/>
      <c r="L54" s="80"/>
      <c r="M54" s="53" t="n">
        <f aca="false">IF($H54=0,0,IF($AP54="X",0,IF($AP54="S",$H54/$AO54*(MIN($AO54,MAX(0,INT((Lists!C$21-N($J54))/7)+1))-MIN($AO54,MAX(0,INT((Lists!C$22-N($J54))/7)+1))),IF($AP54="D",$H54*MAX(0,MIN(Lists!C$21,N($J54)+$AO54)-MAX(Lists!C$22,N($J54)))/$AO54,IF($AP54="M",$H54/$AO54*(IF(Lists!C$21&lt;$J54,0,MIN($AO54,(((YEAR(Lists!C$21)-YEAR($J54))*12+MONTH(Lists!C$21)-MONTH($J54))-(EDATE($J54,((YEAR(Lists!C$21)-YEAR($J54))*12+MONTH(Lists!C$21)-MONTH($J54)))&gt;Lists!C$21)+1)))-IF(Lists!C$22&lt;$J54,0,MIN($AO54,(((YEAR(Lists!C$22)-YEAR($J54))*12+MONTH(Lists!C$22)-MONTH($J54))-(EDATE($J54,((YEAR(Lists!C$22)-YEAR($J54))*12+MONTH(Lists!C$22)-MONTH($J54)))&gt;Lists!C$22)+1)))),IF($AP54="F",IF(N($K54)&lt;=0,0,MIN(MAX(0,$H54),N($K54)*IF(Lists!C$21&lt;$J54,0,(((YEAR(Lists!C$21)-YEAR($J54))*12+MONTH(Lists!C$21)-MONTH($J54))-(EDATE($J54,((YEAR(Lists!C$21)-YEAR($J54))*12+MONTH(Lists!C$21)-MONTH($J54)))&gt;Lists!C$21)+1)))-MIN(MAX(0,$H54),N($K54)*IF(Lists!C$22&lt;$J54,0,(((YEAR(Lists!C$22)-YEAR($J54))*12+MONTH(Lists!C$22)-MONTH($J54))-(EDATE($J54,((YEAR(Lists!C$22)-YEAR($J54))*12+MONTH(Lists!C$22)-MONTH($J54)))&gt;Lists!C$22)+1)))),N($C54)*IF($AE54-$AD54&lt;1,($AD54&gt;Lists!C$22)*($AD54&lt;=Lists!C$21),MAX(0,MIN(Lists!C$21,$AE54)-MAX(Lists!C$22,$AD54))/($AE54-$AD54))+N($D54)*IF($AG54-$AF54&lt;1,($AF54&gt;Lists!C$22)*($AF54&lt;=Lists!C$21),MAX(0,MIN(Lists!C$21,$AG54)-MAX(Lists!C$22,$AF54))/($AG54-$AF54))+N($E54)*IF($AI54-$AH54&lt;1,($AH54&gt;Lists!C$22)*($AH54&lt;=Lists!C$21),MAX(0,MIN(Lists!C$21,$AI54)-MAX(Lists!C$22,$AH54))/($AI54-$AH54))+N($F54)*IF($AK54-$AJ54&lt;1,($AJ54&gt;Lists!C$22)*($AJ54&lt;=Lists!C$21),MAX(0,MIN(Lists!C$21,$AK54)-MAX(Lists!C$22,$AJ54))/($AK54-$AJ54))+N($G54)*IF($AM54-$AL54&lt;1,($AL54&gt;Lists!C$22)*($AL54&lt;=Lists!C$21),MAX(0,MIN(Lists!C$21,$AM54)-MAX(Lists!C$22,$AL54))/($AM54-$AL54))))))))</f>
        <v>0</v>
      </c>
      <c r="N54" s="53" t="n">
        <f aca="false">IF($H54=0,0,IF($AP54="X",0,IF($AP54="S",$H54/$AO54*(MIN($AO54,MAX(0,INT((Lists!D$21-N($J54))/7)+1))-MIN($AO54,MAX(0,INT((Lists!D$22-N($J54))/7)+1))),IF($AP54="D",$H54*MAX(0,MIN(Lists!D$21,N($J54)+$AO54)-MAX(Lists!D$22,N($J54)))/$AO54,IF($AP54="M",$H54/$AO54*(IF(Lists!D$21&lt;$J54,0,MIN($AO54,(((YEAR(Lists!D$21)-YEAR($J54))*12+MONTH(Lists!D$21)-MONTH($J54))-(EDATE($J54,((YEAR(Lists!D$21)-YEAR($J54))*12+MONTH(Lists!D$21)-MONTH($J54)))&gt;Lists!D$21)+1)))-IF(Lists!D$22&lt;$J54,0,MIN($AO54,(((YEAR(Lists!D$22)-YEAR($J54))*12+MONTH(Lists!D$22)-MONTH($J54))-(EDATE($J54,((YEAR(Lists!D$22)-YEAR($J54))*12+MONTH(Lists!D$22)-MONTH($J54)))&gt;Lists!D$22)+1)))),IF($AP54="F",IF(N($K54)&lt;=0,0,MIN(MAX(0,$H54),N($K54)*IF(Lists!D$21&lt;$J54,0,(((YEAR(Lists!D$21)-YEAR($J54))*12+MONTH(Lists!D$21)-MONTH($J54))-(EDATE($J54,((YEAR(Lists!D$21)-YEAR($J54))*12+MONTH(Lists!D$21)-MONTH($J54)))&gt;Lists!D$21)+1)))-MIN(MAX(0,$H54),N($K54)*IF(Lists!D$22&lt;$J54,0,(((YEAR(Lists!D$22)-YEAR($J54))*12+MONTH(Lists!D$22)-MONTH($J54))-(EDATE($J54,((YEAR(Lists!D$22)-YEAR($J54))*12+MONTH(Lists!D$22)-MONTH($J54)))&gt;Lists!D$22)+1)))),N($C54)*IF($AE54-$AD54&lt;1,($AD54&gt;Lists!D$22)*($AD54&lt;=Lists!D$21),MAX(0,MIN(Lists!D$21,$AE54)-MAX(Lists!D$22,$AD54))/($AE54-$AD54))+N($D54)*IF($AG54-$AF54&lt;1,($AF54&gt;Lists!D$22)*($AF54&lt;=Lists!D$21),MAX(0,MIN(Lists!D$21,$AG54)-MAX(Lists!D$22,$AF54))/($AG54-$AF54))+N($E54)*IF($AI54-$AH54&lt;1,($AH54&gt;Lists!D$22)*($AH54&lt;=Lists!D$21),MAX(0,MIN(Lists!D$21,$AI54)-MAX(Lists!D$22,$AH54))/($AI54-$AH54))+N($F54)*IF($AK54-$AJ54&lt;1,($AJ54&gt;Lists!D$22)*($AJ54&lt;=Lists!D$21),MAX(0,MIN(Lists!D$21,$AK54)-MAX(Lists!D$22,$AJ54))/($AK54-$AJ54))+N($G54)*IF($AM54-$AL54&lt;1,($AL54&gt;Lists!D$22)*($AL54&lt;=Lists!D$21),MAX(0,MIN(Lists!D$21,$AM54)-MAX(Lists!D$22,$AL54))/($AM54-$AL54))))))))</f>
        <v>0</v>
      </c>
      <c r="O54" s="53" t="n">
        <f aca="false">IF($H54=0,0,IF($AP54="X",0,IF($AP54="S",$H54/$AO54*(MIN($AO54,MAX(0,INT((Lists!E$21-N($J54))/7)+1))-MIN($AO54,MAX(0,INT((Lists!E$22-N($J54))/7)+1))),IF($AP54="D",$H54*MAX(0,MIN(Lists!E$21,N($J54)+$AO54)-MAX(Lists!E$22,N($J54)))/$AO54,IF($AP54="M",$H54/$AO54*(IF(Lists!E$21&lt;$J54,0,MIN($AO54,(((YEAR(Lists!E$21)-YEAR($J54))*12+MONTH(Lists!E$21)-MONTH($J54))-(EDATE($J54,((YEAR(Lists!E$21)-YEAR($J54))*12+MONTH(Lists!E$21)-MONTH($J54)))&gt;Lists!E$21)+1)))-IF(Lists!E$22&lt;$J54,0,MIN($AO54,(((YEAR(Lists!E$22)-YEAR($J54))*12+MONTH(Lists!E$22)-MONTH($J54))-(EDATE($J54,((YEAR(Lists!E$22)-YEAR($J54))*12+MONTH(Lists!E$22)-MONTH($J54)))&gt;Lists!E$22)+1)))),IF($AP54="F",IF(N($K54)&lt;=0,0,MIN(MAX(0,$H54),N($K54)*IF(Lists!E$21&lt;$J54,0,(((YEAR(Lists!E$21)-YEAR($J54))*12+MONTH(Lists!E$21)-MONTH($J54))-(EDATE($J54,((YEAR(Lists!E$21)-YEAR($J54))*12+MONTH(Lists!E$21)-MONTH($J54)))&gt;Lists!E$21)+1)))-MIN(MAX(0,$H54),N($K54)*IF(Lists!E$22&lt;$J54,0,(((YEAR(Lists!E$22)-YEAR($J54))*12+MONTH(Lists!E$22)-MONTH($J54))-(EDATE($J54,((YEAR(Lists!E$22)-YEAR($J54))*12+MONTH(Lists!E$22)-MONTH($J54)))&gt;Lists!E$22)+1)))),N($C54)*IF($AE54-$AD54&lt;1,($AD54&gt;Lists!E$22)*($AD54&lt;=Lists!E$21),MAX(0,MIN(Lists!E$21,$AE54)-MAX(Lists!E$22,$AD54))/($AE54-$AD54))+N($D54)*IF($AG54-$AF54&lt;1,($AF54&gt;Lists!E$22)*($AF54&lt;=Lists!E$21),MAX(0,MIN(Lists!E$21,$AG54)-MAX(Lists!E$22,$AF54))/($AG54-$AF54))+N($E54)*IF($AI54-$AH54&lt;1,($AH54&gt;Lists!E$22)*($AH54&lt;=Lists!E$21),MAX(0,MIN(Lists!E$21,$AI54)-MAX(Lists!E$22,$AH54))/($AI54-$AH54))+N($F54)*IF($AK54-$AJ54&lt;1,($AJ54&gt;Lists!E$22)*($AJ54&lt;=Lists!E$21),MAX(0,MIN(Lists!E$21,$AK54)-MAX(Lists!E$22,$AJ54))/($AK54-$AJ54))+N($G54)*IF($AM54-$AL54&lt;1,($AL54&gt;Lists!E$22)*($AL54&lt;=Lists!E$21),MAX(0,MIN(Lists!E$21,$AM54)-MAX(Lists!E$22,$AL54))/($AM54-$AL54))))))))</f>
        <v>0</v>
      </c>
      <c r="P54" s="53" t="n">
        <f aca="false">IF($H54=0,0,IF($AP54="X",0,IF($AP54="S",$H54/$AO54*(MIN($AO54,MAX(0,INT((Lists!F$21-N($J54))/7)+1))-MIN($AO54,MAX(0,INT((Lists!F$22-N($J54))/7)+1))),IF($AP54="D",$H54*MAX(0,MIN(Lists!F$21,N($J54)+$AO54)-MAX(Lists!F$22,N($J54)))/$AO54,IF($AP54="M",$H54/$AO54*(IF(Lists!F$21&lt;$J54,0,MIN($AO54,(((YEAR(Lists!F$21)-YEAR($J54))*12+MONTH(Lists!F$21)-MONTH($J54))-(EDATE($J54,((YEAR(Lists!F$21)-YEAR($J54))*12+MONTH(Lists!F$21)-MONTH($J54)))&gt;Lists!F$21)+1)))-IF(Lists!F$22&lt;$J54,0,MIN($AO54,(((YEAR(Lists!F$22)-YEAR($J54))*12+MONTH(Lists!F$22)-MONTH($J54))-(EDATE($J54,((YEAR(Lists!F$22)-YEAR($J54))*12+MONTH(Lists!F$22)-MONTH($J54)))&gt;Lists!F$22)+1)))),IF($AP54="F",IF(N($K54)&lt;=0,0,MIN(MAX(0,$H54),N($K54)*IF(Lists!F$21&lt;$J54,0,(((YEAR(Lists!F$21)-YEAR($J54))*12+MONTH(Lists!F$21)-MONTH($J54))-(EDATE($J54,((YEAR(Lists!F$21)-YEAR($J54))*12+MONTH(Lists!F$21)-MONTH($J54)))&gt;Lists!F$21)+1)))-MIN(MAX(0,$H54),N($K54)*IF(Lists!F$22&lt;$J54,0,(((YEAR(Lists!F$22)-YEAR($J54))*12+MONTH(Lists!F$22)-MONTH($J54))-(EDATE($J54,((YEAR(Lists!F$22)-YEAR($J54))*12+MONTH(Lists!F$22)-MONTH($J54)))&gt;Lists!F$22)+1)))),N($C54)*IF($AE54-$AD54&lt;1,($AD54&gt;Lists!F$22)*($AD54&lt;=Lists!F$21),MAX(0,MIN(Lists!F$21,$AE54)-MAX(Lists!F$22,$AD54))/($AE54-$AD54))+N($D54)*IF($AG54-$AF54&lt;1,($AF54&gt;Lists!F$22)*($AF54&lt;=Lists!F$21),MAX(0,MIN(Lists!F$21,$AG54)-MAX(Lists!F$22,$AF54))/($AG54-$AF54))+N($E54)*IF($AI54-$AH54&lt;1,($AH54&gt;Lists!F$22)*($AH54&lt;=Lists!F$21),MAX(0,MIN(Lists!F$21,$AI54)-MAX(Lists!F$22,$AH54))/($AI54-$AH54))+N($F54)*IF($AK54-$AJ54&lt;1,($AJ54&gt;Lists!F$22)*($AJ54&lt;=Lists!F$21),MAX(0,MIN(Lists!F$21,$AK54)-MAX(Lists!F$22,$AJ54))/($AK54-$AJ54))+N($G54)*IF($AM54-$AL54&lt;1,($AL54&gt;Lists!F$22)*($AL54&lt;=Lists!F$21),MAX(0,MIN(Lists!F$21,$AM54)-MAX(Lists!F$22,$AL54))/($AM54-$AL54))))))))</f>
        <v>0</v>
      </c>
      <c r="Q54" s="53" t="n">
        <f aca="false">IF($H54=0,0,IF($AP54="X",0,IF($AP54="S",$H54/$AO54*(MIN($AO54,MAX(0,INT((Lists!G$21-N($J54))/7)+1))-MIN($AO54,MAX(0,INT((Lists!G$22-N($J54))/7)+1))),IF($AP54="D",$H54*MAX(0,MIN(Lists!G$21,N($J54)+$AO54)-MAX(Lists!G$22,N($J54)))/$AO54,IF($AP54="M",$H54/$AO54*(IF(Lists!G$21&lt;$J54,0,MIN($AO54,(((YEAR(Lists!G$21)-YEAR($J54))*12+MONTH(Lists!G$21)-MONTH($J54))-(EDATE($J54,((YEAR(Lists!G$21)-YEAR($J54))*12+MONTH(Lists!G$21)-MONTH($J54)))&gt;Lists!G$21)+1)))-IF(Lists!G$22&lt;$J54,0,MIN($AO54,(((YEAR(Lists!G$22)-YEAR($J54))*12+MONTH(Lists!G$22)-MONTH($J54))-(EDATE($J54,((YEAR(Lists!G$22)-YEAR($J54))*12+MONTH(Lists!G$22)-MONTH($J54)))&gt;Lists!G$22)+1)))),IF($AP54="F",IF(N($K54)&lt;=0,0,MIN(MAX(0,$H54),N($K54)*IF(Lists!G$21&lt;$J54,0,(((YEAR(Lists!G$21)-YEAR($J54))*12+MONTH(Lists!G$21)-MONTH($J54))-(EDATE($J54,((YEAR(Lists!G$21)-YEAR($J54))*12+MONTH(Lists!G$21)-MONTH($J54)))&gt;Lists!G$21)+1)))-MIN(MAX(0,$H54),N($K54)*IF(Lists!G$22&lt;$J54,0,(((YEAR(Lists!G$22)-YEAR($J54))*12+MONTH(Lists!G$22)-MONTH($J54))-(EDATE($J54,((YEAR(Lists!G$22)-YEAR($J54))*12+MONTH(Lists!G$22)-MONTH($J54)))&gt;Lists!G$22)+1)))),N($C54)*IF($AE54-$AD54&lt;1,($AD54&gt;Lists!G$22)*($AD54&lt;=Lists!G$21),MAX(0,MIN(Lists!G$21,$AE54)-MAX(Lists!G$22,$AD54))/($AE54-$AD54))+N($D54)*IF($AG54-$AF54&lt;1,($AF54&gt;Lists!G$22)*($AF54&lt;=Lists!G$21),MAX(0,MIN(Lists!G$21,$AG54)-MAX(Lists!G$22,$AF54))/($AG54-$AF54))+N($E54)*IF($AI54-$AH54&lt;1,($AH54&gt;Lists!G$22)*($AH54&lt;=Lists!G$21),MAX(0,MIN(Lists!G$21,$AI54)-MAX(Lists!G$22,$AH54))/($AI54-$AH54))+N($F54)*IF($AK54-$AJ54&lt;1,($AJ54&gt;Lists!G$22)*($AJ54&lt;=Lists!G$21),MAX(0,MIN(Lists!G$21,$AK54)-MAX(Lists!G$22,$AJ54))/($AK54-$AJ54))+N($G54)*IF($AM54-$AL54&lt;1,($AL54&gt;Lists!G$22)*($AL54&lt;=Lists!G$21),MAX(0,MIN(Lists!G$21,$AM54)-MAX(Lists!G$22,$AL54))/($AM54-$AL54))))))))</f>
        <v>0</v>
      </c>
      <c r="R54" s="53" t="n">
        <f aca="false">IF($H54=0,0,IF($AP54="X",0,IF($AP54="S",$H54/$AO54*(MIN($AO54,MAX(0,INT((Lists!H$21-N($J54))/7)+1))-MIN($AO54,MAX(0,INT((Lists!H$22-N($J54))/7)+1))),IF($AP54="D",$H54*MAX(0,MIN(Lists!H$21,N($J54)+$AO54)-MAX(Lists!H$22,N($J54)))/$AO54,IF($AP54="M",$H54/$AO54*(IF(Lists!H$21&lt;$J54,0,MIN($AO54,(((YEAR(Lists!H$21)-YEAR($J54))*12+MONTH(Lists!H$21)-MONTH($J54))-(EDATE($J54,((YEAR(Lists!H$21)-YEAR($J54))*12+MONTH(Lists!H$21)-MONTH($J54)))&gt;Lists!H$21)+1)))-IF(Lists!H$22&lt;$J54,0,MIN($AO54,(((YEAR(Lists!H$22)-YEAR($J54))*12+MONTH(Lists!H$22)-MONTH($J54))-(EDATE($J54,((YEAR(Lists!H$22)-YEAR($J54))*12+MONTH(Lists!H$22)-MONTH($J54)))&gt;Lists!H$22)+1)))),IF($AP54="F",IF(N($K54)&lt;=0,0,MIN(MAX(0,$H54),N($K54)*IF(Lists!H$21&lt;$J54,0,(((YEAR(Lists!H$21)-YEAR($J54))*12+MONTH(Lists!H$21)-MONTH($J54))-(EDATE($J54,((YEAR(Lists!H$21)-YEAR($J54))*12+MONTH(Lists!H$21)-MONTH($J54)))&gt;Lists!H$21)+1)))-MIN(MAX(0,$H54),N($K54)*IF(Lists!H$22&lt;$J54,0,(((YEAR(Lists!H$22)-YEAR($J54))*12+MONTH(Lists!H$22)-MONTH($J54))-(EDATE($J54,((YEAR(Lists!H$22)-YEAR($J54))*12+MONTH(Lists!H$22)-MONTH($J54)))&gt;Lists!H$22)+1)))),N($C54)*IF($AE54-$AD54&lt;1,($AD54&gt;Lists!H$22)*($AD54&lt;=Lists!H$21),MAX(0,MIN(Lists!H$21,$AE54)-MAX(Lists!H$22,$AD54))/($AE54-$AD54))+N($D54)*IF($AG54-$AF54&lt;1,($AF54&gt;Lists!H$22)*($AF54&lt;=Lists!H$21),MAX(0,MIN(Lists!H$21,$AG54)-MAX(Lists!H$22,$AF54))/($AG54-$AF54))+N($E54)*IF($AI54-$AH54&lt;1,($AH54&gt;Lists!H$22)*($AH54&lt;=Lists!H$21),MAX(0,MIN(Lists!H$21,$AI54)-MAX(Lists!H$22,$AH54))/($AI54-$AH54))+N($F54)*IF($AK54-$AJ54&lt;1,($AJ54&gt;Lists!H$22)*($AJ54&lt;=Lists!H$21),MAX(0,MIN(Lists!H$21,$AK54)-MAX(Lists!H$22,$AJ54))/($AK54-$AJ54))+N($G54)*IF($AM54-$AL54&lt;1,($AL54&gt;Lists!H$22)*($AL54&lt;=Lists!H$21),MAX(0,MIN(Lists!H$21,$AM54)-MAX(Lists!H$22,$AL54))/($AM54-$AL54))))))))</f>
        <v>0</v>
      </c>
      <c r="S54" s="53" t="n">
        <f aca="false">IF($H54=0,0,IF($AP54="X",0,IF($AP54="S",$H54/$AO54*(MIN($AO54,MAX(0,INT((Lists!I$21-N($J54))/7)+1))-MIN($AO54,MAX(0,INT((Lists!I$22-N($J54))/7)+1))),IF($AP54="D",$H54*MAX(0,MIN(Lists!I$21,N($J54)+$AO54)-MAX(Lists!I$22,N($J54)))/$AO54,IF($AP54="M",$H54/$AO54*(IF(Lists!I$21&lt;$J54,0,MIN($AO54,(((YEAR(Lists!I$21)-YEAR($J54))*12+MONTH(Lists!I$21)-MONTH($J54))-(EDATE($J54,((YEAR(Lists!I$21)-YEAR($J54))*12+MONTH(Lists!I$21)-MONTH($J54)))&gt;Lists!I$21)+1)))-IF(Lists!I$22&lt;$J54,0,MIN($AO54,(((YEAR(Lists!I$22)-YEAR($J54))*12+MONTH(Lists!I$22)-MONTH($J54))-(EDATE($J54,((YEAR(Lists!I$22)-YEAR($J54))*12+MONTH(Lists!I$22)-MONTH($J54)))&gt;Lists!I$22)+1)))),IF($AP54="F",IF(N($K54)&lt;=0,0,MIN(MAX(0,$H54),N($K54)*IF(Lists!I$21&lt;$J54,0,(((YEAR(Lists!I$21)-YEAR($J54))*12+MONTH(Lists!I$21)-MONTH($J54))-(EDATE($J54,((YEAR(Lists!I$21)-YEAR($J54))*12+MONTH(Lists!I$21)-MONTH($J54)))&gt;Lists!I$21)+1)))-MIN(MAX(0,$H54),N($K54)*IF(Lists!I$22&lt;$J54,0,(((YEAR(Lists!I$22)-YEAR($J54))*12+MONTH(Lists!I$22)-MONTH($J54))-(EDATE($J54,((YEAR(Lists!I$22)-YEAR($J54))*12+MONTH(Lists!I$22)-MONTH($J54)))&gt;Lists!I$22)+1)))),N($C54)*IF($AE54-$AD54&lt;1,($AD54&gt;Lists!I$22)*($AD54&lt;=Lists!I$21),MAX(0,MIN(Lists!I$21,$AE54)-MAX(Lists!I$22,$AD54))/($AE54-$AD54))+N($D54)*IF($AG54-$AF54&lt;1,($AF54&gt;Lists!I$22)*($AF54&lt;=Lists!I$21),MAX(0,MIN(Lists!I$21,$AG54)-MAX(Lists!I$22,$AF54))/($AG54-$AF54))+N($E54)*IF($AI54-$AH54&lt;1,($AH54&gt;Lists!I$22)*($AH54&lt;=Lists!I$21),MAX(0,MIN(Lists!I$21,$AI54)-MAX(Lists!I$22,$AH54))/($AI54-$AH54))+N($F54)*IF($AK54-$AJ54&lt;1,($AJ54&gt;Lists!I$22)*($AJ54&lt;=Lists!I$21),MAX(0,MIN(Lists!I$21,$AK54)-MAX(Lists!I$22,$AJ54))/($AK54-$AJ54))+N($G54)*IF($AM54-$AL54&lt;1,($AL54&gt;Lists!I$22)*($AL54&lt;=Lists!I$21),MAX(0,MIN(Lists!I$21,$AM54)-MAX(Lists!I$22,$AL54))/($AM54-$AL54))))))))</f>
        <v>0</v>
      </c>
      <c r="T54" s="53" t="n">
        <f aca="false">IF($H54=0,0,IF($AP54="X",0,IF($AP54="S",$H54/$AO54*(MIN($AO54,MAX(0,INT((Lists!J$21-N($J54))/7)+1))-MIN($AO54,MAX(0,INT((Lists!J$22-N($J54))/7)+1))),IF($AP54="D",$H54*MAX(0,MIN(Lists!J$21,N($J54)+$AO54)-MAX(Lists!J$22,N($J54)))/$AO54,IF($AP54="M",$H54/$AO54*(IF(Lists!J$21&lt;$J54,0,MIN($AO54,(((YEAR(Lists!J$21)-YEAR($J54))*12+MONTH(Lists!J$21)-MONTH($J54))-(EDATE($J54,((YEAR(Lists!J$21)-YEAR($J54))*12+MONTH(Lists!J$21)-MONTH($J54)))&gt;Lists!J$21)+1)))-IF(Lists!J$22&lt;$J54,0,MIN($AO54,(((YEAR(Lists!J$22)-YEAR($J54))*12+MONTH(Lists!J$22)-MONTH($J54))-(EDATE($J54,((YEAR(Lists!J$22)-YEAR($J54))*12+MONTH(Lists!J$22)-MONTH($J54)))&gt;Lists!J$22)+1)))),IF($AP54="F",IF(N($K54)&lt;=0,0,MIN(MAX(0,$H54),N($K54)*IF(Lists!J$21&lt;$J54,0,(((YEAR(Lists!J$21)-YEAR($J54))*12+MONTH(Lists!J$21)-MONTH($J54))-(EDATE($J54,((YEAR(Lists!J$21)-YEAR($J54))*12+MONTH(Lists!J$21)-MONTH($J54)))&gt;Lists!J$21)+1)))-MIN(MAX(0,$H54),N($K54)*IF(Lists!J$22&lt;$J54,0,(((YEAR(Lists!J$22)-YEAR($J54))*12+MONTH(Lists!J$22)-MONTH($J54))-(EDATE($J54,((YEAR(Lists!J$22)-YEAR($J54))*12+MONTH(Lists!J$22)-MONTH($J54)))&gt;Lists!J$22)+1)))),N($C54)*IF($AE54-$AD54&lt;1,($AD54&gt;Lists!J$22)*($AD54&lt;=Lists!J$21),MAX(0,MIN(Lists!J$21,$AE54)-MAX(Lists!J$22,$AD54))/($AE54-$AD54))+N($D54)*IF($AG54-$AF54&lt;1,($AF54&gt;Lists!J$22)*($AF54&lt;=Lists!J$21),MAX(0,MIN(Lists!J$21,$AG54)-MAX(Lists!J$22,$AF54))/($AG54-$AF54))+N($E54)*IF($AI54-$AH54&lt;1,($AH54&gt;Lists!J$22)*($AH54&lt;=Lists!J$21),MAX(0,MIN(Lists!J$21,$AI54)-MAX(Lists!J$22,$AH54))/($AI54-$AH54))+N($F54)*IF($AK54-$AJ54&lt;1,($AJ54&gt;Lists!J$22)*($AJ54&lt;=Lists!J$21),MAX(0,MIN(Lists!J$21,$AK54)-MAX(Lists!J$22,$AJ54))/($AK54-$AJ54))+N($G54)*IF($AM54-$AL54&lt;1,($AL54&gt;Lists!J$22)*($AL54&lt;=Lists!J$21),MAX(0,MIN(Lists!J$21,$AM54)-MAX(Lists!J$22,$AL54))/($AM54-$AL54))))))))</f>
        <v>0</v>
      </c>
      <c r="U54" s="53" t="n">
        <f aca="false">IF($H54=0,0,IF($AP54="X",0,IF($AP54="S",$H54/$AO54*(MIN($AO54,MAX(0,INT((Lists!K$21-N($J54))/7)+1))-MIN($AO54,MAX(0,INT((Lists!K$22-N($J54))/7)+1))),IF($AP54="D",$H54*MAX(0,MIN(Lists!K$21,N($J54)+$AO54)-MAX(Lists!K$22,N($J54)))/$AO54,IF($AP54="M",$H54/$AO54*(IF(Lists!K$21&lt;$J54,0,MIN($AO54,(((YEAR(Lists!K$21)-YEAR($J54))*12+MONTH(Lists!K$21)-MONTH($J54))-(EDATE($J54,((YEAR(Lists!K$21)-YEAR($J54))*12+MONTH(Lists!K$21)-MONTH($J54)))&gt;Lists!K$21)+1)))-IF(Lists!K$22&lt;$J54,0,MIN($AO54,(((YEAR(Lists!K$22)-YEAR($J54))*12+MONTH(Lists!K$22)-MONTH($J54))-(EDATE($J54,((YEAR(Lists!K$22)-YEAR($J54))*12+MONTH(Lists!K$22)-MONTH($J54)))&gt;Lists!K$22)+1)))),IF($AP54="F",IF(N($K54)&lt;=0,0,MIN(MAX(0,$H54),N($K54)*IF(Lists!K$21&lt;$J54,0,(((YEAR(Lists!K$21)-YEAR($J54))*12+MONTH(Lists!K$21)-MONTH($J54))-(EDATE($J54,((YEAR(Lists!K$21)-YEAR($J54))*12+MONTH(Lists!K$21)-MONTH($J54)))&gt;Lists!K$21)+1)))-MIN(MAX(0,$H54),N($K54)*IF(Lists!K$22&lt;$J54,0,(((YEAR(Lists!K$22)-YEAR($J54))*12+MONTH(Lists!K$22)-MONTH($J54))-(EDATE($J54,((YEAR(Lists!K$22)-YEAR($J54))*12+MONTH(Lists!K$22)-MONTH($J54)))&gt;Lists!K$22)+1)))),N($C54)*IF($AE54-$AD54&lt;1,($AD54&gt;Lists!K$22)*($AD54&lt;=Lists!K$21),MAX(0,MIN(Lists!K$21,$AE54)-MAX(Lists!K$22,$AD54))/($AE54-$AD54))+N($D54)*IF($AG54-$AF54&lt;1,($AF54&gt;Lists!K$22)*($AF54&lt;=Lists!K$21),MAX(0,MIN(Lists!K$21,$AG54)-MAX(Lists!K$22,$AF54))/($AG54-$AF54))+N($E54)*IF($AI54-$AH54&lt;1,($AH54&gt;Lists!K$22)*($AH54&lt;=Lists!K$21),MAX(0,MIN(Lists!K$21,$AI54)-MAX(Lists!K$22,$AH54))/($AI54-$AH54))+N($F54)*IF($AK54-$AJ54&lt;1,($AJ54&gt;Lists!K$22)*($AJ54&lt;=Lists!K$21),MAX(0,MIN(Lists!K$21,$AK54)-MAX(Lists!K$22,$AJ54))/($AK54-$AJ54))+N($G54)*IF($AM54-$AL54&lt;1,($AL54&gt;Lists!K$22)*($AL54&lt;=Lists!K$21),MAX(0,MIN(Lists!K$21,$AM54)-MAX(Lists!K$22,$AL54))/($AM54-$AL54))))))))</f>
        <v>0</v>
      </c>
      <c r="V54" s="53" t="n">
        <f aca="false">IF($H54=0,0,IF($AP54="X",0,IF($AP54="S",$H54/$AO54*(MIN($AO54,MAX(0,INT((Lists!L$21-N($J54))/7)+1))-MIN($AO54,MAX(0,INT((Lists!L$22-N($J54))/7)+1))),IF($AP54="D",$H54*MAX(0,MIN(Lists!L$21,N($J54)+$AO54)-MAX(Lists!L$22,N($J54)))/$AO54,IF($AP54="M",$H54/$AO54*(IF(Lists!L$21&lt;$J54,0,MIN($AO54,(((YEAR(Lists!L$21)-YEAR($J54))*12+MONTH(Lists!L$21)-MONTH($J54))-(EDATE($J54,((YEAR(Lists!L$21)-YEAR($J54))*12+MONTH(Lists!L$21)-MONTH($J54)))&gt;Lists!L$21)+1)))-IF(Lists!L$22&lt;$J54,0,MIN($AO54,(((YEAR(Lists!L$22)-YEAR($J54))*12+MONTH(Lists!L$22)-MONTH($J54))-(EDATE($J54,((YEAR(Lists!L$22)-YEAR($J54))*12+MONTH(Lists!L$22)-MONTH($J54)))&gt;Lists!L$22)+1)))),IF($AP54="F",IF(N($K54)&lt;=0,0,MIN(MAX(0,$H54),N($K54)*IF(Lists!L$21&lt;$J54,0,(((YEAR(Lists!L$21)-YEAR($J54))*12+MONTH(Lists!L$21)-MONTH($J54))-(EDATE($J54,((YEAR(Lists!L$21)-YEAR($J54))*12+MONTH(Lists!L$21)-MONTH($J54)))&gt;Lists!L$21)+1)))-MIN(MAX(0,$H54),N($K54)*IF(Lists!L$22&lt;$J54,0,(((YEAR(Lists!L$22)-YEAR($J54))*12+MONTH(Lists!L$22)-MONTH($J54))-(EDATE($J54,((YEAR(Lists!L$22)-YEAR($J54))*12+MONTH(Lists!L$22)-MONTH($J54)))&gt;Lists!L$22)+1)))),N($C54)*IF($AE54-$AD54&lt;1,($AD54&gt;Lists!L$22)*($AD54&lt;=Lists!L$21),MAX(0,MIN(Lists!L$21,$AE54)-MAX(Lists!L$22,$AD54))/($AE54-$AD54))+N($D54)*IF($AG54-$AF54&lt;1,($AF54&gt;Lists!L$22)*($AF54&lt;=Lists!L$21),MAX(0,MIN(Lists!L$21,$AG54)-MAX(Lists!L$22,$AF54))/($AG54-$AF54))+N($E54)*IF($AI54-$AH54&lt;1,($AH54&gt;Lists!L$22)*($AH54&lt;=Lists!L$21),MAX(0,MIN(Lists!L$21,$AI54)-MAX(Lists!L$22,$AH54))/($AI54-$AH54))+N($F54)*IF($AK54-$AJ54&lt;1,($AJ54&gt;Lists!L$22)*($AJ54&lt;=Lists!L$21),MAX(0,MIN(Lists!L$21,$AK54)-MAX(Lists!L$22,$AJ54))/($AK54-$AJ54))+N($G54)*IF($AM54-$AL54&lt;1,($AL54&gt;Lists!L$22)*($AL54&lt;=Lists!L$21),MAX(0,MIN(Lists!L$21,$AM54)-MAX(Lists!L$22,$AL54))/($AM54-$AL54))))))))</f>
        <v>0</v>
      </c>
      <c r="W54" s="53" t="n">
        <f aca="false">IF($H54=0,0,IF($AP54="X",0,IF($AP54="S",$H54/$AO54*(MIN($AO54,MAX(0,INT((Lists!M$21-N($J54))/7)+1))-MIN($AO54,MAX(0,INT((Lists!M$22-N($J54))/7)+1))),IF($AP54="D",$H54*MAX(0,MIN(Lists!M$21,N($J54)+$AO54)-MAX(Lists!M$22,N($J54)))/$AO54,IF($AP54="M",$H54/$AO54*(IF(Lists!M$21&lt;$J54,0,MIN($AO54,(((YEAR(Lists!M$21)-YEAR($J54))*12+MONTH(Lists!M$21)-MONTH($J54))-(EDATE($J54,((YEAR(Lists!M$21)-YEAR($J54))*12+MONTH(Lists!M$21)-MONTH($J54)))&gt;Lists!M$21)+1)))-IF(Lists!M$22&lt;$J54,0,MIN($AO54,(((YEAR(Lists!M$22)-YEAR($J54))*12+MONTH(Lists!M$22)-MONTH($J54))-(EDATE($J54,((YEAR(Lists!M$22)-YEAR($J54))*12+MONTH(Lists!M$22)-MONTH($J54)))&gt;Lists!M$22)+1)))),IF($AP54="F",IF(N($K54)&lt;=0,0,MIN(MAX(0,$H54),N($K54)*IF(Lists!M$21&lt;$J54,0,(((YEAR(Lists!M$21)-YEAR($J54))*12+MONTH(Lists!M$21)-MONTH($J54))-(EDATE($J54,((YEAR(Lists!M$21)-YEAR($J54))*12+MONTH(Lists!M$21)-MONTH($J54)))&gt;Lists!M$21)+1)))-MIN(MAX(0,$H54),N($K54)*IF(Lists!M$22&lt;$J54,0,(((YEAR(Lists!M$22)-YEAR($J54))*12+MONTH(Lists!M$22)-MONTH($J54))-(EDATE($J54,((YEAR(Lists!M$22)-YEAR($J54))*12+MONTH(Lists!M$22)-MONTH($J54)))&gt;Lists!M$22)+1)))),N($C54)*IF($AE54-$AD54&lt;1,($AD54&gt;Lists!M$22)*($AD54&lt;=Lists!M$21),MAX(0,MIN(Lists!M$21,$AE54)-MAX(Lists!M$22,$AD54))/($AE54-$AD54))+N($D54)*IF($AG54-$AF54&lt;1,($AF54&gt;Lists!M$22)*($AF54&lt;=Lists!M$21),MAX(0,MIN(Lists!M$21,$AG54)-MAX(Lists!M$22,$AF54))/($AG54-$AF54))+N($E54)*IF($AI54-$AH54&lt;1,($AH54&gt;Lists!M$22)*($AH54&lt;=Lists!M$21),MAX(0,MIN(Lists!M$21,$AI54)-MAX(Lists!M$22,$AH54))/($AI54-$AH54))+N($F54)*IF($AK54-$AJ54&lt;1,($AJ54&gt;Lists!M$22)*($AJ54&lt;=Lists!M$21),MAX(0,MIN(Lists!M$21,$AK54)-MAX(Lists!M$22,$AJ54))/($AK54-$AJ54))+N($G54)*IF($AM54-$AL54&lt;1,($AL54&gt;Lists!M$22)*($AL54&lt;=Lists!M$21),MAX(0,MIN(Lists!M$21,$AM54)-MAX(Lists!M$22,$AL54))/($AM54-$AL54))))))))</f>
        <v>0</v>
      </c>
      <c r="X54" s="53" t="n">
        <f aca="false">IF($H54=0,0,IF($AP54="X",0,IF($AP54="S",$H54/$AO54*(MIN($AO54,MAX(0,INT((Lists!N$21-N($J54))/7)+1))-MIN($AO54,MAX(0,INT((Lists!N$22-N($J54))/7)+1))),IF($AP54="D",$H54*MAX(0,MIN(Lists!N$21,N($J54)+$AO54)-MAX(Lists!N$22,N($J54)))/$AO54,IF($AP54="M",$H54/$AO54*(IF(Lists!N$21&lt;$J54,0,MIN($AO54,(((YEAR(Lists!N$21)-YEAR($J54))*12+MONTH(Lists!N$21)-MONTH($J54))-(EDATE($J54,((YEAR(Lists!N$21)-YEAR($J54))*12+MONTH(Lists!N$21)-MONTH($J54)))&gt;Lists!N$21)+1)))-IF(Lists!N$22&lt;$J54,0,MIN($AO54,(((YEAR(Lists!N$22)-YEAR($J54))*12+MONTH(Lists!N$22)-MONTH($J54))-(EDATE($J54,((YEAR(Lists!N$22)-YEAR($J54))*12+MONTH(Lists!N$22)-MONTH($J54)))&gt;Lists!N$22)+1)))),IF($AP54="F",IF(N($K54)&lt;=0,0,MIN(MAX(0,$H54),N($K54)*IF(Lists!N$21&lt;$J54,0,(((YEAR(Lists!N$21)-YEAR($J54))*12+MONTH(Lists!N$21)-MONTH($J54))-(EDATE($J54,((YEAR(Lists!N$21)-YEAR($J54))*12+MONTH(Lists!N$21)-MONTH($J54)))&gt;Lists!N$21)+1)))-MIN(MAX(0,$H54),N($K54)*IF(Lists!N$22&lt;$J54,0,(((YEAR(Lists!N$22)-YEAR($J54))*12+MONTH(Lists!N$22)-MONTH($J54))-(EDATE($J54,((YEAR(Lists!N$22)-YEAR($J54))*12+MONTH(Lists!N$22)-MONTH($J54)))&gt;Lists!N$22)+1)))),N($C54)*IF($AE54-$AD54&lt;1,($AD54&gt;Lists!N$22)*($AD54&lt;=Lists!N$21),MAX(0,MIN(Lists!N$21,$AE54)-MAX(Lists!N$22,$AD54))/($AE54-$AD54))+N($D54)*IF($AG54-$AF54&lt;1,($AF54&gt;Lists!N$22)*($AF54&lt;=Lists!N$21),MAX(0,MIN(Lists!N$21,$AG54)-MAX(Lists!N$22,$AF54))/($AG54-$AF54))+N($E54)*IF($AI54-$AH54&lt;1,($AH54&gt;Lists!N$22)*($AH54&lt;=Lists!N$21),MAX(0,MIN(Lists!N$21,$AI54)-MAX(Lists!N$22,$AH54))/($AI54-$AH54))+N($F54)*IF($AK54-$AJ54&lt;1,($AJ54&gt;Lists!N$22)*($AJ54&lt;=Lists!N$21),MAX(0,MIN(Lists!N$21,$AK54)-MAX(Lists!N$22,$AJ54))/($AK54-$AJ54))+N($G54)*IF($AM54-$AL54&lt;1,($AL54&gt;Lists!N$22)*($AL54&lt;=Lists!N$21),MAX(0,MIN(Lists!N$21,$AM54)-MAX(Lists!N$22,$AL54))/($AM54-$AL54))))))))</f>
        <v>0</v>
      </c>
      <c r="Y54" s="53" t="n">
        <f aca="false">IF($H54=0,0,IF($AP54="X",0,IF($AP54="S",$H54/$AO54*(MIN($AO54,MAX(0,INT((Lists!O$21-N($J54))/7)+1))-MIN($AO54,MAX(0,INT((Lists!O$22-N($J54))/7)+1))),IF($AP54="D",$H54*MAX(0,MIN(Lists!O$21,N($J54)+$AO54)-MAX(Lists!O$22,N($J54)))/$AO54,IF($AP54="M",$H54/$AO54*(IF(Lists!O$21&lt;$J54,0,MIN($AO54,(((YEAR(Lists!O$21)-YEAR($J54))*12+MONTH(Lists!O$21)-MONTH($J54))-(EDATE($J54,((YEAR(Lists!O$21)-YEAR($J54))*12+MONTH(Lists!O$21)-MONTH($J54)))&gt;Lists!O$21)+1)))-IF(Lists!O$22&lt;$J54,0,MIN($AO54,(((YEAR(Lists!O$22)-YEAR($J54))*12+MONTH(Lists!O$22)-MONTH($J54))-(EDATE($J54,((YEAR(Lists!O$22)-YEAR($J54))*12+MONTH(Lists!O$22)-MONTH($J54)))&gt;Lists!O$22)+1)))),IF($AP54="F",IF(N($K54)&lt;=0,0,MIN(MAX(0,$H54),N($K54)*IF(Lists!O$21&lt;$J54,0,(((YEAR(Lists!O$21)-YEAR($J54))*12+MONTH(Lists!O$21)-MONTH($J54))-(EDATE($J54,((YEAR(Lists!O$21)-YEAR($J54))*12+MONTH(Lists!O$21)-MONTH($J54)))&gt;Lists!O$21)+1)))-MIN(MAX(0,$H54),N($K54)*IF(Lists!O$22&lt;$J54,0,(((YEAR(Lists!O$22)-YEAR($J54))*12+MONTH(Lists!O$22)-MONTH($J54))-(EDATE($J54,((YEAR(Lists!O$22)-YEAR($J54))*12+MONTH(Lists!O$22)-MONTH($J54)))&gt;Lists!O$22)+1)))),N($C54)*IF($AE54-$AD54&lt;1,($AD54&gt;Lists!O$22)*($AD54&lt;=Lists!O$21),MAX(0,MIN(Lists!O$21,$AE54)-MAX(Lists!O$22,$AD54))/($AE54-$AD54))+N($D54)*IF($AG54-$AF54&lt;1,($AF54&gt;Lists!O$22)*($AF54&lt;=Lists!O$21),MAX(0,MIN(Lists!O$21,$AG54)-MAX(Lists!O$22,$AF54))/($AG54-$AF54))+N($E54)*IF($AI54-$AH54&lt;1,($AH54&gt;Lists!O$22)*($AH54&lt;=Lists!O$21),MAX(0,MIN(Lists!O$21,$AI54)-MAX(Lists!O$22,$AH54))/($AI54-$AH54))+N($F54)*IF($AK54-$AJ54&lt;1,($AJ54&gt;Lists!O$22)*($AJ54&lt;=Lists!O$21),MAX(0,MIN(Lists!O$21,$AK54)-MAX(Lists!O$22,$AJ54))/($AK54-$AJ54))+N($G54)*IF($AM54-$AL54&lt;1,($AL54&gt;Lists!O$22)*($AL54&lt;=Lists!O$21),MAX(0,MIN(Lists!O$21,$AM54)-MAX(Lists!O$22,$AL54))/($AM54-$AL54))))))))</f>
        <v>0</v>
      </c>
      <c r="Z54" s="46" t="n">
        <f aca="false">SUM(M54:Y54)</f>
        <v>0</v>
      </c>
      <c r="AA54" s="92" t="n">
        <f aca="false">H54-Z54</f>
        <v>0</v>
      </c>
      <c r="AB54" s="55"/>
      <c r="AC54" s="2"/>
      <c r="AD54" s="93" t="n">
        <f aca="false">Setup!$D$10+MAX(0,$AN54-30)</f>
        <v>46365</v>
      </c>
      <c r="AE54" s="93" t="n">
        <f aca="false">Setup!$D$10+IF($AN54-30&lt;0,MAX(Setup!$D$22,$AN54-0),$AN54-0)</f>
        <v>46395</v>
      </c>
      <c r="AF54" s="93" t="n">
        <f aca="false">Setup!$D$10+MAX(0,$AN54-60)</f>
        <v>46335</v>
      </c>
      <c r="AG54" s="93" t="n">
        <f aca="false">Setup!$D$10+IF($AN54-60&lt;0,MAX(Setup!$D$22,$AN54-31),$AN54-31)</f>
        <v>46364</v>
      </c>
      <c r="AH54" s="93" t="n">
        <f aca="false">Setup!$D$10+MAX(0,$AN54-90)</f>
        <v>46335</v>
      </c>
      <c r="AI54" s="93" t="n">
        <f aca="false">Setup!$D$10+IF($AN54-90&lt;0,MAX(Setup!$D$22,$AN54-61),$AN54-61)</f>
        <v>46363</v>
      </c>
      <c r="AJ54" s="93" t="n">
        <f aca="false">Setup!$D$10+MAX(0,$AN54-120)</f>
        <v>46335</v>
      </c>
      <c r="AK54" s="93" t="n">
        <f aca="false">Setup!$D$10+IF($AN54-120&lt;0,MAX(Setup!$D$22,$AN54-91),$AN54-91)</f>
        <v>46363</v>
      </c>
      <c r="AL54" s="93" t="n">
        <f aca="false">IF(Setup!$D$23="Yes",2958465,Setup!$D$10)</f>
        <v>2958465</v>
      </c>
      <c r="AM54" s="93" t="n">
        <f aca="false">IF(AL54=2958465,AL54,Setup!$D$10+Setup!$D$22)</f>
        <v>2958465</v>
      </c>
      <c r="AN54" s="94" t="n">
        <f aca="false">IF(N(L54)=0,Setup!$D$20,L54)</f>
        <v>60</v>
      </c>
      <c r="AO54" s="94" t="n">
        <f aca="false">MAX(1,ROUND(N(K54),0))</f>
        <v>1</v>
      </c>
      <c r="AP54" s="95" t="str">
        <f aca="false">IF(I54="Doubtful","X",IF(N(J54)=0,"A",IF(I54="Specific date","S",IF(I54="Spread over days","D",IF(I54="Monthly on set day","M",IF(I54="Monthly fixed amount","F","A"))))))</f>
        <v>A</v>
      </c>
    </row>
    <row r="55" customFormat="false" ht="15" hidden="false" customHeight="false" outlineLevel="0" collapsed="false">
      <c r="A55" s="87" t="n">
        <v>47</v>
      </c>
      <c r="B55" s="55"/>
      <c r="C55" s="88"/>
      <c r="D55" s="88"/>
      <c r="E55" s="88"/>
      <c r="F55" s="88"/>
      <c r="G55" s="88"/>
      <c r="H55" s="89" t="n">
        <f aca="false">SUM(C55:G55)</f>
        <v>0</v>
      </c>
      <c r="I55" s="58"/>
      <c r="J55" s="90"/>
      <c r="K55" s="91"/>
      <c r="L55" s="80"/>
      <c r="M55" s="53" t="n">
        <f aca="false">IF($H55=0,0,IF($AP55="X",0,IF($AP55="S",$H55/$AO55*(MIN($AO55,MAX(0,INT((Lists!C$21-N($J55))/7)+1))-MIN($AO55,MAX(0,INT((Lists!C$22-N($J55))/7)+1))),IF($AP55="D",$H55*MAX(0,MIN(Lists!C$21,N($J55)+$AO55)-MAX(Lists!C$22,N($J55)))/$AO55,IF($AP55="M",$H55/$AO55*(IF(Lists!C$21&lt;$J55,0,MIN($AO55,(((YEAR(Lists!C$21)-YEAR($J55))*12+MONTH(Lists!C$21)-MONTH($J55))-(EDATE($J55,((YEAR(Lists!C$21)-YEAR($J55))*12+MONTH(Lists!C$21)-MONTH($J55)))&gt;Lists!C$21)+1)))-IF(Lists!C$22&lt;$J55,0,MIN($AO55,(((YEAR(Lists!C$22)-YEAR($J55))*12+MONTH(Lists!C$22)-MONTH($J55))-(EDATE($J55,((YEAR(Lists!C$22)-YEAR($J55))*12+MONTH(Lists!C$22)-MONTH($J55)))&gt;Lists!C$22)+1)))),IF($AP55="F",IF(N($K55)&lt;=0,0,MIN(MAX(0,$H55),N($K55)*IF(Lists!C$21&lt;$J55,0,(((YEAR(Lists!C$21)-YEAR($J55))*12+MONTH(Lists!C$21)-MONTH($J55))-(EDATE($J55,((YEAR(Lists!C$21)-YEAR($J55))*12+MONTH(Lists!C$21)-MONTH($J55)))&gt;Lists!C$21)+1)))-MIN(MAX(0,$H55),N($K55)*IF(Lists!C$22&lt;$J55,0,(((YEAR(Lists!C$22)-YEAR($J55))*12+MONTH(Lists!C$22)-MONTH($J55))-(EDATE($J55,((YEAR(Lists!C$22)-YEAR($J55))*12+MONTH(Lists!C$22)-MONTH($J55)))&gt;Lists!C$22)+1)))),N($C55)*IF($AE55-$AD55&lt;1,($AD55&gt;Lists!C$22)*($AD55&lt;=Lists!C$21),MAX(0,MIN(Lists!C$21,$AE55)-MAX(Lists!C$22,$AD55))/($AE55-$AD55))+N($D55)*IF($AG55-$AF55&lt;1,($AF55&gt;Lists!C$22)*($AF55&lt;=Lists!C$21),MAX(0,MIN(Lists!C$21,$AG55)-MAX(Lists!C$22,$AF55))/($AG55-$AF55))+N($E55)*IF($AI55-$AH55&lt;1,($AH55&gt;Lists!C$22)*($AH55&lt;=Lists!C$21),MAX(0,MIN(Lists!C$21,$AI55)-MAX(Lists!C$22,$AH55))/($AI55-$AH55))+N($F55)*IF($AK55-$AJ55&lt;1,($AJ55&gt;Lists!C$22)*($AJ55&lt;=Lists!C$21),MAX(0,MIN(Lists!C$21,$AK55)-MAX(Lists!C$22,$AJ55))/($AK55-$AJ55))+N($G55)*IF($AM55-$AL55&lt;1,($AL55&gt;Lists!C$22)*($AL55&lt;=Lists!C$21),MAX(0,MIN(Lists!C$21,$AM55)-MAX(Lists!C$22,$AL55))/($AM55-$AL55))))))))</f>
        <v>0</v>
      </c>
      <c r="N55" s="53" t="n">
        <f aca="false">IF($H55=0,0,IF($AP55="X",0,IF($AP55="S",$H55/$AO55*(MIN($AO55,MAX(0,INT((Lists!D$21-N($J55))/7)+1))-MIN($AO55,MAX(0,INT((Lists!D$22-N($J55))/7)+1))),IF($AP55="D",$H55*MAX(0,MIN(Lists!D$21,N($J55)+$AO55)-MAX(Lists!D$22,N($J55)))/$AO55,IF($AP55="M",$H55/$AO55*(IF(Lists!D$21&lt;$J55,0,MIN($AO55,(((YEAR(Lists!D$21)-YEAR($J55))*12+MONTH(Lists!D$21)-MONTH($J55))-(EDATE($J55,((YEAR(Lists!D$21)-YEAR($J55))*12+MONTH(Lists!D$21)-MONTH($J55)))&gt;Lists!D$21)+1)))-IF(Lists!D$22&lt;$J55,0,MIN($AO55,(((YEAR(Lists!D$22)-YEAR($J55))*12+MONTH(Lists!D$22)-MONTH($J55))-(EDATE($J55,((YEAR(Lists!D$22)-YEAR($J55))*12+MONTH(Lists!D$22)-MONTH($J55)))&gt;Lists!D$22)+1)))),IF($AP55="F",IF(N($K55)&lt;=0,0,MIN(MAX(0,$H55),N($K55)*IF(Lists!D$21&lt;$J55,0,(((YEAR(Lists!D$21)-YEAR($J55))*12+MONTH(Lists!D$21)-MONTH($J55))-(EDATE($J55,((YEAR(Lists!D$21)-YEAR($J55))*12+MONTH(Lists!D$21)-MONTH($J55)))&gt;Lists!D$21)+1)))-MIN(MAX(0,$H55),N($K55)*IF(Lists!D$22&lt;$J55,0,(((YEAR(Lists!D$22)-YEAR($J55))*12+MONTH(Lists!D$22)-MONTH($J55))-(EDATE($J55,((YEAR(Lists!D$22)-YEAR($J55))*12+MONTH(Lists!D$22)-MONTH($J55)))&gt;Lists!D$22)+1)))),N($C55)*IF($AE55-$AD55&lt;1,($AD55&gt;Lists!D$22)*($AD55&lt;=Lists!D$21),MAX(0,MIN(Lists!D$21,$AE55)-MAX(Lists!D$22,$AD55))/($AE55-$AD55))+N($D55)*IF($AG55-$AF55&lt;1,($AF55&gt;Lists!D$22)*($AF55&lt;=Lists!D$21),MAX(0,MIN(Lists!D$21,$AG55)-MAX(Lists!D$22,$AF55))/($AG55-$AF55))+N($E55)*IF($AI55-$AH55&lt;1,($AH55&gt;Lists!D$22)*($AH55&lt;=Lists!D$21),MAX(0,MIN(Lists!D$21,$AI55)-MAX(Lists!D$22,$AH55))/($AI55-$AH55))+N($F55)*IF($AK55-$AJ55&lt;1,($AJ55&gt;Lists!D$22)*($AJ55&lt;=Lists!D$21),MAX(0,MIN(Lists!D$21,$AK55)-MAX(Lists!D$22,$AJ55))/($AK55-$AJ55))+N($G55)*IF($AM55-$AL55&lt;1,($AL55&gt;Lists!D$22)*($AL55&lt;=Lists!D$21),MAX(0,MIN(Lists!D$21,$AM55)-MAX(Lists!D$22,$AL55))/($AM55-$AL55))))))))</f>
        <v>0</v>
      </c>
      <c r="O55" s="53" t="n">
        <f aca="false">IF($H55=0,0,IF($AP55="X",0,IF($AP55="S",$H55/$AO55*(MIN($AO55,MAX(0,INT((Lists!E$21-N($J55))/7)+1))-MIN($AO55,MAX(0,INT((Lists!E$22-N($J55))/7)+1))),IF($AP55="D",$H55*MAX(0,MIN(Lists!E$21,N($J55)+$AO55)-MAX(Lists!E$22,N($J55)))/$AO55,IF($AP55="M",$H55/$AO55*(IF(Lists!E$21&lt;$J55,0,MIN($AO55,(((YEAR(Lists!E$21)-YEAR($J55))*12+MONTH(Lists!E$21)-MONTH($J55))-(EDATE($J55,((YEAR(Lists!E$21)-YEAR($J55))*12+MONTH(Lists!E$21)-MONTH($J55)))&gt;Lists!E$21)+1)))-IF(Lists!E$22&lt;$J55,0,MIN($AO55,(((YEAR(Lists!E$22)-YEAR($J55))*12+MONTH(Lists!E$22)-MONTH($J55))-(EDATE($J55,((YEAR(Lists!E$22)-YEAR($J55))*12+MONTH(Lists!E$22)-MONTH($J55)))&gt;Lists!E$22)+1)))),IF($AP55="F",IF(N($K55)&lt;=0,0,MIN(MAX(0,$H55),N($K55)*IF(Lists!E$21&lt;$J55,0,(((YEAR(Lists!E$21)-YEAR($J55))*12+MONTH(Lists!E$21)-MONTH($J55))-(EDATE($J55,((YEAR(Lists!E$21)-YEAR($J55))*12+MONTH(Lists!E$21)-MONTH($J55)))&gt;Lists!E$21)+1)))-MIN(MAX(0,$H55),N($K55)*IF(Lists!E$22&lt;$J55,0,(((YEAR(Lists!E$22)-YEAR($J55))*12+MONTH(Lists!E$22)-MONTH($J55))-(EDATE($J55,((YEAR(Lists!E$22)-YEAR($J55))*12+MONTH(Lists!E$22)-MONTH($J55)))&gt;Lists!E$22)+1)))),N($C55)*IF($AE55-$AD55&lt;1,($AD55&gt;Lists!E$22)*($AD55&lt;=Lists!E$21),MAX(0,MIN(Lists!E$21,$AE55)-MAX(Lists!E$22,$AD55))/($AE55-$AD55))+N($D55)*IF($AG55-$AF55&lt;1,($AF55&gt;Lists!E$22)*($AF55&lt;=Lists!E$21),MAX(0,MIN(Lists!E$21,$AG55)-MAX(Lists!E$22,$AF55))/($AG55-$AF55))+N($E55)*IF($AI55-$AH55&lt;1,($AH55&gt;Lists!E$22)*($AH55&lt;=Lists!E$21),MAX(0,MIN(Lists!E$21,$AI55)-MAX(Lists!E$22,$AH55))/($AI55-$AH55))+N($F55)*IF($AK55-$AJ55&lt;1,($AJ55&gt;Lists!E$22)*($AJ55&lt;=Lists!E$21),MAX(0,MIN(Lists!E$21,$AK55)-MAX(Lists!E$22,$AJ55))/($AK55-$AJ55))+N($G55)*IF($AM55-$AL55&lt;1,($AL55&gt;Lists!E$22)*($AL55&lt;=Lists!E$21),MAX(0,MIN(Lists!E$21,$AM55)-MAX(Lists!E$22,$AL55))/($AM55-$AL55))))))))</f>
        <v>0</v>
      </c>
      <c r="P55" s="53" t="n">
        <f aca="false">IF($H55=0,0,IF($AP55="X",0,IF($AP55="S",$H55/$AO55*(MIN($AO55,MAX(0,INT((Lists!F$21-N($J55))/7)+1))-MIN($AO55,MAX(0,INT((Lists!F$22-N($J55))/7)+1))),IF($AP55="D",$H55*MAX(0,MIN(Lists!F$21,N($J55)+$AO55)-MAX(Lists!F$22,N($J55)))/$AO55,IF($AP55="M",$H55/$AO55*(IF(Lists!F$21&lt;$J55,0,MIN($AO55,(((YEAR(Lists!F$21)-YEAR($J55))*12+MONTH(Lists!F$21)-MONTH($J55))-(EDATE($J55,((YEAR(Lists!F$21)-YEAR($J55))*12+MONTH(Lists!F$21)-MONTH($J55)))&gt;Lists!F$21)+1)))-IF(Lists!F$22&lt;$J55,0,MIN($AO55,(((YEAR(Lists!F$22)-YEAR($J55))*12+MONTH(Lists!F$22)-MONTH($J55))-(EDATE($J55,((YEAR(Lists!F$22)-YEAR($J55))*12+MONTH(Lists!F$22)-MONTH($J55)))&gt;Lists!F$22)+1)))),IF($AP55="F",IF(N($K55)&lt;=0,0,MIN(MAX(0,$H55),N($K55)*IF(Lists!F$21&lt;$J55,0,(((YEAR(Lists!F$21)-YEAR($J55))*12+MONTH(Lists!F$21)-MONTH($J55))-(EDATE($J55,((YEAR(Lists!F$21)-YEAR($J55))*12+MONTH(Lists!F$21)-MONTH($J55)))&gt;Lists!F$21)+1)))-MIN(MAX(0,$H55),N($K55)*IF(Lists!F$22&lt;$J55,0,(((YEAR(Lists!F$22)-YEAR($J55))*12+MONTH(Lists!F$22)-MONTH($J55))-(EDATE($J55,((YEAR(Lists!F$22)-YEAR($J55))*12+MONTH(Lists!F$22)-MONTH($J55)))&gt;Lists!F$22)+1)))),N($C55)*IF($AE55-$AD55&lt;1,($AD55&gt;Lists!F$22)*($AD55&lt;=Lists!F$21),MAX(0,MIN(Lists!F$21,$AE55)-MAX(Lists!F$22,$AD55))/($AE55-$AD55))+N($D55)*IF($AG55-$AF55&lt;1,($AF55&gt;Lists!F$22)*($AF55&lt;=Lists!F$21),MAX(0,MIN(Lists!F$21,$AG55)-MAX(Lists!F$22,$AF55))/($AG55-$AF55))+N($E55)*IF($AI55-$AH55&lt;1,($AH55&gt;Lists!F$22)*($AH55&lt;=Lists!F$21),MAX(0,MIN(Lists!F$21,$AI55)-MAX(Lists!F$22,$AH55))/($AI55-$AH55))+N($F55)*IF($AK55-$AJ55&lt;1,($AJ55&gt;Lists!F$22)*($AJ55&lt;=Lists!F$21),MAX(0,MIN(Lists!F$21,$AK55)-MAX(Lists!F$22,$AJ55))/($AK55-$AJ55))+N($G55)*IF($AM55-$AL55&lt;1,($AL55&gt;Lists!F$22)*($AL55&lt;=Lists!F$21),MAX(0,MIN(Lists!F$21,$AM55)-MAX(Lists!F$22,$AL55))/($AM55-$AL55))))))))</f>
        <v>0</v>
      </c>
      <c r="Q55" s="53" t="n">
        <f aca="false">IF($H55=0,0,IF($AP55="X",0,IF($AP55="S",$H55/$AO55*(MIN($AO55,MAX(0,INT((Lists!G$21-N($J55))/7)+1))-MIN($AO55,MAX(0,INT((Lists!G$22-N($J55))/7)+1))),IF($AP55="D",$H55*MAX(0,MIN(Lists!G$21,N($J55)+$AO55)-MAX(Lists!G$22,N($J55)))/$AO55,IF($AP55="M",$H55/$AO55*(IF(Lists!G$21&lt;$J55,0,MIN($AO55,(((YEAR(Lists!G$21)-YEAR($J55))*12+MONTH(Lists!G$21)-MONTH($J55))-(EDATE($J55,((YEAR(Lists!G$21)-YEAR($J55))*12+MONTH(Lists!G$21)-MONTH($J55)))&gt;Lists!G$21)+1)))-IF(Lists!G$22&lt;$J55,0,MIN($AO55,(((YEAR(Lists!G$22)-YEAR($J55))*12+MONTH(Lists!G$22)-MONTH($J55))-(EDATE($J55,((YEAR(Lists!G$22)-YEAR($J55))*12+MONTH(Lists!G$22)-MONTH($J55)))&gt;Lists!G$22)+1)))),IF($AP55="F",IF(N($K55)&lt;=0,0,MIN(MAX(0,$H55),N($K55)*IF(Lists!G$21&lt;$J55,0,(((YEAR(Lists!G$21)-YEAR($J55))*12+MONTH(Lists!G$21)-MONTH($J55))-(EDATE($J55,((YEAR(Lists!G$21)-YEAR($J55))*12+MONTH(Lists!G$21)-MONTH($J55)))&gt;Lists!G$21)+1)))-MIN(MAX(0,$H55),N($K55)*IF(Lists!G$22&lt;$J55,0,(((YEAR(Lists!G$22)-YEAR($J55))*12+MONTH(Lists!G$22)-MONTH($J55))-(EDATE($J55,((YEAR(Lists!G$22)-YEAR($J55))*12+MONTH(Lists!G$22)-MONTH($J55)))&gt;Lists!G$22)+1)))),N($C55)*IF($AE55-$AD55&lt;1,($AD55&gt;Lists!G$22)*($AD55&lt;=Lists!G$21),MAX(0,MIN(Lists!G$21,$AE55)-MAX(Lists!G$22,$AD55))/($AE55-$AD55))+N($D55)*IF($AG55-$AF55&lt;1,($AF55&gt;Lists!G$22)*($AF55&lt;=Lists!G$21),MAX(0,MIN(Lists!G$21,$AG55)-MAX(Lists!G$22,$AF55))/($AG55-$AF55))+N($E55)*IF($AI55-$AH55&lt;1,($AH55&gt;Lists!G$22)*($AH55&lt;=Lists!G$21),MAX(0,MIN(Lists!G$21,$AI55)-MAX(Lists!G$22,$AH55))/($AI55-$AH55))+N($F55)*IF($AK55-$AJ55&lt;1,($AJ55&gt;Lists!G$22)*($AJ55&lt;=Lists!G$21),MAX(0,MIN(Lists!G$21,$AK55)-MAX(Lists!G$22,$AJ55))/($AK55-$AJ55))+N($G55)*IF($AM55-$AL55&lt;1,($AL55&gt;Lists!G$22)*($AL55&lt;=Lists!G$21),MAX(0,MIN(Lists!G$21,$AM55)-MAX(Lists!G$22,$AL55))/($AM55-$AL55))))))))</f>
        <v>0</v>
      </c>
      <c r="R55" s="53" t="n">
        <f aca="false">IF($H55=0,0,IF($AP55="X",0,IF($AP55="S",$H55/$AO55*(MIN($AO55,MAX(0,INT((Lists!H$21-N($J55))/7)+1))-MIN($AO55,MAX(0,INT((Lists!H$22-N($J55))/7)+1))),IF($AP55="D",$H55*MAX(0,MIN(Lists!H$21,N($J55)+$AO55)-MAX(Lists!H$22,N($J55)))/$AO55,IF($AP55="M",$H55/$AO55*(IF(Lists!H$21&lt;$J55,0,MIN($AO55,(((YEAR(Lists!H$21)-YEAR($J55))*12+MONTH(Lists!H$21)-MONTH($J55))-(EDATE($J55,((YEAR(Lists!H$21)-YEAR($J55))*12+MONTH(Lists!H$21)-MONTH($J55)))&gt;Lists!H$21)+1)))-IF(Lists!H$22&lt;$J55,0,MIN($AO55,(((YEAR(Lists!H$22)-YEAR($J55))*12+MONTH(Lists!H$22)-MONTH($J55))-(EDATE($J55,((YEAR(Lists!H$22)-YEAR($J55))*12+MONTH(Lists!H$22)-MONTH($J55)))&gt;Lists!H$22)+1)))),IF($AP55="F",IF(N($K55)&lt;=0,0,MIN(MAX(0,$H55),N($K55)*IF(Lists!H$21&lt;$J55,0,(((YEAR(Lists!H$21)-YEAR($J55))*12+MONTH(Lists!H$21)-MONTH($J55))-(EDATE($J55,((YEAR(Lists!H$21)-YEAR($J55))*12+MONTH(Lists!H$21)-MONTH($J55)))&gt;Lists!H$21)+1)))-MIN(MAX(0,$H55),N($K55)*IF(Lists!H$22&lt;$J55,0,(((YEAR(Lists!H$22)-YEAR($J55))*12+MONTH(Lists!H$22)-MONTH($J55))-(EDATE($J55,((YEAR(Lists!H$22)-YEAR($J55))*12+MONTH(Lists!H$22)-MONTH($J55)))&gt;Lists!H$22)+1)))),N($C55)*IF($AE55-$AD55&lt;1,($AD55&gt;Lists!H$22)*($AD55&lt;=Lists!H$21),MAX(0,MIN(Lists!H$21,$AE55)-MAX(Lists!H$22,$AD55))/($AE55-$AD55))+N($D55)*IF($AG55-$AF55&lt;1,($AF55&gt;Lists!H$22)*($AF55&lt;=Lists!H$21),MAX(0,MIN(Lists!H$21,$AG55)-MAX(Lists!H$22,$AF55))/($AG55-$AF55))+N($E55)*IF($AI55-$AH55&lt;1,($AH55&gt;Lists!H$22)*($AH55&lt;=Lists!H$21),MAX(0,MIN(Lists!H$21,$AI55)-MAX(Lists!H$22,$AH55))/($AI55-$AH55))+N($F55)*IF($AK55-$AJ55&lt;1,($AJ55&gt;Lists!H$22)*($AJ55&lt;=Lists!H$21),MAX(0,MIN(Lists!H$21,$AK55)-MAX(Lists!H$22,$AJ55))/($AK55-$AJ55))+N($G55)*IF($AM55-$AL55&lt;1,($AL55&gt;Lists!H$22)*($AL55&lt;=Lists!H$21),MAX(0,MIN(Lists!H$21,$AM55)-MAX(Lists!H$22,$AL55))/($AM55-$AL55))))))))</f>
        <v>0</v>
      </c>
      <c r="S55" s="53" t="n">
        <f aca="false">IF($H55=0,0,IF($AP55="X",0,IF($AP55="S",$H55/$AO55*(MIN($AO55,MAX(0,INT((Lists!I$21-N($J55))/7)+1))-MIN($AO55,MAX(0,INT((Lists!I$22-N($J55))/7)+1))),IF($AP55="D",$H55*MAX(0,MIN(Lists!I$21,N($J55)+$AO55)-MAX(Lists!I$22,N($J55)))/$AO55,IF($AP55="M",$H55/$AO55*(IF(Lists!I$21&lt;$J55,0,MIN($AO55,(((YEAR(Lists!I$21)-YEAR($J55))*12+MONTH(Lists!I$21)-MONTH($J55))-(EDATE($J55,((YEAR(Lists!I$21)-YEAR($J55))*12+MONTH(Lists!I$21)-MONTH($J55)))&gt;Lists!I$21)+1)))-IF(Lists!I$22&lt;$J55,0,MIN($AO55,(((YEAR(Lists!I$22)-YEAR($J55))*12+MONTH(Lists!I$22)-MONTH($J55))-(EDATE($J55,((YEAR(Lists!I$22)-YEAR($J55))*12+MONTH(Lists!I$22)-MONTH($J55)))&gt;Lists!I$22)+1)))),IF($AP55="F",IF(N($K55)&lt;=0,0,MIN(MAX(0,$H55),N($K55)*IF(Lists!I$21&lt;$J55,0,(((YEAR(Lists!I$21)-YEAR($J55))*12+MONTH(Lists!I$21)-MONTH($J55))-(EDATE($J55,((YEAR(Lists!I$21)-YEAR($J55))*12+MONTH(Lists!I$21)-MONTH($J55)))&gt;Lists!I$21)+1)))-MIN(MAX(0,$H55),N($K55)*IF(Lists!I$22&lt;$J55,0,(((YEAR(Lists!I$22)-YEAR($J55))*12+MONTH(Lists!I$22)-MONTH($J55))-(EDATE($J55,((YEAR(Lists!I$22)-YEAR($J55))*12+MONTH(Lists!I$22)-MONTH($J55)))&gt;Lists!I$22)+1)))),N($C55)*IF($AE55-$AD55&lt;1,($AD55&gt;Lists!I$22)*($AD55&lt;=Lists!I$21),MAX(0,MIN(Lists!I$21,$AE55)-MAX(Lists!I$22,$AD55))/($AE55-$AD55))+N($D55)*IF($AG55-$AF55&lt;1,($AF55&gt;Lists!I$22)*($AF55&lt;=Lists!I$21),MAX(0,MIN(Lists!I$21,$AG55)-MAX(Lists!I$22,$AF55))/($AG55-$AF55))+N($E55)*IF($AI55-$AH55&lt;1,($AH55&gt;Lists!I$22)*($AH55&lt;=Lists!I$21),MAX(0,MIN(Lists!I$21,$AI55)-MAX(Lists!I$22,$AH55))/($AI55-$AH55))+N($F55)*IF($AK55-$AJ55&lt;1,($AJ55&gt;Lists!I$22)*($AJ55&lt;=Lists!I$21),MAX(0,MIN(Lists!I$21,$AK55)-MAX(Lists!I$22,$AJ55))/($AK55-$AJ55))+N($G55)*IF($AM55-$AL55&lt;1,($AL55&gt;Lists!I$22)*($AL55&lt;=Lists!I$21),MAX(0,MIN(Lists!I$21,$AM55)-MAX(Lists!I$22,$AL55))/($AM55-$AL55))))))))</f>
        <v>0</v>
      </c>
      <c r="T55" s="53" t="n">
        <f aca="false">IF($H55=0,0,IF($AP55="X",0,IF($AP55="S",$H55/$AO55*(MIN($AO55,MAX(0,INT((Lists!J$21-N($J55))/7)+1))-MIN($AO55,MAX(0,INT((Lists!J$22-N($J55))/7)+1))),IF($AP55="D",$H55*MAX(0,MIN(Lists!J$21,N($J55)+$AO55)-MAX(Lists!J$22,N($J55)))/$AO55,IF($AP55="M",$H55/$AO55*(IF(Lists!J$21&lt;$J55,0,MIN($AO55,(((YEAR(Lists!J$21)-YEAR($J55))*12+MONTH(Lists!J$21)-MONTH($J55))-(EDATE($J55,((YEAR(Lists!J$21)-YEAR($J55))*12+MONTH(Lists!J$21)-MONTH($J55)))&gt;Lists!J$21)+1)))-IF(Lists!J$22&lt;$J55,0,MIN($AO55,(((YEAR(Lists!J$22)-YEAR($J55))*12+MONTH(Lists!J$22)-MONTH($J55))-(EDATE($J55,((YEAR(Lists!J$22)-YEAR($J55))*12+MONTH(Lists!J$22)-MONTH($J55)))&gt;Lists!J$22)+1)))),IF($AP55="F",IF(N($K55)&lt;=0,0,MIN(MAX(0,$H55),N($K55)*IF(Lists!J$21&lt;$J55,0,(((YEAR(Lists!J$21)-YEAR($J55))*12+MONTH(Lists!J$21)-MONTH($J55))-(EDATE($J55,((YEAR(Lists!J$21)-YEAR($J55))*12+MONTH(Lists!J$21)-MONTH($J55)))&gt;Lists!J$21)+1)))-MIN(MAX(0,$H55),N($K55)*IF(Lists!J$22&lt;$J55,0,(((YEAR(Lists!J$22)-YEAR($J55))*12+MONTH(Lists!J$22)-MONTH($J55))-(EDATE($J55,((YEAR(Lists!J$22)-YEAR($J55))*12+MONTH(Lists!J$22)-MONTH($J55)))&gt;Lists!J$22)+1)))),N($C55)*IF($AE55-$AD55&lt;1,($AD55&gt;Lists!J$22)*($AD55&lt;=Lists!J$21),MAX(0,MIN(Lists!J$21,$AE55)-MAX(Lists!J$22,$AD55))/($AE55-$AD55))+N($D55)*IF($AG55-$AF55&lt;1,($AF55&gt;Lists!J$22)*($AF55&lt;=Lists!J$21),MAX(0,MIN(Lists!J$21,$AG55)-MAX(Lists!J$22,$AF55))/($AG55-$AF55))+N($E55)*IF($AI55-$AH55&lt;1,($AH55&gt;Lists!J$22)*($AH55&lt;=Lists!J$21),MAX(0,MIN(Lists!J$21,$AI55)-MAX(Lists!J$22,$AH55))/($AI55-$AH55))+N($F55)*IF($AK55-$AJ55&lt;1,($AJ55&gt;Lists!J$22)*($AJ55&lt;=Lists!J$21),MAX(0,MIN(Lists!J$21,$AK55)-MAX(Lists!J$22,$AJ55))/($AK55-$AJ55))+N($G55)*IF($AM55-$AL55&lt;1,($AL55&gt;Lists!J$22)*($AL55&lt;=Lists!J$21),MAX(0,MIN(Lists!J$21,$AM55)-MAX(Lists!J$22,$AL55))/($AM55-$AL55))))))))</f>
        <v>0</v>
      </c>
      <c r="U55" s="53" t="n">
        <f aca="false">IF($H55=0,0,IF($AP55="X",0,IF($AP55="S",$H55/$AO55*(MIN($AO55,MAX(0,INT((Lists!K$21-N($J55))/7)+1))-MIN($AO55,MAX(0,INT((Lists!K$22-N($J55))/7)+1))),IF($AP55="D",$H55*MAX(0,MIN(Lists!K$21,N($J55)+$AO55)-MAX(Lists!K$22,N($J55)))/$AO55,IF($AP55="M",$H55/$AO55*(IF(Lists!K$21&lt;$J55,0,MIN($AO55,(((YEAR(Lists!K$21)-YEAR($J55))*12+MONTH(Lists!K$21)-MONTH($J55))-(EDATE($J55,((YEAR(Lists!K$21)-YEAR($J55))*12+MONTH(Lists!K$21)-MONTH($J55)))&gt;Lists!K$21)+1)))-IF(Lists!K$22&lt;$J55,0,MIN($AO55,(((YEAR(Lists!K$22)-YEAR($J55))*12+MONTH(Lists!K$22)-MONTH($J55))-(EDATE($J55,((YEAR(Lists!K$22)-YEAR($J55))*12+MONTH(Lists!K$22)-MONTH($J55)))&gt;Lists!K$22)+1)))),IF($AP55="F",IF(N($K55)&lt;=0,0,MIN(MAX(0,$H55),N($K55)*IF(Lists!K$21&lt;$J55,0,(((YEAR(Lists!K$21)-YEAR($J55))*12+MONTH(Lists!K$21)-MONTH($J55))-(EDATE($J55,((YEAR(Lists!K$21)-YEAR($J55))*12+MONTH(Lists!K$21)-MONTH($J55)))&gt;Lists!K$21)+1)))-MIN(MAX(0,$H55),N($K55)*IF(Lists!K$22&lt;$J55,0,(((YEAR(Lists!K$22)-YEAR($J55))*12+MONTH(Lists!K$22)-MONTH($J55))-(EDATE($J55,((YEAR(Lists!K$22)-YEAR($J55))*12+MONTH(Lists!K$22)-MONTH($J55)))&gt;Lists!K$22)+1)))),N($C55)*IF($AE55-$AD55&lt;1,($AD55&gt;Lists!K$22)*($AD55&lt;=Lists!K$21),MAX(0,MIN(Lists!K$21,$AE55)-MAX(Lists!K$22,$AD55))/($AE55-$AD55))+N($D55)*IF($AG55-$AF55&lt;1,($AF55&gt;Lists!K$22)*($AF55&lt;=Lists!K$21),MAX(0,MIN(Lists!K$21,$AG55)-MAX(Lists!K$22,$AF55))/($AG55-$AF55))+N($E55)*IF($AI55-$AH55&lt;1,($AH55&gt;Lists!K$22)*($AH55&lt;=Lists!K$21),MAX(0,MIN(Lists!K$21,$AI55)-MAX(Lists!K$22,$AH55))/($AI55-$AH55))+N($F55)*IF($AK55-$AJ55&lt;1,($AJ55&gt;Lists!K$22)*($AJ55&lt;=Lists!K$21),MAX(0,MIN(Lists!K$21,$AK55)-MAX(Lists!K$22,$AJ55))/($AK55-$AJ55))+N($G55)*IF($AM55-$AL55&lt;1,($AL55&gt;Lists!K$22)*($AL55&lt;=Lists!K$21),MAX(0,MIN(Lists!K$21,$AM55)-MAX(Lists!K$22,$AL55))/($AM55-$AL55))))))))</f>
        <v>0</v>
      </c>
      <c r="V55" s="53" t="n">
        <f aca="false">IF($H55=0,0,IF($AP55="X",0,IF($AP55="S",$H55/$AO55*(MIN($AO55,MAX(0,INT((Lists!L$21-N($J55))/7)+1))-MIN($AO55,MAX(0,INT((Lists!L$22-N($J55))/7)+1))),IF($AP55="D",$H55*MAX(0,MIN(Lists!L$21,N($J55)+$AO55)-MAX(Lists!L$22,N($J55)))/$AO55,IF($AP55="M",$H55/$AO55*(IF(Lists!L$21&lt;$J55,0,MIN($AO55,(((YEAR(Lists!L$21)-YEAR($J55))*12+MONTH(Lists!L$21)-MONTH($J55))-(EDATE($J55,((YEAR(Lists!L$21)-YEAR($J55))*12+MONTH(Lists!L$21)-MONTH($J55)))&gt;Lists!L$21)+1)))-IF(Lists!L$22&lt;$J55,0,MIN($AO55,(((YEAR(Lists!L$22)-YEAR($J55))*12+MONTH(Lists!L$22)-MONTH($J55))-(EDATE($J55,((YEAR(Lists!L$22)-YEAR($J55))*12+MONTH(Lists!L$22)-MONTH($J55)))&gt;Lists!L$22)+1)))),IF($AP55="F",IF(N($K55)&lt;=0,0,MIN(MAX(0,$H55),N($K55)*IF(Lists!L$21&lt;$J55,0,(((YEAR(Lists!L$21)-YEAR($J55))*12+MONTH(Lists!L$21)-MONTH($J55))-(EDATE($J55,((YEAR(Lists!L$21)-YEAR($J55))*12+MONTH(Lists!L$21)-MONTH($J55)))&gt;Lists!L$21)+1)))-MIN(MAX(0,$H55),N($K55)*IF(Lists!L$22&lt;$J55,0,(((YEAR(Lists!L$22)-YEAR($J55))*12+MONTH(Lists!L$22)-MONTH($J55))-(EDATE($J55,((YEAR(Lists!L$22)-YEAR($J55))*12+MONTH(Lists!L$22)-MONTH($J55)))&gt;Lists!L$22)+1)))),N($C55)*IF($AE55-$AD55&lt;1,($AD55&gt;Lists!L$22)*($AD55&lt;=Lists!L$21),MAX(0,MIN(Lists!L$21,$AE55)-MAX(Lists!L$22,$AD55))/($AE55-$AD55))+N($D55)*IF($AG55-$AF55&lt;1,($AF55&gt;Lists!L$22)*($AF55&lt;=Lists!L$21),MAX(0,MIN(Lists!L$21,$AG55)-MAX(Lists!L$22,$AF55))/($AG55-$AF55))+N($E55)*IF($AI55-$AH55&lt;1,($AH55&gt;Lists!L$22)*($AH55&lt;=Lists!L$21),MAX(0,MIN(Lists!L$21,$AI55)-MAX(Lists!L$22,$AH55))/($AI55-$AH55))+N($F55)*IF($AK55-$AJ55&lt;1,($AJ55&gt;Lists!L$22)*($AJ55&lt;=Lists!L$21),MAX(0,MIN(Lists!L$21,$AK55)-MAX(Lists!L$22,$AJ55))/($AK55-$AJ55))+N($G55)*IF($AM55-$AL55&lt;1,($AL55&gt;Lists!L$22)*($AL55&lt;=Lists!L$21),MAX(0,MIN(Lists!L$21,$AM55)-MAX(Lists!L$22,$AL55))/($AM55-$AL55))))))))</f>
        <v>0</v>
      </c>
      <c r="W55" s="53" t="n">
        <f aca="false">IF($H55=0,0,IF($AP55="X",0,IF($AP55="S",$H55/$AO55*(MIN($AO55,MAX(0,INT((Lists!M$21-N($J55))/7)+1))-MIN($AO55,MAX(0,INT((Lists!M$22-N($J55))/7)+1))),IF($AP55="D",$H55*MAX(0,MIN(Lists!M$21,N($J55)+$AO55)-MAX(Lists!M$22,N($J55)))/$AO55,IF($AP55="M",$H55/$AO55*(IF(Lists!M$21&lt;$J55,0,MIN($AO55,(((YEAR(Lists!M$21)-YEAR($J55))*12+MONTH(Lists!M$21)-MONTH($J55))-(EDATE($J55,((YEAR(Lists!M$21)-YEAR($J55))*12+MONTH(Lists!M$21)-MONTH($J55)))&gt;Lists!M$21)+1)))-IF(Lists!M$22&lt;$J55,0,MIN($AO55,(((YEAR(Lists!M$22)-YEAR($J55))*12+MONTH(Lists!M$22)-MONTH($J55))-(EDATE($J55,((YEAR(Lists!M$22)-YEAR($J55))*12+MONTH(Lists!M$22)-MONTH($J55)))&gt;Lists!M$22)+1)))),IF($AP55="F",IF(N($K55)&lt;=0,0,MIN(MAX(0,$H55),N($K55)*IF(Lists!M$21&lt;$J55,0,(((YEAR(Lists!M$21)-YEAR($J55))*12+MONTH(Lists!M$21)-MONTH($J55))-(EDATE($J55,((YEAR(Lists!M$21)-YEAR($J55))*12+MONTH(Lists!M$21)-MONTH($J55)))&gt;Lists!M$21)+1)))-MIN(MAX(0,$H55),N($K55)*IF(Lists!M$22&lt;$J55,0,(((YEAR(Lists!M$22)-YEAR($J55))*12+MONTH(Lists!M$22)-MONTH($J55))-(EDATE($J55,((YEAR(Lists!M$22)-YEAR($J55))*12+MONTH(Lists!M$22)-MONTH($J55)))&gt;Lists!M$22)+1)))),N($C55)*IF($AE55-$AD55&lt;1,($AD55&gt;Lists!M$22)*($AD55&lt;=Lists!M$21),MAX(0,MIN(Lists!M$21,$AE55)-MAX(Lists!M$22,$AD55))/($AE55-$AD55))+N($D55)*IF($AG55-$AF55&lt;1,($AF55&gt;Lists!M$22)*($AF55&lt;=Lists!M$21),MAX(0,MIN(Lists!M$21,$AG55)-MAX(Lists!M$22,$AF55))/($AG55-$AF55))+N($E55)*IF($AI55-$AH55&lt;1,($AH55&gt;Lists!M$22)*($AH55&lt;=Lists!M$21),MAX(0,MIN(Lists!M$21,$AI55)-MAX(Lists!M$22,$AH55))/($AI55-$AH55))+N($F55)*IF($AK55-$AJ55&lt;1,($AJ55&gt;Lists!M$22)*($AJ55&lt;=Lists!M$21),MAX(0,MIN(Lists!M$21,$AK55)-MAX(Lists!M$22,$AJ55))/($AK55-$AJ55))+N($G55)*IF($AM55-$AL55&lt;1,($AL55&gt;Lists!M$22)*($AL55&lt;=Lists!M$21),MAX(0,MIN(Lists!M$21,$AM55)-MAX(Lists!M$22,$AL55))/($AM55-$AL55))))))))</f>
        <v>0</v>
      </c>
      <c r="X55" s="53" t="n">
        <f aca="false">IF($H55=0,0,IF($AP55="X",0,IF($AP55="S",$H55/$AO55*(MIN($AO55,MAX(0,INT((Lists!N$21-N($J55))/7)+1))-MIN($AO55,MAX(0,INT((Lists!N$22-N($J55))/7)+1))),IF($AP55="D",$H55*MAX(0,MIN(Lists!N$21,N($J55)+$AO55)-MAX(Lists!N$22,N($J55)))/$AO55,IF($AP55="M",$H55/$AO55*(IF(Lists!N$21&lt;$J55,0,MIN($AO55,(((YEAR(Lists!N$21)-YEAR($J55))*12+MONTH(Lists!N$21)-MONTH($J55))-(EDATE($J55,((YEAR(Lists!N$21)-YEAR($J55))*12+MONTH(Lists!N$21)-MONTH($J55)))&gt;Lists!N$21)+1)))-IF(Lists!N$22&lt;$J55,0,MIN($AO55,(((YEAR(Lists!N$22)-YEAR($J55))*12+MONTH(Lists!N$22)-MONTH($J55))-(EDATE($J55,((YEAR(Lists!N$22)-YEAR($J55))*12+MONTH(Lists!N$22)-MONTH($J55)))&gt;Lists!N$22)+1)))),IF($AP55="F",IF(N($K55)&lt;=0,0,MIN(MAX(0,$H55),N($K55)*IF(Lists!N$21&lt;$J55,0,(((YEAR(Lists!N$21)-YEAR($J55))*12+MONTH(Lists!N$21)-MONTH($J55))-(EDATE($J55,((YEAR(Lists!N$21)-YEAR($J55))*12+MONTH(Lists!N$21)-MONTH($J55)))&gt;Lists!N$21)+1)))-MIN(MAX(0,$H55),N($K55)*IF(Lists!N$22&lt;$J55,0,(((YEAR(Lists!N$22)-YEAR($J55))*12+MONTH(Lists!N$22)-MONTH($J55))-(EDATE($J55,((YEAR(Lists!N$22)-YEAR($J55))*12+MONTH(Lists!N$22)-MONTH($J55)))&gt;Lists!N$22)+1)))),N($C55)*IF($AE55-$AD55&lt;1,($AD55&gt;Lists!N$22)*($AD55&lt;=Lists!N$21),MAX(0,MIN(Lists!N$21,$AE55)-MAX(Lists!N$22,$AD55))/($AE55-$AD55))+N($D55)*IF($AG55-$AF55&lt;1,($AF55&gt;Lists!N$22)*($AF55&lt;=Lists!N$21),MAX(0,MIN(Lists!N$21,$AG55)-MAX(Lists!N$22,$AF55))/($AG55-$AF55))+N($E55)*IF($AI55-$AH55&lt;1,($AH55&gt;Lists!N$22)*($AH55&lt;=Lists!N$21),MAX(0,MIN(Lists!N$21,$AI55)-MAX(Lists!N$22,$AH55))/($AI55-$AH55))+N($F55)*IF($AK55-$AJ55&lt;1,($AJ55&gt;Lists!N$22)*($AJ55&lt;=Lists!N$21),MAX(0,MIN(Lists!N$21,$AK55)-MAX(Lists!N$22,$AJ55))/($AK55-$AJ55))+N($G55)*IF($AM55-$AL55&lt;1,($AL55&gt;Lists!N$22)*($AL55&lt;=Lists!N$21),MAX(0,MIN(Lists!N$21,$AM55)-MAX(Lists!N$22,$AL55))/($AM55-$AL55))))))))</f>
        <v>0</v>
      </c>
      <c r="Y55" s="53" t="n">
        <f aca="false">IF($H55=0,0,IF($AP55="X",0,IF($AP55="S",$H55/$AO55*(MIN($AO55,MAX(0,INT((Lists!O$21-N($J55))/7)+1))-MIN($AO55,MAX(0,INT((Lists!O$22-N($J55))/7)+1))),IF($AP55="D",$H55*MAX(0,MIN(Lists!O$21,N($J55)+$AO55)-MAX(Lists!O$22,N($J55)))/$AO55,IF($AP55="M",$H55/$AO55*(IF(Lists!O$21&lt;$J55,0,MIN($AO55,(((YEAR(Lists!O$21)-YEAR($J55))*12+MONTH(Lists!O$21)-MONTH($J55))-(EDATE($J55,((YEAR(Lists!O$21)-YEAR($J55))*12+MONTH(Lists!O$21)-MONTH($J55)))&gt;Lists!O$21)+1)))-IF(Lists!O$22&lt;$J55,0,MIN($AO55,(((YEAR(Lists!O$22)-YEAR($J55))*12+MONTH(Lists!O$22)-MONTH($J55))-(EDATE($J55,((YEAR(Lists!O$22)-YEAR($J55))*12+MONTH(Lists!O$22)-MONTH($J55)))&gt;Lists!O$22)+1)))),IF($AP55="F",IF(N($K55)&lt;=0,0,MIN(MAX(0,$H55),N($K55)*IF(Lists!O$21&lt;$J55,0,(((YEAR(Lists!O$21)-YEAR($J55))*12+MONTH(Lists!O$21)-MONTH($J55))-(EDATE($J55,((YEAR(Lists!O$21)-YEAR($J55))*12+MONTH(Lists!O$21)-MONTH($J55)))&gt;Lists!O$21)+1)))-MIN(MAX(0,$H55),N($K55)*IF(Lists!O$22&lt;$J55,0,(((YEAR(Lists!O$22)-YEAR($J55))*12+MONTH(Lists!O$22)-MONTH($J55))-(EDATE($J55,((YEAR(Lists!O$22)-YEAR($J55))*12+MONTH(Lists!O$22)-MONTH($J55)))&gt;Lists!O$22)+1)))),N($C55)*IF($AE55-$AD55&lt;1,($AD55&gt;Lists!O$22)*($AD55&lt;=Lists!O$21),MAX(0,MIN(Lists!O$21,$AE55)-MAX(Lists!O$22,$AD55))/($AE55-$AD55))+N($D55)*IF($AG55-$AF55&lt;1,($AF55&gt;Lists!O$22)*($AF55&lt;=Lists!O$21),MAX(0,MIN(Lists!O$21,$AG55)-MAX(Lists!O$22,$AF55))/($AG55-$AF55))+N($E55)*IF($AI55-$AH55&lt;1,($AH55&gt;Lists!O$22)*($AH55&lt;=Lists!O$21),MAX(0,MIN(Lists!O$21,$AI55)-MAX(Lists!O$22,$AH55))/($AI55-$AH55))+N($F55)*IF($AK55-$AJ55&lt;1,($AJ55&gt;Lists!O$22)*($AJ55&lt;=Lists!O$21),MAX(0,MIN(Lists!O$21,$AK55)-MAX(Lists!O$22,$AJ55))/($AK55-$AJ55))+N($G55)*IF($AM55-$AL55&lt;1,($AL55&gt;Lists!O$22)*($AL55&lt;=Lists!O$21),MAX(0,MIN(Lists!O$21,$AM55)-MAX(Lists!O$22,$AL55))/($AM55-$AL55))))))))</f>
        <v>0</v>
      </c>
      <c r="Z55" s="46" t="n">
        <f aca="false">SUM(M55:Y55)</f>
        <v>0</v>
      </c>
      <c r="AA55" s="92" t="n">
        <f aca="false">H55-Z55</f>
        <v>0</v>
      </c>
      <c r="AB55" s="55"/>
      <c r="AC55" s="2"/>
      <c r="AD55" s="93" t="n">
        <f aca="false">Setup!$D$10+MAX(0,$AN55-30)</f>
        <v>46365</v>
      </c>
      <c r="AE55" s="93" t="n">
        <f aca="false">Setup!$D$10+IF($AN55-30&lt;0,MAX(Setup!$D$22,$AN55-0),$AN55-0)</f>
        <v>46395</v>
      </c>
      <c r="AF55" s="93" t="n">
        <f aca="false">Setup!$D$10+MAX(0,$AN55-60)</f>
        <v>46335</v>
      </c>
      <c r="AG55" s="93" t="n">
        <f aca="false">Setup!$D$10+IF($AN55-60&lt;0,MAX(Setup!$D$22,$AN55-31),$AN55-31)</f>
        <v>46364</v>
      </c>
      <c r="AH55" s="93" t="n">
        <f aca="false">Setup!$D$10+MAX(0,$AN55-90)</f>
        <v>46335</v>
      </c>
      <c r="AI55" s="93" t="n">
        <f aca="false">Setup!$D$10+IF($AN55-90&lt;0,MAX(Setup!$D$22,$AN55-61),$AN55-61)</f>
        <v>46363</v>
      </c>
      <c r="AJ55" s="93" t="n">
        <f aca="false">Setup!$D$10+MAX(0,$AN55-120)</f>
        <v>46335</v>
      </c>
      <c r="AK55" s="93" t="n">
        <f aca="false">Setup!$D$10+IF($AN55-120&lt;0,MAX(Setup!$D$22,$AN55-91),$AN55-91)</f>
        <v>46363</v>
      </c>
      <c r="AL55" s="93" t="n">
        <f aca="false">IF(Setup!$D$23="Yes",2958465,Setup!$D$10)</f>
        <v>2958465</v>
      </c>
      <c r="AM55" s="93" t="n">
        <f aca="false">IF(AL55=2958465,AL55,Setup!$D$10+Setup!$D$22)</f>
        <v>2958465</v>
      </c>
      <c r="AN55" s="94" t="n">
        <f aca="false">IF(N(L55)=0,Setup!$D$20,L55)</f>
        <v>60</v>
      </c>
      <c r="AO55" s="94" t="n">
        <f aca="false">MAX(1,ROUND(N(K55),0))</f>
        <v>1</v>
      </c>
      <c r="AP55" s="95" t="str">
        <f aca="false">IF(I55="Doubtful","X",IF(N(J55)=0,"A",IF(I55="Specific date","S",IF(I55="Spread over days","D",IF(I55="Monthly on set day","M",IF(I55="Monthly fixed amount","F","A"))))))</f>
        <v>A</v>
      </c>
    </row>
    <row r="56" customFormat="false" ht="15" hidden="false" customHeight="false" outlineLevel="0" collapsed="false">
      <c r="A56" s="87" t="n">
        <v>48</v>
      </c>
      <c r="B56" s="55"/>
      <c r="C56" s="88"/>
      <c r="D56" s="88"/>
      <c r="E56" s="88"/>
      <c r="F56" s="88"/>
      <c r="G56" s="88"/>
      <c r="H56" s="89" t="n">
        <f aca="false">SUM(C56:G56)</f>
        <v>0</v>
      </c>
      <c r="I56" s="58"/>
      <c r="J56" s="90"/>
      <c r="K56" s="91"/>
      <c r="L56" s="80"/>
      <c r="M56" s="53" t="n">
        <f aca="false">IF($H56=0,0,IF($AP56="X",0,IF($AP56="S",$H56/$AO56*(MIN($AO56,MAX(0,INT((Lists!C$21-N($J56))/7)+1))-MIN($AO56,MAX(0,INT((Lists!C$22-N($J56))/7)+1))),IF($AP56="D",$H56*MAX(0,MIN(Lists!C$21,N($J56)+$AO56)-MAX(Lists!C$22,N($J56)))/$AO56,IF($AP56="M",$H56/$AO56*(IF(Lists!C$21&lt;$J56,0,MIN($AO56,(((YEAR(Lists!C$21)-YEAR($J56))*12+MONTH(Lists!C$21)-MONTH($J56))-(EDATE($J56,((YEAR(Lists!C$21)-YEAR($J56))*12+MONTH(Lists!C$21)-MONTH($J56)))&gt;Lists!C$21)+1)))-IF(Lists!C$22&lt;$J56,0,MIN($AO56,(((YEAR(Lists!C$22)-YEAR($J56))*12+MONTH(Lists!C$22)-MONTH($J56))-(EDATE($J56,((YEAR(Lists!C$22)-YEAR($J56))*12+MONTH(Lists!C$22)-MONTH($J56)))&gt;Lists!C$22)+1)))),IF($AP56="F",IF(N($K56)&lt;=0,0,MIN(MAX(0,$H56),N($K56)*IF(Lists!C$21&lt;$J56,0,(((YEAR(Lists!C$21)-YEAR($J56))*12+MONTH(Lists!C$21)-MONTH($J56))-(EDATE($J56,((YEAR(Lists!C$21)-YEAR($J56))*12+MONTH(Lists!C$21)-MONTH($J56)))&gt;Lists!C$21)+1)))-MIN(MAX(0,$H56),N($K56)*IF(Lists!C$22&lt;$J56,0,(((YEAR(Lists!C$22)-YEAR($J56))*12+MONTH(Lists!C$22)-MONTH($J56))-(EDATE($J56,((YEAR(Lists!C$22)-YEAR($J56))*12+MONTH(Lists!C$22)-MONTH($J56)))&gt;Lists!C$22)+1)))),N($C56)*IF($AE56-$AD56&lt;1,($AD56&gt;Lists!C$22)*($AD56&lt;=Lists!C$21),MAX(0,MIN(Lists!C$21,$AE56)-MAX(Lists!C$22,$AD56))/($AE56-$AD56))+N($D56)*IF($AG56-$AF56&lt;1,($AF56&gt;Lists!C$22)*($AF56&lt;=Lists!C$21),MAX(0,MIN(Lists!C$21,$AG56)-MAX(Lists!C$22,$AF56))/($AG56-$AF56))+N($E56)*IF($AI56-$AH56&lt;1,($AH56&gt;Lists!C$22)*($AH56&lt;=Lists!C$21),MAX(0,MIN(Lists!C$21,$AI56)-MAX(Lists!C$22,$AH56))/($AI56-$AH56))+N($F56)*IF($AK56-$AJ56&lt;1,($AJ56&gt;Lists!C$22)*($AJ56&lt;=Lists!C$21),MAX(0,MIN(Lists!C$21,$AK56)-MAX(Lists!C$22,$AJ56))/($AK56-$AJ56))+N($G56)*IF($AM56-$AL56&lt;1,($AL56&gt;Lists!C$22)*($AL56&lt;=Lists!C$21),MAX(0,MIN(Lists!C$21,$AM56)-MAX(Lists!C$22,$AL56))/($AM56-$AL56))))))))</f>
        <v>0</v>
      </c>
      <c r="N56" s="53" t="n">
        <f aca="false">IF($H56=0,0,IF($AP56="X",0,IF($AP56="S",$H56/$AO56*(MIN($AO56,MAX(0,INT((Lists!D$21-N($J56))/7)+1))-MIN($AO56,MAX(0,INT((Lists!D$22-N($J56))/7)+1))),IF($AP56="D",$H56*MAX(0,MIN(Lists!D$21,N($J56)+$AO56)-MAX(Lists!D$22,N($J56)))/$AO56,IF($AP56="M",$H56/$AO56*(IF(Lists!D$21&lt;$J56,0,MIN($AO56,(((YEAR(Lists!D$21)-YEAR($J56))*12+MONTH(Lists!D$21)-MONTH($J56))-(EDATE($J56,((YEAR(Lists!D$21)-YEAR($J56))*12+MONTH(Lists!D$21)-MONTH($J56)))&gt;Lists!D$21)+1)))-IF(Lists!D$22&lt;$J56,0,MIN($AO56,(((YEAR(Lists!D$22)-YEAR($J56))*12+MONTH(Lists!D$22)-MONTH($J56))-(EDATE($J56,((YEAR(Lists!D$22)-YEAR($J56))*12+MONTH(Lists!D$22)-MONTH($J56)))&gt;Lists!D$22)+1)))),IF($AP56="F",IF(N($K56)&lt;=0,0,MIN(MAX(0,$H56),N($K56)*IF(Lists!D$21&lt;$J56,0,(((YEAR(Lists!D$21)-YEAR($J56))*12+MONTH(Lists!D$21)-MONTH($J56))-(EDATE($J56,((YEAR(Lists!D$21)-YEAR($J56))*12+MONTH(Lists!D$21)-MONTH($J56)))&gt;Lists!D$21)+1)))-MIN(MAX(0,$H56),N($K56)*IF(Lists!D$22&lt;$J56,0,(((YEAR(Lists!D$22)-YEAR($J56))*12+MONTH(Lists!D$22)-MONTH($J56))-(EDATE($J56,((YEAR(Lists!D$22)-YEAR($J56))*12+MONTH(Lists!D$22)-MONTH($J56)))&gt;Lists!D$22)+1)))),N($C56)*IF($AE56-$AD56&lt;1,($AD56&gt;Lists!D$22)*($AD56&lt;=Lists!D$21),MAX(0,MIN(Lists!D$21,$AE56)-MAX(Lists!D$22,$AD56))/($AE56-$AD56))+N($D56)*IF($AG56-$AF56&lt;1,($AF56&gt;Lists!D$22)*($AF56&lt;=Lists!D$21),MAX(0,MIN(Lists!D$21,$AG56)-MAX(Lists!D$22,$AF56))/($AG56-$AF56))+N($E56)*IF($AI56-$AH56&lt;1,($AH56&gt;Lists!D$22)*($AH56&lt;=Lists!D$21),MAX(0,MIN(Lists!D$21,$AI56)-MAX(Lists!D$22,$AH56))/($AI56-$AH56))+N($F56)*IF($AK56-$AJ56&lt;1,($AJ56&gt;Lists!D$22)*($AJ56&lt;=Lists!D$21),MAX(0,MIN(Lists!D$21,$AK56)-MAX(Lists!D$22,$AJ56))/($AK56-$AJ56))+N($G56)*IF($AM56-$AL56&lt;1,($AL56&gt;Lists!D$22)*($AL56&lt;=Lists!D$21),MAX(0,MIN(Lists!D$21,$AM56)-MAX(Lists!D$22,$AL56))/($AM56-$AL56))))))))</f>
        <v>0</v>
      </c>
      <c r="O56" s="53" t="n">
        <f aca="false">IF($H56=0,0,IF($AP56="X",0,IF($AP56="S",$H56/$AO56*(MIN($AO56,MAX(0,INT((Lists!E$21-N($J56))/7)+1))-MIN($AO56,MAX(0,INT((Lists!E$22-N($J56))/7)+1))),IF($AP56="D",$H56*MAX(0,MIN(Lists!E$21,N($J56)+$AO56)-MAX(Lists!E$22,N($J56)))/$AO56,IF($AP56="M",$H56/$AO56*(IF(Lists!E$21&lt;$J56,0,MIN($AO56,(((YEAR(Lists!E$21)-YEAR($J56))*12+MONTH(Lists!E$21)-MONTH($J56))-(EDATE($J56,((YEAR(Lists!E$21)-YEAR($J56))*12+MONTH(Lists!E$21)-MONTH($J56)))&gt;Lists!E$21)+1)))-IF(Lists!E$22&lt;$J56,0,MIN($AO56,(((YEAR(Lists!E$22)-YEAR($J56))*12+MONTH(Lists!E$22)-MONTH($J56))-(EDATE($J56,((YEAR(Lists!E$22)-YEAR($J56))*12+MONTH(Lists!E$22)-MONTH($J56)))&gt;Lists!E$22)+1)))),IF($AP56="F",IF(N($K56)&lt;=0,0,MIN(MAX(0,$H56),N($K56)*IF(Lists!E$21&lt;$J56,0,(((YEAR(Lists!E$21)-YEAR($J56))*12+MONTH(Lists!E$21)-MONTH($J56))-(EDATE($J56,((YEAR(Lists!E$21)-YEAR($J56))*12+MONTH(Lists!E$21)-MONTH($J56)))&gt;Lists!E$21)+1)))-MIN(MAX(0,$H56),N($K56)*IF(Lists!E$22&lt;$J56,0,(((YEAR(Lists!E$22)-YEAR($J56))*12+MONTH(Lists!E$22)-MONTH($J56))-(EDATE($J56,((YEAR(Lists!E$22)-YEAR($J56))*12+MONTH(Lists!E$22)-MONTH($J56)))&gt;Lists!E$22)+1)))),N($C56)*IF($AE56-$AD56&lt;1,($AD56&gt;Lists!E$22)*($AD56&lt;=Lists!E$21),MAX(0,MIN(Lists!E$21,$AE56)-MAX(Lists!E$22,$AD56))/($AE56-$AD56))+N($D56)*IF($AG56-$AF56&lt;1,($AF56&gt;Lists!E$22)*($AF56&lt;=Lists!E$21),MAX(0,MIN(Lists!E$21,$AG56)-MAX(Lists!E$22,$AF56))/($AG56-$AF56))+N($E56)*IF($AI56-$AH56&lt;1,($AH56&gt;Lists!E$22)*($AH56&lt;=Lists!E$21),MAX(0,MIN(Lists!E$21,$AI56)-MAX(Lists!E$22,$AH56))/($AI56-$AH56))+N($F56)*IF($AK56-$AJ56&lt;1,($AJ56&gt;Lists!E$22)*($AJ56&lt;=Lists!E$21),MAX(0,MIN(Lists!E$21,$AK56)-MAX(Lists!E$22,$AJ56))/($AK56-$AJ56))+N($G56)*IF($AM56-$AL56&lt;1,($AL56&gt;Lists!E$22)*($AL56&lt;=Lists!E$21),MAX(0,MIN(Lists!E$21,$AM56)-MAX(Lists!E$22,$AL56))/($AM56-$AL56))))))))</f>
        <v>0</v>
      </c>
      <c r="P56" s="53" t="n">
        <f aca="false">IF($H56=0,0,IF($AP56="X",0,IF($AP56="S",$H56/$AO56*(MIN($AO56,MAX(0,INT((Lists!F$21-N($J56))/7)+1))-MIN($AO56,MAX(0,INT((Lists!F$22-N($J56))/7)+1))),IF($AP56="D",$H56*MAX(0,MIN(Lists!F$21,N($J56)+$AO56)-MAX(Lists!F$22,N($J56)))/$AO56,IF($AP56="M",$H56/$AO56*(IF(Lists!F$21&lt;$J56,0,MIN($AO56,(((YEAR(Lists!F$21)-YEAR($J56))*12+MONTH(Lists!F$21)-MONTH($J56))-(EDATE($J56,((YEAR(Lists!F$21)-YEAR($J56))*12+MONTH(Lists!F$21)-MONTH($J56)))&gt;Lists!F$21)+1)))-IF(Lists!F$22&lt;$J56,0,MIN($AO56,(((YEAR(Lists!F$22)-YEAR($J56))*12+MONTH(Lists!F$22)-MONTH($J56))-(EDATE($J56,((YEAR(Lists!F$22)-YEAR($J56))*12+MONTH(Lists!F$22)-MONTH($J56)))&gt;Lists!F$22)+1)))),IF($AP56="F",IF(N($K56)&lt;=0,0,MIN(MAX(0,$H56),N($K56)*IF(Lists!F$21&lt;$J56,0,(((YEAR(Lists!F$21)-YEAR($J56))*12+MONTH(Lists!F$21)-MONTH($J56))-(EDATE($J56,((YEAR(Lists!F$21)-YEAR($J56))*12+MONTH(Lists!F$21)-MONTH($J56)))&gt;Lists!F$21)+1)))-MIN(MAX(0,$H56),N($K56)*IF(Lists!F$22&lt;$J56,0,(((YEAR(Lists!F$22)-YEAR($J56))*12+MONTH(Lists!F$22)-MONTH($J56))-(EDATE($J56,((YEAR(Lists!F$22)-YEAR($J56))*12+MONTH(Lists!F$22)-MONTH($J56)))&gt;Lists!F$22)+1)))),N($C56)*IF($AE56-$AD56&lt;1,($AD56&gt;Lists!F$22)*($AD56&lt;=Lists!F$21),MAX(0,MIN(Lists!F$21,$AE56)-MAX(Lists!F$22,$AD56))/($AE56-$AD56))+N($D56)*IF($AG56-$AF56&lt;1,($AF56&gt;Lists!F$22)*($AF56&lt;=Lists!F$21),MAX(0,MIN(Lists!F$21,$AG56)-MAX(Lists!F$22,$AF56))/($AG56-$AF56))+N($E56)*IF($AI56-$AH56&lt;1,($AH56&gt;Lists!F$22)*($AH56&lt;=Lists!F$21),MAX(0,MIN(Lists!F$21,$AI56)-MAX(Lists!F$22,$AH56))/($AI56-$AH56))+N($F56)*IF($AK56-$AJ56&lt;1,($AJ56&gt;Lists!F$22)*($AJ56&lt;=Lists!F$21),MAX(0,MIN(Lists!F$21,$AK56)-MAX(Lists!F$22,$AJ56))/($AK56-$AJ56))+N($G56)*IF($AM56-$AL56&lt;1,($AL56&gt;Lists!F$22)*($AL56&lt;=Lists!F$21),MAX(0,MIN(Lists!F$21,$AM56)-MAX(Lists!F$22,$AL56))/($AM56-$AL56))))))))</f>
        <v>0</v>
      </c>
      <c r="Q56" s="53" t="n">
        <f aca="false">IF($H56=0,0,IF($AP56="X",0,IF($AP56="S",$H56/$AO56*(MIN($AO56,MAX(0,INT((Lists!G$21-N($J56))/7)+1))-MIN($AO56,MAX(0,INT((Lists!G$22-N($J56))/7)+1))),IF($AP56="D",$H56*MAX(0,MIN(Lists!G$21,N($J56)+$AO56)-MAX(Lists!G$22,N($J56)))/$AO56,IF($AP56="M",$H56/$AO56*(IF(Lists!G$21&lt;$J56,0,MIN($AO56,(((YEAR(Lists!G$21)-YEAR($J56))*12+MONTH(Lists!G$21)-MONTH($J56))-(EDATE($J56,((YEAR(Lists!G$21)-YEAR($J56))*12+MONTH(Lists!G$21)-MONTH($J56)))&gt;Lists!G$21)+1)))-IF(Lists!G$22&lt;$J56,0,MIN($AO56,(((YEAR(Lists!G$22)-YEAR($J56))*12+MONTH(Lists!G$22)-MONTH($J56))-(EDATE($J56,((YEAR(Lists!G$22)-YEAR($J56))*12+MONTH(Lists!G$22)-MONTH($J56)))&gt;Lists!G$22)+1)))),IF($AP56="F",IF(N($K56)&lt;=0,0,MIN(MAX(0,$H56),N($K56)*IF(Lists!G$21&lt;$J56,0,(((YEAR(Lists!G$21)-YEAR($J56))*12+MONTH(Lists!G$21)-MONTH($J56))-(EDATE($J56,((YEAR(Lists!G$21)-YEAR($J56))*12+MONTH(Lists!G$21)-MONTH($J56)))&gt;Lists!G$21)+1)))-MIN(MAX(0,$H56),N($K56)*IF(Lists!G$22&lt;$J56,0,(((YEAR(Lists!G$22)-YEAR($J56))*12+MONTH(Lists!G$22)-MONTH($J56))-(EDATE($J56,((YEAR(Lists!G$22)-YEAR($J56))*12+MONTH(Lists!G$22)-MONTH($J56)))&gt;Lists!G$22)+1)))),N($C56)*IF($AE56-$AD56&lt;1,($AD56&gt;Lists!G$22)*($AD56&lt;=Lists!G$21),MAX(0,MIN(Lists!G$21,$AE56)-MAX(Lists!G$22,$AD56))/($AE56-$AD56))+N($D56)*IF($AG56-$AF56&lt;1,($AF56&gt;Lists!G$22)*($AF56&lt;=Lists!G$21),MAX(0,MIN(Lists!G$21,$AG56)-MAX(Lists!G$22,$AF56))/($AG56-$AF56))+N($E56)*IF($AI56-$AH56&lt;1,($AH56&gt;Lists!G$22)*($AH56&lt;=Lists!G$21),MAX(0,MIN(Lists!G$21,$AI56)-MAX(Lists!G$22,$AH56))/($AI56-$AH56))+N($F56)*IF($AK56-$AJ56&lt;1,($AJ56&gt;Lists!G$22)*($AJ56&lt;=Lists!G$21),MAX(0,MIN(Lists!G$21,$AK56)-MAX(Lists!G$22,$AJ56))/($AK56-$AJ56))+N($G56)*IF($AM56-$AL56&lt;1,($AL56&gt;Lists!G$22)*($AL56&lt;=Lists!G$21),MAX(0,MIN(Lists!G$21,$AM56)-MAX(Lists!G$22,$AL56))/($AM56-$AL56))))))))</f>
        <v>0</v>
      </c>
      <c r="R56" s="53" t="n">
        <f aca="false">IF($H56=0,0,IF($AP56="X",0,IF($AP56="S",$H56/$AO56*(MIN($AO56,MAX(0,INT((Lists!H$21-N($J56))/7)+1))-MIN($AO56,MAX(0,INT((Lists!H$22-N($J56))/7)+1))),IF($AP56="D",$H56*MAX(0,MIN(Lists!H$21,N($J56)+$AO56)-MAX(Lists!H$22,N($J56)))/$AO56,IF($AP56="M",$H56/$AO56*(IF(Lists!H$21&lt;$J56,0,MIN($AO56,(((YEAR(Lists!H$21)-YEAR($J56))*12+MONTH(Lists!H$21)-MONTH($J56))-(EDATE($J56,((YEAR(Lists!H$21)-YEAR($J56))*12+MONTH(Lists!H$21)-MONTH($J56)))&gt;Lists!H$21)+1)))-IF(Lists!H$22&lt;$J56,0,MIN($AO56,(((YEAR(Lists!H$22)-YEAR($J56))*12+MONTH(Lists!H$22)-MONTH($J56))-(EDATE($J56,((YEAR(Lists!H$22)-YEAR($J56))*12+MONTH(Lists!H$22)-MONTH($J56)))&gt;Lists!H$22)+1)))),IF($AP56="F",IF(N($K56)&lt;=0,0,MIN(MAX(0,$H56),N($K56)*IF(Lists!H$21&lt;$J56,0,(((YEAR(Lists!H$21)-YEAR($J56))*12+MONTH(Lists!H$21)-MONTH($J56))-(EDATE($J56,((YEAR(Lists!H$21)-YEAR($J56))*12+MONTH(Lists!H$21)-MONTH($J56)))&gt;Lists!H$21)+1)))-MIN(MAX(0,$H56),N($K56)*IF(Lists!H$22&lt;$J56,0,(((YEAR(Lists!H$22)-YEAR($J56))*12+MONTH(Lists!H$22)-MONTH($J56))-(EDATE($J56,((YEAR(Lists!H$22)-YEAR($J56))*12+MONTH(Lists!H$22)-MONTH($J56)))&gt;Lists!H$22)+1)))),N($C56)*IF($AE56-$AD56&lt;1,($AD56&gt;Lists!H$22)*($AD56&lt;=Lists!H$21),MAX(0,MIN(Lists!H$21,$AE56)-MAX(Lists!H$22,$AD56))/($AE56-$AD56))+N($D56)*IF($AG56-$AF56&lt;1,($AF56&gt;Lists!H$22)*($AF56&lt;=Lists!H$21),MAX(0,MIN(Lists!H$21,$AG56)-MAX(Lists!H$22,$AF56))/($AG56-$AF56))+N($E56)*IF($AI56-$AH56&lt;1,($AH56&gt;Lists!H$22)*($AH56&lt;=Lists!H$21),MAX(0,MIN(Lists!H$21,$AI56)-MAX(Lists!H$22,$AH56))/($AI56-$AH56))+N($F56)*IF($AK56-$AJ56&lt;1,($AJ56&gt;Lists!H$22)*($AJ56&lt;=Lists!H$21),MAX(0,MIN(Lists!H$21,$AK56)-MAX(Lists!H$22,$AJ56))/($AK56-$AJ56))+N($G56)*IF($AM56-$AL56&lt;1,($AL56&gt;Lists!H$22)*($AL56&lt;=Lists!H$21),MAX(0,MIN(Lists!H$21,$AM56)-MAX(Lists!H$22,$AL56))/($AM56-$AL56))))))))</f>
        <v>0</v>
      </c>
      <c r="S56" s="53" t="n">
        <f aca="false">IF($H56=0,0,IF($AP56="X",0,IF($AP56="S",$H56/$AO56*(MIN($AO56,MAX(0,INT((Lists!I$21-N($J56))/7)+1))-MIN($AO56,MAX(0,INT((Lists!I$22-N($J56))/7)+1))),IF($AP56="D",$H56*MAX(0,MIN(Lists!I$21,N($J56)+$AO56)-MAX(Lists!I$22,N($J56)))/$AO56,IF($AP56="M",$H56/$AO56*(IF(Lists!I$21&lt;$J56,0,MIN($AO56,(((YEAR(Lists!I$21)-YEAR($J56))*12+MONTH(Lists!I$21)-MONTH($J56))-(EDATE($J56,((YEAR(Lists!I$21)-YEAR($J56))*12+MONTH(Lists!I$21)-MONTH($J56)))&gt;Lists!I$21)+1)))-IF(Lists!I$22&lt;$J56,0,MIN($AO56,(((YEAR(Lists!I$22)-YEAR($J56))*12+MONTH(Lists!I$22)-MONTH($J56))-(EDATE($J56,((YEAR(Lists!I$22)-YEAR($J56))*12+MONTH(Lists!I$22)-MONTH($J56)))&gt;Lists!I$22)+1)))),IF($AP56="F",IF(N($K56)&lt;=0,0,MIN(MAX(0,$H56),N($K56)*IF(Lists!I$21&lt;$J56,0,(((YEAR(Lists!I$21)-YEAR($J56))*12+MONTH(Lists!I$21)-MONTH($J56))-(EDATE($J56,((YEAR(Lists!I$21)-YEAR($J56))*12+MONTH(Lists!I$21)-MONTH($J56)))&gt;Lists!I$21)+1)))-MIN(MAX(0,$H56),N($K56)*IF(Lists!I$22&lt;$J56,0,(((YEAR(Lists!I$22)-YEAR($J56))*12+MONTH(Lists!I$22)-MONTH($J56))-(EDATE($J56,((YEAR(Lists!I$22)-YEAR($J56))*12+MONTH(Lists!I$22)-MONTH($J56)))&gt;Lists!I$22)+1)))),N($C56)*IF($AE56-$AD56&lt;1,($AD56&gt;Lists!I$22)*($AD56&lt;=Lists!I$21),MAX(0,MIN(Lists!I$21,$AE56)-MAX(Lists!I$22,$AD56))/($AE56-$AD56))+N($D56)*IF($AG56-$AF56&lt;1,($AF56&gt;Lists!I$22)*($AF56&lt;=Lists!I$21),MAX(0,MIN(Lists!I$21,$AG56)-MAX(Lists!I$22,$AF56))/($AG56-$AF56))+N($E56)*IF($AI56-$AH56&lt;1,($AH56&gt;Lists!I$22)*($AH56&lt;=Lists!I$21),MAX(0,MIN(Lists!I$21,$AI56)-MAX(Lists!I$22,$AH56))/($AI56-$AH56))+N($F56)*IF($AK56-$AJ56&lt;1,($AJ56&gt;Lists!I$22)*($AJ56&lt;=Lists!I$21),MAX(0,MIN(Lists!I$21,$AK56)-MAX(Lists!I$22,$AJ56))/($AK56-$AJ56))+N($G56)*IF($AM56-$AL56&lt;1,($AL56&gt;Lists!I$22)*($AL56&lt;=Lists!I$21),MAX(0,MIN(Lists!I$21,$AM56)-MAX(Lists!I$22,$AL56))/($AM56-$AL56))))))))</f>
        <v>0</v>
      </c>
      <c r="T56" s="53" t="n">
        <f aca="false">IF($H56=0,0,IF($AP56="X",0,IF($AP56="S",$H56/$AO56*(MIN($AO56,MAX(0,INT((Lists!J$21-N($J56))/7)+1))-MIN($AO56,MAX(0,INT((Lists!J$22-N($J56))/7)+1))),IF($AP56="D",$H56*MAX(0,MIN(Lists!J$21,N($J56)+$AO56)-MAX(Lists!J$22,N($J56)))/$AO56,IF($AP56="M",$H56/$AO56*(IF(Lists!J$21&lt;$J56,0,MIN($AO56,(((YEAR(Lists!J$21)-YEAR($J56))*12+MONTH(Lists!J$21)-MONTH($J56))-(EDATE($J56,((YEAR(Lists!J$21)-YEAR($J56))*12+MONTH(Lists!J$21)-MONTH($J56)))&gt;Lists!J$21)+1)))-IF(Lists!J$22&lt;$J56,0,MIN($AO56,(((YEAR(Lists!J$22)-YEAR($J56))*12+MONTH(Lists!J$22)-MONTH($J56))-(EDATE($J56,((YEAR(Lists!J$22)-YEAR($J56))*12+MONTH(Lists!J$22)-MONTH($J56)))&gt;Lists!J$22)+1)))),IF($AP56="F",IF(N($K56)&lt;=0,0,MIN(MAX(0,$H56),N($K56)*IF(Lists!J$21&lt;$J56,0,(((YEAR(Lists!J$21)-YEAR($J56))*12+MONTH(Lists!J$21)-MONTH($J56))-(EDATE($J56,((YEAR(Lists!J$21)-YEAR($J56))*12+MONTH(Lists!J$21)-MONTH($J56)))&gt;Lists!J$21)+1)))-MIN(MAX(0,$H56),N($K56)*IF(Lists!J$22&lt;$J56,0,(((YEAR(Lists!J$22)-YEAR($J56))*12+MONTH(Lists!J$22)-MONTH($J56))-(EDATE($J56,((YEAR(Lists!J$22)-YEAR($J56))*12+MONTH(Lists!J$22)-MONTH($J56)))&gt;Lists!J$22)+1)))),N($C56)*IF($AE56-$AD56&lt;1,($AD56&gt;Lists!J$22)*($AD56&lt;=Lists!J$21),MAX(0,MIN(Lists!J$21,$AE56)-MAX(Lists!J$22,$AD56))/($AE56-$AD56))+N($D56)*IF($AG56-$AF56&lt;1,($AF56&gt;Lists!J$22)*($AF56&lt;=Lists!J$21),MAX(0,MIN(Lists!J$21,$AG56)-MAX(Lists!J$22,$AF56))/($AG56-$AF56))+N($E56)*IF($AI56-$AH56&lt;1,($AH56&gt;Lists!J$22)*($AH56&lt;=Lists!J$21),MAX(0,MIN(Lists!J$21,$AI56)-MAX(Lists!J$22,$AH56))/($AI56-$AH56))+N($F56)*IF($AK56-$AJ56&lt;1,($AJ56&gt;Lists!J$22)*($AJ56&lt;=Lists!J$21),MAX(0,MIN(Lists!J$21,$AK56)-MAX(Lists!J$22,$AJ56))/($AK56-$AJ56))+N($G56)*IF($AM56-$AL56&lt;1,($AL56&gt;Lists!J$22)*($AL56&lt;=Lists!J$21),MAX(0,MIN(Lists!J$21,$AM56)-MAX(Lists!J$22,$AL56))/($AM56-$AL56))))))))</f>
        <v>0</v>
      </c>
      <c r="U56" s="53" t="n">
        <f aca="false">IF($H56=0,0,IF($AP56="X",0,IF($AP56="S",$H56/$AO56*(MIN($AO56,MAX(0,INT((Lists!K$21-N($J56))/7)+1))-MIN($AO56,MAX(0,INT((Lists!K$22-N($J56))/7)+1))),IF($AP56="D",$H56*MAX(0,MIN(Lists!K$21,N($J56)+$AO56)-MAX(Lists!K$22,N($J56)))/$AO56,IF($AP56="M",$H56/$AO56*(IF(Lists!K$21&lt;$J56,0,MIN($AO56,(((YEAR(Lists!K$21)-YEAR($J56))*12+MONTH(Lists!K$21)-MONTH($J56))-(EDATE($J56,((YEAR(Lists!K$21)-YEAR($J56))*12+MONTH(Lists!K$21)-MONTH($J56)))&gt;Lists!K$21)+1)))-IF(Lists!K$22&lt;$J56,0,MIN($AO56,(((YEAR(Lists!K$22)-YEAR($J56))*12+MONTH(Lists!K$22)-MONTH($J56))-(EDATE($J56,((YEAR(Lists!K$22)-YEAR($J56))*12+MONTH(Lists!K$22)-MONTH($J56)))&gt;Lists!K$22)+1)))),IF($AP56="F",IF(N($K56)&lt;=0,0,MIN(MAX(0,$H56),N($K56)*IF(Lists!K$21&lt;$J56,0,(((YEAR(Lists!K$21)-YEAR($J56))*12+MONTH(Lists!K$21)-MONTH($J56))-(EDATE($J56,((YEAR(Lists!K$21)-YEAR($J56))*12+MONTH(Lists!K$21)-MONTH($J56)))&gt;Lists!K$21)+1)))-MIN(MAX(0,$H56),N($K56)*IF(Lists!K$22&lt;$J56,0,(((YEAR(Lists!K$22)-YEAR($J56))*12+MONTH(Lists!K$22)-MONTH($J56))-(EDATE($J56,((YEAR(Lists!K$22)-YEAR($J56))*12+MONTH(Lists!K$22)-MONTH($J56)))&gt;Lists!K$22)+1)))),N($C56)*IF($AE56-$AD56&lt;1,($AD56&gt;Lists!K$22)*($AD56&lt;=Lists!K$21),MAX(0,MIN(Lists!K$21,$AE56)-MAX(Lists!K$22,$AD56))/($AE56-$AD56))+N($D56)*IF($AG56-$AF56&lt;1,($AF56&gt;Lists!K$22)*($AF56&lt;=Lists!K$21),MAX(0,MIN(Lists!K$21,$AG56)-MAX(Lists!K$22,$AF56))/($AG56-$AF56))+N($E56)*IF($AI56-$AH56&lt;1,($AH56&gt;Lists!K$22)*($AH56&lt;=Lists!K$21),MAX(0,MIN(Lists!K$21,$AI56)-MAX(Lists!K$22,$AH56))/($AI56-$AH56))+N($F56)*IF($AK56-$AJ56&lt;1,($AJ56&gt;Lists!K$22)*($AJ56&lt;=Lists!K$21),MAX(0,MIN(Lists!K$21,$AK56)-MAX(Lists!K$22,$AJ56))/($AK56-$AJ56))+N($G56)*IF($AM56-$AL56&lt;1,($AL56&gt;Lists!K$22)*($AL56&lt;=Lists!K$21),MAX(0,MIN(Lists!K$21,$AM56)-MAX(Lists!K$22,$AL56))/($AM56-$AL56))))))))</f>
        <v>0</v>
      </c>
      <c r="V56" s="53" t="n">
        <f aca="false">IF($H56=0,0,IF($AP56="X",0,IF($AP56="S",$H56/$AO56*(MIN($AO56,MAX(0,INT((Lists!L$21-N($J56))/7)+1))-MIN($AO56,MAX(0,INT((Lists!L$22-N($J56))/7)+1))),IF($AP56="D",$H56*MAX(0,MIN(Lists!L$21,N($J56)+$AO56)-MAX(Lists!L$22,N($J56)))/$AO56,IF($AP56="M",$H56/$AO56*(IF(Lists!L$21&lt;$J56,0,MIN($AO56,(((YEAR(Lists!L$21)-YEAR($J56))*12+MONTH(Lists!L$21)-MONTH($J56))-(EDATE($J56,((YEAR(Lists!L$21)-YEAR($J56))*12+MONTH(Lists!L$21)-MONTH($J56)))&gt;Lists!L$21)+1)))-IF(Lists!L$22&lt;$J56,0,MIN($AO56,(((YEAR(Lists!L$22)-YEAR($J56))*12+MONTH(Lists!L$22)-MONTH($J56))-(EDATE($J56,((YEAR(Lists!L$22)-YEAR($J56))*12+MONTH(Lists!L$22)-MONTH($J56)))&gt;Lists!L$22)+1)))),IF($AP56="F",IF(N($K56)&lt;=0,0,MIN(MAX(0,$H56),N($K56)*IF(Lists!L$21&lt;$J56,0,(((YEAR(Lists!L$21)-YEAR($J56))*12+MONTH(Lists!L$21)-MONTH($J56))-(EDATE($J56,((YEAR(Lists!L$21)-YEAR($J56))*12+MONTH(Lists!L$21)-MONTH($J56)))&gt;Lists!L$21)+1)))-MIN(MAX(0,$H56),N($K56)*IF(Lists!L$22&lt;$J56,0,(((YEAR(Lists!L$22)-YEAR($J56))*12+MONTH(Lists!L$22)-MONTH($J56))-(EDATE($J56,((YEAR(Lists!L$22)-YEAR($J56))*12+MONTH(Lists!L$22)-MONTH($J56)))&gt;Lists!L$22)+1)))),N($C56)*IF($AE56-$AD56&lt;1,($AD56&gt;Lists!L$22)*($AD56&lt;=Lists!L$21),MAX(0,MIN(Lists!L$21,$AE56)-MAX(Lists!L$22,$AD56))/($AE56-$AD56))+N($D56)*IF($AG56-$AF56&lt;1,($AF56&gt;Lists!L$22)*($AF56&lt;=Lists!L$21),MAX(0,MIN(Lists!L$21,$AG56)-MAX(Lists!L$22,$AF56))/($AG56-$AF56))+N($E56)*IF($AI56-$AH56&lt;1,($AH56&gt;Lists!L$22)*($AH56&lt;=Lists!L$21),MAX(0,MIN(Lists!L$21,$AI56)-MAX(Lists!L$22,$AH56))/($AI56-$AH56))+N($F56)*IF($AK56-$AJ56&lt;1,($AJ56&gt;Lists!L$22)*($AJ56&lt;=Lists!L$21),MAX(0,MIN(Lists!L$21,$AK56)-MAX(Lists!L$22,$AJ56))/($AK56-$AJ56))+N($G56)*IF($AM56-$AL56&lt;1,($AL56&gt;Lists!L$22)*($AL56&lt;=Lists!L$21),MAX(0,MIN(Lists!L$21,$AM56)-MAX(Lists!L$22,$AL56))/($AM56-$AL56))))))))</f>
        <v>0</v>
      </c>
      <c r="W56" s="53" t="n">
        <f aca="false">IF($H56=0,0,IF($AP56="X",0,IF($AP56="S",$H56/$AO56*(MIN($AO56,MAX(0,INT((Lists!M$21-N($J56))/7)+1))-MIN($AO56,MAX(0,INT((Lists!M$22-N($J56))/7)+1))),IF($AP56="D",$H56*MAX(0,MIN(Lists!M$21,N($J56)+$AO56)-MAX(Lists!M$22,N($J56)))/$AO56,IF($AP56="M",$H56/$AO56*(IF(Lists!M$21&lt;$J56,0,MIN($AO56,(((YEAR(Lists!M$21)-YEAR($J56))*12+MONTH(Lists!M$21)-MONTH($J56))-(EDATE($J56,((YEAR(Lists!M$21)-YEAR($J56))*12+MONTH(Lists!M$21)-MONTH($J56)))&gt;Lists!M$21)+1)))-IF(Lists!M$22&lt;$J56,0,MIN($AO56,(((YEAR(Lists!M$22)-YEAR($J56))*12+MONTH(Lists!M$22)-MONTH($J56))-(EDATE($J56,((YEAR(Lists!M$22)-YEAR($J56))*12+MONTH(Lists!M$22)-MONTH($J56)))&gt;Lists!M$22)+1)))),IF($AP56="F",IF(N($K56)&lt;=0,0,MIN(MAX(0,$H56),N($K56)*IF(Lists!M$21&lt;$J56,0,(((YEAR(Lists!M$21)-YEAR($J56))*12+MONTH(Lists!M$21)-MONTH($J56))-(EDATE($J56,((YEAR(Lists!M$21)-YEAR($J56))*12+MONTH(Lists!M$21)-MONTH($J56)))&gt;Lists!M$21)+1)))-MIN(MAX(0,$H56),N($K56)*IF(Lists!M$22&lt;$J56,0,(((YEAR(Lists!M$22)-YEAR($J56))*12+MONTH(Lists!M$22)-MONTH($J56))-(EDATE($J56,((YEAR(Lists!M$22)-YEAR($J56))*12+MONTH(Lists!M$22)-MONTH($J56)))&gt;Lists!M$22)+1)))),N($C56)*IF($AE56-$AD56&lt;1,($AD56&gt;Lists!M$22)*($AD56&lt;=Lists!M$21),MAX(0,MIN(Lists!M$21,$AE56)-MAX(Lists!M$22,$AD56))/($AE56-$AD56))+N($D56)*IF($AG56-$AF56&lt;1,($AF56&gt;Lists!M$22)*($AF56&lt;=Lists!M$21),MAX(0,MIN(Lists!M$21,$AG56)-MAX(Lists!M$22,$AF56))/($AG56-$AF56))+N($E56)*IF($AI56-$AH56&lt;1,($AH56&gt;Lists!M$22)*($AH56&lt;=Lists!M$21),MAX(0,MIN(Lists!M$21,$AI56)-MAX(Lists!M$22,$AH56))/($AI56-$AH56))+N($F56)*IF($AK56-$AJ56&lt;1,($AJ56&gt;Lists!M$22)*($AJ56&lt;=Lists!M$21),MAX(0,MIN(Lists!M$21,$AK56)-MAX(Lists!M$22,$AJ56))/($AK56-$AJ56))+N($G56)*IF($AM56-$AL56&lt;1,($AL56&gt;Lists!M$22)*($AL56&lt;=Lists!M$21),MAX(0,MIN(Lists!M$21,$AM56)-MAX(Lists!M$22,$AL56))/($AM56-$AL56))))))))</f>
        <v>0</v>
      </c>
      <c r="X56" s="53" t="n">
        <f aca="false">IF($H56=0,0,IF($AP56="X",0,IF($AP56="S",$H56/$AO56*(MIN($AO56,MAX(0,INT((Lists!N$21-N($J56))/7)+1))-MIN($AO56,MAX(0,INT((Lists!N$22-N($J56))/7)+1))),IF($AP56="D",$H56*MAX(0,MIN(Lists!N$21,N($J56)+$AO56)-MAX(Lists!N$22,N($J56)))/$AO56,IF($AP56="M",$H56/$AO56*(IF(Lists!N$21&lt;$J56,0,MIN($AO56,(((YEAR(Lists!N$21)-YEAR($J56))*12+MONTH(Lists!N$21)-MONTH($J56))-(EDATE($J56,((YEAR(Lists!N$21)-YEAR($J56))*12+MONTH(Lists!N$21)-MONTH($J56)))&gt;Lists!N$21)+1)))-IF(Lists!N$22&lt;$J56,0,MIN($AO56,(((YEAR(Lists!N$22)-YEAR($J56))*12+MONTH(Lists!N$22)-MONTH($J56))-(EDATE($J56,((YEAR(Lists!N$22)-YEAR($J56))*12+MONTH(Lists!N$22)-MONTH($J56)))&gt;Lists!N$22)+1)))),IF($AP56="F",IF(N($K56)&lt;=0,0,MIN(MAX(0,$H56),N($K56)*IF(Lists!N$21&lt;$J56,0,(((YEAR(Lists!N$21)-YEAR($J56))*12+MONTH(Lists!N$21)-MONTH($J56))-(EDATE($J56,((YEAR(Lists!N$21)-YEAR($J56))*12+MONTH(Lists!N$21)-MONTH($J56)))&gt;Lists!N$21)+1)))-MIN(MAX(0,$H56),N($K56)*IF(Lists!N$22&lt;$J56,0,(((YEAR(Lists!N$22)-YEAR($J56))*12+MONTH(Lists!N$22)-MONTH($J56))-(EDATE($J56,((YEAR(Lists!N$22)-YEAR($J56))*12+MONTH(Lists!N$22)-MONTH($J56)))&gt;Lists!N$22)+1)))),N($C56)*IF($AE56-$AD56&lt;1,($AD56&gt;Lists!N$22)*($AD56&lt;=Lists!N$21),MAX(0,MIN(Lists!N$21,$AE56)-MAX(Lists!N$22,$AD56))/($AE56-$AD56))+N($D56)*IF($AG56-$AF56&lt;1,($AF56&gt;Lists!N$22)*($AF56&lt;=Lists!N$21),MAX(0,MIN(Lists!N$21,$AG56)-MAX(Lists!N$22,$AF56))/($AG56-$AF56))+N($E56)*IF($AI56-$AH56&lt;1,($AH56&gt;Lists!N$22)*($AH56&lt;=Lists!N$21),MAX(0,MIN(Lists!N$21,$AI56)-MAX(Lists!N$22,$AH56))/($AI56-$AH56))+N($F56)*IF($AK56-$AJ56&lt;1,($AJ56&gt;Lists!N$22)*($AJ56&lt;=Lists!N$21),MAX(0,MIN(Lists!N$21,$AK56)-MAX(Lists!N$22,$AJ56))/($AK56-$AJ56))+N($G56)*IF($AM56-$AL56&lt;1,($AL56&gt;Lists!N$22)*($AL56&lt;=Lists!N$21),MAX(0,MIN(Lists!N$21,$AM56)-MAX(Lists!N$22,$AL56))/($AM56-$AL56))))))))</f>
        <v>0</v>
      </c>
      <c r="Y56" s="53" t="n">
        <f aca="false">IF($H56=0,0,IF($AP56="X",0,IF($AP56="S",$H56/$AO56*(MIN($AO56,MAX(0,INT((Lists!O$21-N($J56))/7)+1))-MIN($AO56,MAX(0,INT((Lists!O$22-N($J56))/7)+1))),IF($AP56="D",$H56*MAX(0,MIN(Lists!O$21,N($J56)+$AO56)-MAX(Lists!O$22,N($J56)))/$AO56,IF($AP56="M",$H56/$AO56*(IF(Lists!O$21&lt;$J56,0,MIN($AO56,(((YEAR(Lists!O$21)-YEAR($J56))*12+MONTH(Lists!O$21)-MONTH($J56))-(EDATE($J56,((YEAR(Lists!O$21)-YEAR($J56))*12+MONTH(Lists!O$21)-MONTH($J56)))&gt;Lists!O$21)+1)))-IF(Lists!O$22&lt;$J56,0,MIN($AO56,(((YEAR(Lists!O$22)-YEAR($J56))*12+MONTH(Lists!O$22)-MONTH($J56))-(EDATE($J56,((YEAR(Lists!O$22)-YEAR($J56))*12+MONTH(Lists!O$22)-MONTH($J56)))&gt;Lists!O$22)+1)))),IF($AP56="F",IF(N($K56)&lt;=0,0,MIN(MAX(0,$H56),N($K56)*IF(Lists!O$21&lt;$J56,0,(((YEAR(Lists!O$21)-YEAR($J56))*12+MONTH(Lists!O$21)-MONTH($J56))-(EDATE($J56,((YEAR(Lists!O$21)-YEAR($J56))*12+MONTH(Lists!O$21)-MONTH($J56)))&gt;Lists!O$21)+1)))-MIN(MAX(0,$H56),N($K56)*IF(Lists!O$22&lt;$J56,0,(((YEAR(Lists!O$22)-YEAR($J56))*12+MONTH(Lists!O$22)-MONTH($J56))-(EDATE($J56,((YEAR(Lists!O$22)-YEAR($J56))*12+MONTH(Lists!O$22)-MONTH($J56)))&gt;Lists!O$22)+1)))),N($C56)*IF($AE56-$AD56&lt;1,($AD56&gt;Lists!O$22)*($AD56&lt;=Lists!O$21),MAX(0,MIN(Lists!O$21,$AE56)-MAX(Lists!O$22,$AD56))/($AE56-$AD56))+N($D56)*IF($AG56-$AF56&lt;1,($AF56&gt;Lists!O$22)*($AF56&lt;=Lists!O$21),MAX(0,MIN(Lists!O$21,$AG56)-MAX(Lists!O$22,$AF56))/($AG56-$AF56))+N($E56)*IF($AI56-$AH56&lt;1,($AH56&gt;Lists!O$22)*($AH56&lt;=Lists!O$21),MAX(0,MIN(Lists!O$21,$AI56)-MAX(Lists!O$22,$AH56))/($AI56-$AH56))+N($F56)*IF($AK56-$AJ56&lt;1,($AJ56&gt;Lists!O$22)*($AJ56&lt;=Lists!O$21),MAX(0,MIN(Lists!O$21,$AK56)-MAX(Lists!O$22,$AJ56))/($AK56-$AJ56))+N($G56)*IF($AM56-$AL56&lt;1,($AL56&gt;Lists!O$22)*($AL56&lt;=Lists!O$21),MAX(0,MIN(Lists!O$21,$AM56)-MAX(Lists!O$22,$AL56))/($AM56-$AL56))))))))</f>
        <v>0</v>
      </c>
      <c r="Z56" s="46" t="n">
        <f aca="false">SUM(M56:Y56)</f>
        <v>0</v>
      </c>
      <c r="AA56" s="92" t="n">
        <f aca="false">H56-Z56</f>
        <v>0</v>
      </c>
      <c r="AB56" s="55"/>
      <c r="AC56" s="2"/>
      <c r="AD56" s="93" t="n">
        <f aca="false">Setup!$D$10+MAX(0,$AN56-30)</f>
        <v>46365</v>
      </c>
      <c r="AE56" s="93" t="n">
        <f aca="false">Setup!$D$10+IF($AN56-30&lt;0,MAX(Setup!$D$22,$AN56-0),$AN56-0)</f>
        <v>46395</v>
      </c>
      <c r="AF56" s="93" t="n">
        <f aca="false">Setup!$D$10+MAX(0,$AN56-60)</f>
        <v>46335</v>
      </c>
      <c r="AG56" s="93" t="n">
        <f aca="false">Setup!$D$10+IF($AN56-60&lt;0,MAX(Setup!$D$22,$AN56-31),$AN56-31)</f>
        <v>46364</v>
      </c>
      <c r="AH56" s="93" t="n">
        <f aca="false">Setup!$D$10+MAX(0,$AN56-90)</f>
        <v>46335</v>
      </c>
      <c r="AI56" s="93" t="n">
        <f aca="false">Setup!$D$10+IF($AN56-90&lt;0,MAX(Setup!$D$22,$AN56-61),$AN56-61)</f>
        <v>46363</v>
      </c>
      <c r="AJ56" s="93" t="n">
        <f aca="false">Setup!$D$10+MAX(0,$AN56-120)</f>
        <v>46335</v>
      </c>
      <c r="AK56" s="93" t="n">
        <f aca="false">Setup!$D$10+IF($AN56-120&lt;0,MAX(Setup!$D$22,$AN56-91),$AN56-91)</f>
        <v>46363</v>
      </c>
      <c r="AL56" s="93" t="n">
        <f aca="false">IF(Setup!$D$23="Yes",2958465,Setup!$D$10)</f>
        <v>2958465</v>
      </c>
      <c r="AM56" s="93" t="n">
        <f aca="false">IF(AL56=2958465,AL56,Setup!$D$10+Setup!$D$22)</f>
        <v>2958465</v>
      </c>
      <c r="AN56" s="94" t="n">
        <f aca="false">IF(N(L56)=0,Setup!$D$20,L56)</f>
        <v>60</v>
      </c>
      <c r="AO56" s="94" t="n">
        <f aca="false">MAX(1,ROUND(N(K56),0))</f>
        <v>1</v>
      </c>
      <c r="AP56" s="95" t="str">
        <f aca="false">IF(I56="Doubtful","X",IF(N(J56)=0,"A",IF(I56="Specific date","S",IF(I56="Spread over days","D",IF(I56="Monthly on set day","M",IF(I56="Monthly fixed amount","F","A"))))))</f>
        <v>A</v>
      </c>
    </row>
    <row r="57" customFormat="false" ht="15" hidden="false" customHeight="false" outlineLevel="0" collapsed="false">
      <c r="A57" s="87" t="n">
        <v>49</v>
      </c>
      <c r="B57" s="55"/>
      <c r="C57" s="88"/>
      <c r="D57" s="88"/>
      <c r="E57" s="88"/>
      <c r="F57" s="88"/>
      <c r="G57" s="88"/>
      <c r="H57" s="89" t="n">
        <f aca="false">SUM(C57:G57)</f>
        <v>0</v>
      </c>
      <c r="I57" s="58"/>
      <c r="J57" s="90"/>
      <c r="K57" s="91"/>
      <c r="L57" s="80"/>
      <c r="M57" s="53" t="n">
        <f aca="false">IF($H57=0,0,IF($AP57="X",0,IF($AP57="S",$H57/$AO57*(MIN($AO57,MAX(0,INT((Lists!C$21-N($J57))/7)+1))-MIN($AO57,MAX(0,INT((Lists!C$22-N($J57))/7)+1))),IF($AP57="D",$H57*MAX(0,MIN(Lists!C$21,N($J57)+$AO57)-MAX(Lists!C$22,N($J57)))/$AO57,IF($AP57="M",$H57/$AO57*(IF(Lists!C$21&lt;$J57,0,MIN($AO57,(((YEAR(Lists!C$21)-YEAR($J57))*12+MONTH(Lists!C$21)-MONTH($J57))-(EDATE($J57,((YEAR(Lists!C$21)-YEAR($J57))*12+MONTH(Lists!C$21)-MONTH($J57)))&gt;Lists!C$21)+1)))-IF(Lists!C$22&lt;$J57,0,MIN($AO57,(((YEAR(Lists!C$22)-YEAR($J57))*12+MONTH(Lists!C$22)-MONTH($J57))-(EDATE($J57,((YEAR(Lists!C$22)-YEAR($J57))*12+MONTH(Lists!C$22)-MONTH($J57)))&gt;Lists!C$22)+1)))),IF($AP57="F",IF(N($K57)&lt;=0,0,MIN(MAX(0,$H57),N($K57)*IF(Lists!C$21&lt;$J57,0,(((YEAR(Lists!C$21)-YEAR($J57))*12+MONTH(Lists!C$21)-MONTH($J57))-(EDATE($J57,((YEAR(Lists!C$21)-YEAR($J57))*12+MONTH(Lists!C$21)-MONTH($J57)))&gt;Lists!C$21)+1)))-MIN(MAX(0,$H57),N($K57)*IF(Lists!C$22&lt;$J57,0,(((YEAR(Lists!C$22)-YEAR($J57))*12+MONTH(Lists!C$22)-MONTH($J57))-(EDATE($J57,((YEAR(Lists!C$22)-YEAR($J57))*12+MONTH(Lists!C$22)-MONTH($J57)))&gt;Lists!C$22)+1)))),N($C57)*IF($AE57-$AD57&lt;1,($AD57&gt;Lists!C$22)*($AD57&lt;=Lists!C$21),MAX(0,MIN(Lists!C$21,$AE57)-MAX(Lists!C$22,$AD57))/($AE57-$AD57))+N($D57)*IF($AG57-$AF57&lt;1,($AF57&gt;Lists!C$22)*($AF57&lt;=Lists!C$21),MAX(0,MIN(Lists!C$21,$AG57)-MAX(Lists!C$22,$AF57))/($AG57-$AF57))+N($E57)*IF($AI57-$AH57&lt;1,($AH57&gt;Lists!C$22)*($AH57&lt;=Lists!C$21),MAX(0,MIN(Lists!C$21,$AI57)-MAX(Lists!C$22,$AH57))/($AI57-$AH57))+N($F57)*IF($AK57-$AJ57&lt;1,($AJ57&gt;Lists!C$22)*($AJ57&lt;=Lists!C$21),MAX(0,MIN(Lists!C$21,$AK57)-MAX(Lists!C$22,$AJ57))/($AK57-$AJ57))+N($G57)*IF($AM57-$AL57&lt;1,($AL57&gt;Lists!C$22)*($AL57&lt;=Lists!C$21),MAX(0,MIN(Lists!C$21,$AM57)-MAX(Lists!C$22,$AL57))/($AM57-$AL57))))))))</f>
        <v>0</v>
      </c>
      <c r="N57" s="53" t="n">
        <f aca="false">IF($H57=0,0,IF($AP57="X",0,IF($AP57="S",$H57/$AO57*(MIN($AO57,MAX(0,INT((Lists!D$21-N($J57))/7)+1))-MIN($AO57,MAX(0,INT((Lists!D$22-N($J57))/7)+1))),IF($AP57="D",$H57*MAX(0,MIN(Lists!D$21,N($J57)+$AO57)-MAX(Lists!D$22,N($J57)))/$AO57,IF($AP57="M",$H57/$AO57*(IF(Lists!D$21&lt;$J57,0,MIN($AO57,(((YEAR(Lists!D$21)-YEAR($J57))*12+MONTH(Lists!D$21)-MONTH($J57))-(EDATE($J57,((YEAR(Lists!D$21)-YEAR($J57))*12+MONTH(Lists!D$21)-MONTH($J57)))&gt;Lists!D$21)+1)))-IF(Lists!D$22&lt;$J57,0,MIN($AO57,(((YEAR(Lists!D$22)-YEAR($J57))*12+MONTH(Lists!D$22)-MONTH($J57))-(EDATE($J57,((YEAR(Lists!D$22)-YEAR($J57))*12+MONTH(Lists!D$22)-MONTH($J57)))&gt;Lists!D$22)+1)))),IF($AP57="F",IF(N($K57)&lt;=0,0,MIN(MAX(0,$H57),N($K57)*IF(Lists!D$21&lt;$J57,0,(((YEAR(Lists!D$21)-YEAR($J57))*12+MONTH(Lists!D$21)-MONTH($J57))-(EDATE($J57,((YEAR(Lists!D$21)-YEAR($J57))*12+MONTH(Lists!D$21)-MONTH($J57)))&gt;Lists!D$21)+1)))-MIN(MAX(0,$H57),N($K57)*IF(Lists!D$22&lt;$J57,0,(((YEAR(Lists!D$22)-YEAR($J57))*12+MONTH(Lists!D$22)-MONTH($J57))-(EDATE($J57,((YEAR(Lists!D$22)-YEAR($J57))*12+MONTH(Lists!D$22)-MONTH($J57)))&gt;Lists!D$22)+1)))),N($C57)*IF($AE57-$AD57&lt;1,($AD57&gt;Lists!D$22)*($AD57&lt;=Lists!D$21),MAX(0,MIN(Lists!D$21,$AE57)-MAX(Lists!D$22,$AD57))/($AE57-$AD57))+N($D57)*IF($AG57-$AF57&lt;1,($AF57&gt;Lists!D$22)*($AF57&lt;=Lists!D$21),MAX(0,MIN(Lists!D$21,$AG57)-MAX(Lists!D$22,$AF57))/($AG57-$AF57))+N($E57)*IF($AI57-$AH57&lt;1,($AH57&gt;Lists!D$22)*($AH57&lt;=Lists!D$21),MAX(0,MIN(Lists!D$21,$AI57)-MAX(Lists!D$22,$AH57))/($AI57-$AH57))+N($F57)*IF($AK57-$AJ57&lt;1,($AJ57&gt;Lists!D$22)*($AJ57&lt;=Lists!D$21),MAX(0,MIN(Lists!D$21,$AK57)-MAX(Lists!D$22,$AJ57))/($AK57-$AJ57))+N($G57)*IF($AM57-$AL57&lt;1,($AL57&gt;Lists!D$22)*($AL57&lt;=Lists!D$21),MAX(0,MIN(Lists!D$21,$AM57)-MAX(Lists!D$22,$AL57))/($AM57-$AL57))))))))</f>
        <v>0</v>
      </c>
      <c r="O57" s="53" t="n">
        <f aca="false">IF($H57=0,0,IF($AP57="X",0,IF($AP57="S",$H57/$AO57*(MIN($AO57,MAX(0,INT((Lists!E$21-N($J57))/7)+1))-MIN($AO57,MAX(0,INT((Lists!E$22-N($J57))/7)+1))),IF($AP57="D",$H57*MAX(0,MIN(Lists!E$21,N($J57)+$AO57)-MAX(Lists!E$22,N($J57)))/$AO57,IF($AP57="M",$H57/$AO57*(IF(Lists!E$21&lt;$J57,0,MIN($AO57,(((YEAR(Lists!E$21)-YEAR($J57))*12+MONTH(Lists!E$21)-MONTH($J57))-(EDATE($J57,((YEAR(Lists!E$21)-YEAR($J57))*12+MONTH(Lists!E$21)-MONTH($J57)))&gt;Lists!E$21)+1)))-IF(Lists!E$22&lt;$J57,0,MIN($AO57,(((YEAR(Lists!E$22)-YEAR($J57))*12+MONTH(Lists!E$22)-MONTH($J57))-(EDATE($J57,((YEAR(Lists!E$22)-YEAR($J57))*12+MONTH(Lists!E$22)-MONTH($J57)))&gt;Lists!E$22)+1)))),IF($AP57="F",IF(N($K57)&lt;=0,0,MIN(MAX(0,$H57),N($K57)*IF(Lists!E$21&lt;$J57,0,(((YEAR(Lists!E$21)-YEAR($J57))*12+MONTH(Lists!E$21)-MONTH($J57))-(EDATE($J57,((YEAR(Lists!E$21)-YEAR($J57))*12+MONTH(Lists!E$21)-MONTH($J57)))&gt;Lists!E$21)+1)))-MIN(MAX(0,$H57),N($K57)*IF(Lists!E$22&lt;$J57,0,(((YEAR(Lists!E$22)-YEAR($J57))*12+MONTH(Lists!E$22)-MONTH($J57))-(EDATE($J57,((YEAR(Lists!E$22)-YEAR($J57))*12+MONTH(Lists!E$22)-MONTH($J57)))&gt;Lists!E$22)+1)))),N($C57)*IF($AE57-$AD57&lt;1,($AD57&gt;Lists!E$22)*($AD57&lt;=Lists!E$21),MAX(0,MIN(Lists!E$21,$AE57)-MAX(Lists!E$22,$AD57))/($AE57-$AD57))+N($D57)*IF($AG57-$AF57&lt;1,($AF57&gt;Lists!E$22)*($AF57&lt;=Lists!E$21),MAX(0,MIN(Lists!E$21,$AG57)-MAX(Lists!E$22,$AF57))/($AG57-$AF57))+N($E57)*IF($AI57-$AH57&lt;1,($AH57&gt;Lists!E$22)*($AH57&lt;=Lists!E$21),MAX(0,MIN(Lists!E$21,$AI57)-MAX(Lists!E$22,$AH57))/($AI57-$AH57))+N($F57)*IF($AK57-$AJ57&lt;1,($AJ57&gt;Lists!E$22)*($AJ57&lt;=Lists!E$21),MAX(0,MIN(Lists!E$21,$AK57)-MAX(Lists!E$22,$AJ57))/($AK57-$AJ57))+N($G57)*IF($AM57-$AL57&lt;1,($AL57&gt;Lists!E$22)*($AL57&lt;=Lists!E$21),MAX(0,MIN(Lists!E$21,$AM57)-MAX(Lists!E$22,$AL57))/($AM57-$AL57))))))))</f>
        <v>0</v>
      </c>
      <c r="P57" s="53" t="n">
        <f aca="false">IF($H57=0,0,IF($AP57="X",0,IF($AP57="S",$H57/$AO57*(MIN($AO57,MAX(0,INT((Lists!F$21-N($J57))/7)+1))-MIN($AO57,MAX(0,INT((Lists!F$22-N($J57))/7)+1))),IF($AP57="D",$H57*MAX(0,MIN(Lists!F$21,N($J57)+$AO57)-MAX(Lists!F$22,N($J57)))/$AO57,IF($AP57="M",$H57/$AO57*(IF(Lists!F$21&lt;$J57,0,MIN($AO57,(((YEAR(Lists!F$21)-YEAR($J57))*12+MONTH(Lists!F$21)-MONTH($J57))-(EDATE($J57,((YEAR(Lists!F$21)-YEAR($J57))*12+MONTH(Lists!F$21)-MONTH($J57)))&gt;Lists!F$21)+1)))-IF(Lists!F$22&lt;$J57,0,MIN($AO57,(((YEAR(Lists!F$22)-YEAR($J57))*12+MONTH(Lists!F$22)-MONTH($J57))-(EDATE($J57,((YEAR(Lists!F$22)-YEAR($J57))*12+MONTH(Lists!F$22)-MONTH($J57)))&gt;Lists!F$22)+1)))),IF($AP57="F",IF(N($K57)&lt;=0,0,MIN(MAX(0,$H57),N($K57)*IF(Lists!F$21&lt;$J57,0,(((YEAR(Lists!F$21)-YEAR($J57))*12+MONTH(Lists!F$21)-MONTH($J57))-(EDATE($J57,((YEAR(Lists!F$21)-YEAR($J57))*12+MONTH(Lists!F$21)-MONTH($J57)))&gt;Lists!F$21)+1)))-MIN(MAX(0,$H57),N($K57)*IF(Lists!F$22&lt;$J57,0,(((YEAR(Lists!F$22)-YEAR($J57))*12+MONTH(Lists!F$22)-MONTH($J57))-(EDATE($J57,((YEAR(Lists!F$22)-YEAR($J57))*12+MONTH(Lists!F$22)-MONTH($J57)))&gt;Lists!F$22)+1)))),N($C57)*IF($AE57-$AD57&lt;1,($AD57&gt;Lists!F$22)*($AD57&lt;=Lists!F$21),MAX(0,MIN(Lists!F$21,$AE57)-MAX(Lists!F$22,$AD57))/($AE57-$AD57))+N($D57)*IF($AG57-$AF57&lt;1,($AF57&gt;Lists!F$22)*($AF57&lt;=Lists!F$21),MAX(0,MIN(Lists!F$21,$AG57)-MAX(Lists!F$22,$AF57))/($AG57-$AF57))+N($E57)*IF($AI57-$AH57&lt;1,($AH57&gt;Lists!F$22)*($AH57&lt;=Lists!F$21),MAX(0,MIN(Lists!F$21,$AI57)-MAX(Lists!F$22,$AH57))/($AI57-$AH57))+N($F57)*IF($AK57-$AJ57&lt;1,($AJ57&gt;Lists!F$22)*($AJ57&lt;=Lists!F$21),MAX(0,MIN(Lists!F$21,$AK57)-MAX(Lists!F$22,$AJ57))/($AK57-$AJ57))+N($G57)*IF($AM57-$AL57&lt;1,($AL57&gt;Lists!F$22)*($AL57&lt;=Lists!F$21),MAX(0,MIN(Lists!F$21,$AM57)-MAX(Lists!F$22,$AL57))/($AM57-$AL57))))))))</f>
        <v>0</v>
      </c>
      <c r="Q57" s="53" t="n">
        <f aca="false">IF($H57=0,0,IF($AP57="X",0,IF($AP57="S",$H57/$AO57*(MIN($AO57,MAX(0,INT((Lists!G$21-N($J57))/7)+1))-MIN($AO57,MAX(0,INT((Lists!G$22-N($J57))/7)+1))),IF($AP57="D",$H57*MAX(0,MIN(Lists!G$21,N($J57)+$AO57)-MAX(Lists!G$22,N($J57)))/$AO57,IF($AP57="M",$H57/$AO57*(IF(Lists!G$21&lt;$J57,0,MIN($AO57,(((YEAR(Lists!G$21)-YEAR($J57))*12+MONTH(Lists!G$21)-MONTH($J57))-(EDATE($J57,((YEAR(Lists!G$21)-YEAR($J57))*12+MONTH(Lists!G$21)-MONTH($J57)))&gt;Lists!G$21)+1)))-IF(Lists!G$22&lt;$J57,0,MIN($AO57,(((YEAR(Lists!G$22)-YEAR($J57))*12+MONTH(Lists!G$22)-MONTH($J57))-(EDATE($J57,((YEAR(Lists!G$22)-YEAR($J57))*12+MONTH(Lists!G$22)-MONTH($J57)))&gt;Lists!G$22)+1)))),IF($AP57="F",IF(N($K57)&lt;=0,0,MIN(MAX(0,$H57),N($K57)*IF(Lists!G$21&lt;$J57,0,(((YEAR(Lists!G$21)-YEAR($J57))*12+MONTH(Lists!G$21)-MONTH($J57))-(EDATE($J57,((YEAR(Lists!G$21)-YEAR($J57))*12+MONTH(Lists!G$21)-MONTH($J57)))&gt;Lists!G$21)+1)))-MIN(MAX(0,$H57),N($K57)*IF(Lists!G$22&lt;$J57,0,(((YEAR(Lists!G$22)-YEAR($J57))*12+MONTH(Lists!G$22)-MONTH($J57))-(EDATE($J57,((YEAR(Lists!G$22)-YEAR($J57))*12+MONTH(Lists!G$22)-MONTH($J57)))&gt;Lists!G$22)+1)))),N($C57)*IF($AE57-$AD57&lt;1,($AD57&gt;Lists!G$22)*($AD57&lt;=Lists!G$21),MAX(0,MIN(Lists!G$21,$AE57)-MAX(Lists!G$22,$AD57))/($AE57-$AD57))+N($D57)*IF($AG57-$AF57&lt;1,($AF57&gt;Lists!G$22)*($AF57&lt;=Lists!G$21),MAX(0,MIN(Lists!G$21,$AG57)-MAX(Lists!G$22,$AF57))/($AG57-$AF57))+N($E57)*IF($AI57-$AH57&lt;1,($AH57&gt;Lists!G$22)*($AH57&lt;=Lists!G$21),MAX(0,MIN(Lists!G$21,$AI57)-MAX(Lists!G$22,$AH57))/($AI57-$AH57))+N($F57)*IF($AK57-$AJ57&lt;1,($AJ57&gt;Lists!G$22)*($AJ57&lt;=Lists!G$21),MAX(0,MIN(Lists!G$21,$AK57)-MAX(Lists!G$22,$AJ57))/($AK57-$AJ57))+N($G57)*IF($AM57-$AL57&lt;1,($AL57&gt;Lists!G$22)*($AL57&lt;=Lists!G$21),MAX(0,MIN(Lists!G$21,$AM57)-MAX(Lists!G$22,$AL57))/($AM57-$AL57))))))))</f>
        <v>0</v>
      </c>
      <c r="R57" s="53" t="n">
        <f aca="false">IF($H57=0,0,IF($AP57="X",0,IF($AP57="S",$H57/$AO57*(MIN($AO57,MAX(0,INT((Lists!H$21-N($J57))/7)+1))-MIN($AO57,MAX(0,INT((Lists!H$22-N($J57))/7)+1))),IF($AP57="D",$H57*MAX(0,MIN(Lists!H$21,N($J57)+$AO57)-MAX(Lists!H$22,N($J57)))/$AO57,IF($AP57="M",$H57/$AO57*(IF(Lists!H$21&lt;$J57,0,MIN($AO57,(((YEAR(Lists!H$21)-YEAR($J57))*12+MONTH(Lists!H$21)-MONTH($J57))-(EDATE($J57,((YEAR(Lists!H$21)-YEAR($J57))*12+MONTH(Lists!H$21)-MONTH($J57)))&gt;Lists!H$21)+1)))-IF(Lists!H$22&lt;$J57,0,MIN($AO57,(((YEAR(Lists!H$22)-YEAR($J57))*12+MONTH(Lists!H$22)-MONTH($J57))-(EDATE($J57,((YEAR(Lists!H$22)-YEAR($J57))*12+MONTH(Lists!H$22)-MONTH($J57)))&gt;Lists!H$22)+1)))),IF($AP57="F",IF(N($K57)&lt;=0,0,MIN(MAX(0,$H57),N($K57)*IF(Lists!H$21&lt;$J57,0,(((YEAR(Lists!H$21)-YEAR($J57))*12+MONTH(Lists!H$21)-MONTH($J57))-(EDATE($J57,((YEAR(Lists!H$21)-YEAR($J57))*12+MONTH(Lists!H$21)-MONTH($J57)))&gt;Lists!H$21)+1)))-MIN(MAX(0,$H57),N($K57)*IF(Lists!H$22&lt;$J57,0,(((YEAR(Lists!H$22)-YEAR($J57))*12+MONTH(Lists!H$22)-MONTH($J57))-(EDATE($J57,((YEAR(Lists!H$22)-YEAR($J57))*12+MONTH(Lists!H$22)-MONTH($J57)))&gt;Lists!H$22)+1)))),N($C57)*IF($AE57-$AD57&lt;1,($AD57&gt;Lists!H$22)*($AD57&lt;=Lists!H$21),MAX(0,MIN(Lists!H$21,$AE57)-MAX(Lists!H$22,$AD57))/($AE57-$AD57))+N($D57)*IF($AG57-$AF57&lt;1,($AF57&gt;Lists!H$22)*($AF57&lt;=Lists!H$21),MAX(0,MIN(Lists!H$21,$AG57)-MAX(Lists!H$22,$AF57))/($AG57-$AF57))+N($E57)*IF($AI57-$AH57&lt;1,($AH57&gt;Lists!H$22)*($AH57&lt;=Lists!H$21),MAX(0,MIN(Lists!H$21,$AI57)-MAX(Lists!H$22,$AH57))/($AI57-$AH57))+N($F57)*IF($AK57-$AJ57&lt;1,($AJ57&gt;Lists!H$22)*($AJ57&lt;=Lists!H$21),MAX(0,MIN(Lists!H$21,$AK57)-MAX(Lists!H$22,$AJ57))/($AK57-$AJ57))+N($G57)*IF($AM57-$AL57&lt;1,($AL57&gt;Lists!H$22)*($AL57&lt;=Lists!H$21),MAX(0,MIN(Lists!H$21,$AM57)-MAX(Lists!H$22,$AL57))/($AM57-$AL57))))))))</f>
        <v>0</v>
      </c>
      <c r="S57" s="53" t="n">
        <f aca="false">IF($H57=0,0,IF($AP57="X",0,IF($AP57="S",$H57/$AO57*(MIN($AO57,MAX(0,INT((Lists!I$21-N($J57))/7)+1))-MIN($AO57,MAX(0,INT((Lists!I$22-N($J57))/7)+1))),IF($AP57="D",$H57*MAX(0,MIN(Lists!I$21,N($J57)+$AO57)-MAX(Lists!I$22,N($J57)))/$AO57,IF($AP57="M",$H57/$AO57*(IF(Lists!I$21&lt;$J57,0,MIN($AO57,(((YEAR(Lists!I$21)-YEAR($J57))*12+MONTH(Lists!I$21)-MONTH($J57))-(EDATE($J57,((YEAR(Lists!I$21)-YEAR($J57))*12+MONTH(Lists!I$21)-MONTH($J57)))&gt;Lists!I$21)+1)))-IF(Lists!I$22&lt;$J57,0,MIN($AO57,(((YEAR(Lists!I$22)-YEAR($J57))*12+MONTH(Lists!I$22)-MONTH($J57))-(EDATE($J57,((YEAR(Lists!I$22)-YEAR($J57))*12+MONTH(Lists!I$22)-MONTH($J57)))&gt;Lists!I$22)+1)))),IF($AP57="F",IF(N($K57)&lt;=0,0,MIN(MAX(0,$H57),N($K57)*IF(Lists!I$21&lt;$J57,0,(((YEAR(Lists!I$21)-YEAR($J57))*12+MONTH(Lists!I$21)-MONTH($J57))-(EDATE($J57,((YEAR(Lists!I$21)-YEAR($J57))*12+MONTH(Lists!I$21)-MONTH($J57)))&gt;Lists!I$21)+1)))-MIN(MAX(0,$H57),N($K57)*IF(Lists!I$22&lt;$J57,0,(((YEAR(Lists!I$22)-YEAR($J57))*12+MONTH(Lists!I$22)-MONTH($J57))-(EDATE($J57,((YEAR(Lists!I$22)-YEAR($J57))*12+MONTH(Lists!I$22)-MONTH($J57)))&gt;Lists!I$22)+1)))),N($C57)*IF($AE57-$AD57&lt;1,($AD57&gt;Lists!I$22)*($AD57&lt;=Lists!I$21),MAX(0,MIN(Lists!I$21,$AE57)-MAX(Lists!I$22,$AD57))/($AE57-$AD57))+N($D57)*IF($AG57-$AF57&lt;1,($AF57&gt;Lists!I$22)*($AF57&lt;=Lists!I$21),MAX(0,MIN(Lists!I$21,$AG57)-MAX(Lists!I$22,$AF57))/($AG57-$AF57))+N($E57)*IF($AI57-$AH57&lt;1,($AH57&gt;Lists!I$22)*($AH57&lt;=Lists!I$21),MAX(0,MIN(Lists!I$21,$AI57)-MAX(Lists!I$22,$AH57))/($AI57-$AH57))+N($F57)*IF($AK57-$AJ57&lt;1,($AJ57&gt;Lists!I$22)*($AJ57&lt;=Lists!I$21),MAX(0,MIN(Lists!I$21,$AK57)-MAX(Lists!I$22,$AJ57))/($AK57-$AJ57))+N($G57)*IF($AM57-$AL57&lt;1,($AL57&gt;Lists!I$22)*($AL57&lt;=Lists!I$21),MAX(0,MIN(Lists!I$21,$AM57)-MAX(Lists!I$22,$AL57))/($AM57-$AL57))))))))</f>
        <v>0</v>
      </c>
      <c r="T57" s="53" t="n">
        <f aca="false">IF($H57=0,0,IF($AP57="X",0,IF($AP57="S",$H57/$AO57*(MIN($AO57,MAX(0,INT((Lists!J$21-N($J57))/7)+1))-MIN($AO57,MAX(0,INT((Lists!J$22-N($J57))/7)+1))),IF($AP57="D",$H57*MAX(0,MIN(Lists!J$21,N($J57)+$AO57)-MAX(Lists!J$22,N($J57)))/$AO57,IF($AP57="M",$H57/$AO57*(IF(Lists!J$21&lt;$J57,0,MIN($AO57,(((YEAR(Lists!J$21)-YEAR($J57))*12+MONTH(Lists!J$21)-MONTH($J57))-(EDATE($J57,((YEAR(Lists!J$21)-YEAR($J57))*12+MONTH(Lists!J$21)-MONTH($J57)))&gt;Lists!J$21)+1)))-IF(Lists!J$22&lt;$J57,0,MIN($AO57,(((YEAR(Lists!J$22)-YEAR($J57))*12+MONTH(Lists!J$22)-MONTH($J57))-(EDATE($J57,((YEAR(Lists!J$22)-YEAR($J57))*12+MONTH(Lists!J$22)-MONTH($J57)))&gt;Lists!J$22)+1)))),IF($AP57="F",IF(N($K57)&lt;=0,0,MIN(MAX(0,$H57),N($K57)*IF(Lists!J$21&lt;$J57,0,(((YEAR(Lists!J$21)-YEAR($J57))*12+MONTH(Lists!J$21)-MONTH($J57))-(EDATE($J57,((YEAR(Lists!J$21)-YEAR($J57))*12+MONTH(Lists!J$21)-MONTH($J57)))&gt;Lists!J$21)+1)))-MIN(MAX(0,$H57),N($K57)*IF(Lists!J$22&lt;$J57,0,(((YEAR(Lists!J$22)-YEAR($J57))*12+MONTH(Lists!J$22)-MONTH($J57))-(EDATE($J57,((YEAR(Lists!J$22)-YEAR($J57))*12+MONTH(Lists!J$22)-MONTH($J57)))&gt;Lists!J$22)+1)))),N($C57)*IF($AE57-$AD57&lt;1,($AD57&gt;Lists!J$22)*($AD57&lt;=Lists!J$21),MAX(0,MIN(Lists!J$21,$AE57)-MAX(Lists!J$22,$AD57))/($AE57-$AD57))+N($D57)*IF($AG57-$AF57&lt;1,($AF57&gt;Lists!J$22)*($AF57&lt;=Lists!J$21),MAX(0,MIN(Lists!J$21,$AG57)-MAX(Lists!J$22,$AF57))/($AG57-$AF57))+N($E57)*IF($AI57-$AH57&lt;1,($AH57&gt;Lists!J$22)*($AH57&lt;=Lists!J$21),MAX(0,MIN(Lists!J$21,$AI57)-MAX(Lists!J$22,$AH57))/($AI57-$AH57))+N($F57)*IF($AK57-$AJ57&lt;1,($AJ57&gt;Lists!J$22)*($AJ57&lt;=Lists!J$21),MAX(0,MIN(Lists!J$21,$AK57)-MAX(Lists!J$22,$AJ57))/($AK57-$AJ57))+N($G57)*IF($AM57-$AL57&lt;1,($AL57&gt;Lists!J$22)*($AL57&lt;=Lists!J$21),MAX(0,MIN(Lists!J$21,$AM57)-MAX(Lists!J$22,$AL57))/($AM57-$AL57))))))))</f>
        <v>0</v>
      </c>
      <c r="U57" s="53" t="n">
        <f aca="false">IF($H57=0,0,IF($AP57="X",0,IF($AP57="S",$H57/$AO57*(MIN($AO57,MAX(0,INT((Lists!K$21-N($J57))/7)+1))-MIN($AO57,MAX(0,INT((Lists!K$22-N($J57))/7)+1))),IF($AP57="D",$H57*MAX(0,MIN(Lists!K$21,N($J57)+$AO57)-MAX(Lists!K$22,N($J57)))/$AO57,IF($AP57="M",$H57/$AO57*(IF(Lists!K$21&lt;$J57,0,MIN($AO57,(((YEAR(Lists!K$21)-YEAR($J57))*12+MONTH(Lists!K$21)-MONTH($J57))-(EDATE($J57,((YEAR(Lists!K$21)-YEAR($J57))*12+MONTH(Lists!K$21)-MONTH($J57)))&gt;Lists!K$21)+1)))-IF(Lists!K$22&lt;$J57,0,MIN($AO57,(((YEAR(Lists!K$22)-YEAR($J57))*12+MONTH(Lists!K$22)-MONTH($J57))-(EDATE($J57,((YEAR(Lists!K$22)-YEAR($J57))*12+MONTH(Lists!K$22)-MONTH($J57)))&gt;Lists!K$22)+1)))),IF($AP57="F",IF(N($K57)&lt;=0,0,MIN(MAX(0,$H57),N($K57)*IF(Lists!K$21&lt;$J57,0,(((YEAR(Lists!K$21)-YEAR($J57))*12+MONTH(Lists!K$21)-MONTH($J57))-(EDATE($J57,((YEAR(Lists!K$21)-YEAR($J57))*12+MONTH(Lists!K$21)-MONTH($J57)))&gt;Lists!K$21)+1)))-MIN(MAX(0,$H57),N($K57)*IF(Lists!K$22&lt;$J57,0,(((YEAR(Lists!K$22)-YEAR($J57))*12+MONTH(Lists!K$22)-MONTH($J57))-(EDATE($J57,((YEAR(Lists!K$22)-YEAR($J57))*12+MONTH(Lists!K$22)-MONTH($J57)))&gt;Lists!K$22)+1)))),N($C57)*IF($AE57-$AD57&lt;1,($AD57&gt;Lists!K$22)*($AD57&lt;=Lists!K$21),MAX(0,MIN(Lists!K$21,$AE57)-MAX(Lists!K$22,$AD57))/($AE57-$AD57))+N($D57)*IF($AG57-$AF57&lt;1,($AF57&gt;Lists!K$22)*($AF57&lt;=Lists!K$21),MAX(0,MIN(Lists!K$21,$AG57)-MAX(Lists!K$22,$AF57))/($AG57-$AF57))+N($E57)*IF($AI57-$AH57&lt;1,($AH57&gt;Lists!K$22)*($AH57&lt;=Lists!K$21),MAX(0,MIN(Lists!K$21,$AI57)-MAX(Lists!K$22,$AH57))/($AI57-$AH57))+N($F57)*IF($AK57-$AJ57&lt;1,($AJ57&gt;Lists!K$22)*($AJ57&lt;=Lists!K$21),MAX(0,MIN(Lists!K$21,$AK57)-MAX(Lists!K$22,$AJ57))/($AK57-$AJ57))+N($G57)*IF($AM57-$AL57&lt;1,($AL57&gt;Lists!K$22)*($AL57&lt;=Lists!K$21),MAX(0,MIN(Lists!K$21,$AM57)-MAX(Lists!K$22,$AL57))/($AM57-$AL57))))))))</f>
        <v>0</v>
      </c>
      <c r="V57" s="53" t="n">
        <f aca="false">IF($H57=0,0,IF($AP57="X",0,IF($AP57="S",$H57/$AO57*(MIN($AO57,MAX(0,INT((Lists!L$21-N($J57))/7)+1))-MIN($AO57,MAX(0,INT((Lists!L$22-N($J57))/7)+1))),IF($AP57="D",$H57*MAX(0,MIN(Lists!L$21,N($J57)+$AO57)-MAX(Lists!L$22,N($J57)))/$AO57,IF($AP57="M",$H57/$AO57*(IF(Lists!L$21&lt;$J57,0,MIN($AO57,(((YEAR(Lists!L$21)-YEAR($J57))*12+MONTH(Lists!L$21)-MONTH($J57))-(EDATE($J57,((YEAR(Lists!L$21)-YEAR($J57))*12+MONTH(Lists!L$21)-MONTH($J57)))&gt;Lists!L$21)+1)))-IF(Lists!L$22&lt;$J57,0,MIN($AO57,(((YEAR(Lists!L$22)-YEAR($J57))*12+MONTH(Lists!L$22)-MONTH($J57))-(EDATE($J57,((YEAR(Lists!L$22)-YEAR($J57))*12+MONTH(Lists!L$22)-MONTH($J57)))&gt;Lists!L$22)+1)))),IF($AP57="F",IF(N($K57)&lt;=0,0,MIN(MAX(0,$H57),N($K57)*IF(Lists!L$21&lt;$J57,0,(((YEAR(Lists!L$21)-YEAR($J57))*12+MONTH(Lists!L$21)-MONTH($J57))-(EDATE($J57,((YEAR(Lists!L$21)-YEAR($J57))*12+MONTH(Lists!L$21)-MONTH($J57)))&gt;Lists!L$21)+1)))-MIN(MAX(0,$H57),N($K57)*IF(Lists!L$22&lt;$J57,0,(((YEAR(Lists!L$22)-YEAR($J57))*12+MONTH(Lists!L$22)-MONTH($J57))-(EDATE($J57,((YEAR(Lists!L$22)-YEAR($J57))*12+MONTH(Lists!L$22)-MONTH($J57)))&gt;Lists!L$22)+1)))),N($C57)*IF($AE57-$AD57&lt;1,($AD57&gt;Lists!L$22)*($AD57&lt;=Lists!L$21),MAX(0,MIN(Lists!L$21,$AE57)-MAX(Lists!L$22,$AD57))/($AE57-$AD57))+N($D57)*IF($AG57-$AF57&lt;1,($AF57&gt;Lists!L$22)*($AF57&lt;=Lists!L$21),MAX(0,MIN(Lists!L$21,$AG57)-MAX(Lists!L$22,$AF57))/($AG57-$AF57))+N($E57)*IF($AI57-$AH57&lt;1,($AH57&gt;Lists!L$22)*($AH57&lt;=Lists!L$21),MAX(0,MIN(Lists!L$21,$AI57)-MAX(Lists!L$22,$AH57))/($AI57-$AH57))+N($F57)*IF($AK57-$AJ57&lt;1,($AJ57&gt;Lists!L$22)*($AJ57&lt;=Lists!L$21),MAX(0,MIN(Lists!L$21,$AK57)-MAX(Lists!L$22,$AJ57))/($AK57-$AJ57))+N($G57)*IF($AM57-$AL57&lt;1,($AL57&gt;Lists!L$22)*($AL57&lt;=Lists!L$21),MAX(0,MIN(Lists!L$21,$AM57)-MAX(Lists!L$22,$AL57))/($AM57-$AL57))))))))</f>
        <v>0</v>
      </c>
      <c r="W57" s="53" t="n">
        <f aca="false">IF($H57=0,0,IF($AP57="X",0,IF($AP57="S",$H57/$AO57*(MIN($AO57,MAX(0,INT((Lists!M$21-N($J57))/7)+1))-MIN($AO57,MAX(0,INT((Lists!M$22-N($J57))/7)+1))),IF($AP57="D",$H57*MAX(0,MIN(Lists!M$21,N($J57)+$AO57)-MAX(Lists!M$22,N($J57)))/$AO57,IF($AP57="M",$H57/$AO57*(IF(Lists!M$21&lt;$J57,0,MIN($AO57,(((YEAR(Lists!M$21)-YEAR($J57))*12+MONTH(Lists!M$21)-MONTH($J57))-(EDATE($J57,((YEAR(Lists!M$21)-YEAR($J57))*12+MONTH(Lists!M$21)-MONTH($J57)))&gt;Lists!M$21)+1)))-IF(Lists!M$22&lt;$J57,0,MIN($AO57,(((YEAR(Lists!M$22)-YEAR($J57))*12+MONTH(Lists!M$22)-MONTH($J57))-(EDATE($J57,((YEAR(Lists!M$22)-YEAR($J57))*12+MONTH(Lists!M$22)-MONTH($J57)))&gt;Lists!M$22)+1)))),IF($AP57="F",IF(N($K57)&lt;=0,0,MIN(MAX(0,$H57),N($K57)*IF(Lists!M$21&lt;$J57,0,(((YEAR(Lists!M$21)-YEAR($J57))*12+MONTH(Lists!M$21)-MONTH($J57))-(EDATE($J57,((YEAR(Lists!M$21)-YEAR($J57))*12+MONTH(Lists!M$21)-MONTH($J57)))&gt;Lists!M$21)+1)))-MIN(MAX(0,$H57),N($K57)*IF(Lists!M$22&lt;$J57,0,(((YEAR(Lists!M$22)-YEAR($J57))*12+MONTH(Lists!M$22)-MONTH($J57))-(EDATE($J57,((YEAR(Lists!M$22)-YEAR($J57))*12+MONTH(Lists!M$22)-MONTH($J57)))&gt;Lists!M$22)+1)))),N($C57)*IF($AE57-$AD57&lt;1,($AD57&gt;Lists!M$22)*($AD57&lt;=Lists!M$21),MAX(0,MIN(Lists!M$21,$AE57)-MAX(Lists!M$22,$AD57))/($AE57-$AD57))+N($D57)*IF($AG57-$AF57&lt;1,($AF57&gt;Lists!M$22)*($AF57&lt;=Lists!M$21),MAX(0,MIN(Lists!M$21,$AG57)-MAX(Lists!M$22,$AF57))/($AG57-$AF57))+N($E57)*IF($AI57-$AH57&lt;1,($AH57&gt;Lists!M$22)*($AH57&lt;=Lists!M$21),MAX(0,MIN(Lists!M$21,$AI57)-MAX(Lists!M$22,$AH57))/($AI57-$AH57))+N($F57)*IF($AK57-$AJ57&lt;1,($AJ57&gt;Lists!M$22)*($AJ57&lt;=Lists!M$21),MAX(0,MIN(Lists!M$21,$AK57)-MAX(Lists!M$22,$AJ57))/($AK57-$AJ57))+N($G57)*IF($AM57-$AL57&lt;1,($AL57&gt;Lists!M$22)*($AL57&lt;=Lists!M$21),MAX(0,MIN(Lists!M$21,$AM57)-MAX(Lists!M$22,$AL57))/($AM57-$AL57))))))))</f>
        <v>0</v>
      </c>
      <c r="X57" s="53" t="n">
        <f aca="false">IF($H57=0,0,IF($AP57="X",0,IF($AP57="S",$H57/$AO57*(MIN($AO57,MAX(0,INT((Lists!N$21-N($J57))/7)+1))-MIN($AO57,MAX(0,INT((Lists!N$22-N($J57))/7)+1))),IF($AP57="D",$H57*MAX(0,MIN(Lists!N$21,N($J57)+$AO57)-MAX(Lists!N$22,N($J57)))/$AO57,IF($AP57="M",$H57/$AO57*(IF(Lists!N$21&lt;$J57,0,MIN($AO57,(((YEAR(Lists!N$21)-YEAR($J57))*12+MONTH(Lists!N$21)-MONTH($J57))-(EDATE($J57,((YEAR(Lists!N$21)-YEAR($J57))*12+MONTH(Lists!N$21)-MONTH($J57)))&gt;Lists!N$21)+1)))-IF(Lists!N$22&lt;$J57,0,MIN($AO57,(((YEAR(Lists!N$22)-YEAR($J57))*12+MONTH(Lists!N$22)-MONTH($J57))-(EDATE($J57,((YEAR(Lists!N$22)-YEAR($J57))*12+MONTH(Lists!N$22)-MONTH($J57)))&gt;Lists!N$22)+1)))),IF($AP57="F",IF(N($K57)&lt;=0,0,MIN(MAX(0,$H57),N($K57)*IF(Lists!N$21&lt;$J57,0,(((YEAR(Lists!N$21)-YEAR($J57))*12+MONTH(Lists!N$21)-MONTH($J57))-(EDATE($J57,((YEAR(Lists!N$21)-YEAR($J57))*12+MONTH(Lists!N$21)-MONTH($J57)))&gt;Lists!N$21)+1)))-MIN(MAX(0,$H57),N($K57)*IF(Lists!N$22&lt;$J57,0,(((YEAR(Lists!N$22)-YEAR($J57))*12+MONTH(Lists!N$22)-MONTH($J57))-(EDATE($J57,((YEAR(Lists!N$22)-YEAR($J57))*12+MONTH(Lists!N$22)-MONTH($J57)))&gt;Lists!N$22)+1)))),N($C57)*IF($AE57-$AD57&lt;1,($AD57&gt;Lists!N$22)*($AD57&lt;=Lists!N$21),MAX(0,MIN(Lists!N$21,$AE57)-MAX(Lists!N$22,$AD57))/($AE57-$AD57))+N($D57)*IF($AG57-$AF57&lt;1,($AF57&gt;Lists!N$22)*($AF57&lt;=Lists!N$21),MAX(0,MIN(Lists!N$21,$AG57)-MAX(Lists!N$22,$AF57))/($AG57-$AF57))+N($E57)*IF($AI57-$AH57&lt;1,($AH57&gt;Lists!N$22)*($AH57&lt;=Lists!N$21),MAX(0,MIN(Lists!N$21,$AI57)-MAX(Lists!N$22,$AH57))/($AI57-$AH57))+N($F57)*IF($AK57-$AJ57&lt;1,($AJ57&gt;Lists!N$22)*($AJ57&lt;=Lists!N$21),MAX(0,MIN(Lists!N$21,$AK57)-MAX(Lists!N$22,$AJ57))/($AK57-$AJ57))+N($G57)*IF($AM57-$AL57&lt;1,($AL57&gt;Lists!N$22)*($AL57&lt;=Lists!N$21),MAX(0,MIN(Lists!N$21,$AM57)-MAX(Lists!N$22,$AL57))/($AM57-$AL57))))))))</f>
        <v>0</v>
      </c>
      <c r="Y57" s="53" t="n">
        <f aca="false">IF($H57=0,0,IF($AP57="X",0,IF($AP57="S",$H57/$AO57*(MIN($AO57,MAX(0,INT((Lists!O$21-N($J57))/7)+1))-MIN($AO57,MAX(0,INT((Lists!O$22-N($J57))/7)+1))),IF($AP57="D",$H57*MAX(0,MIN(Lists!O$21,N($J57)+$AO57)-MAX(Lists!O$22,N($J57)))/$AO57,IF($AP57="M",$H57/$AO57*(IF(Lists!O$21&lt;$J57,0,MIN($AO57,(((YEAR(Lists!O$21)-YEAR($J57))*12+MONTH(Lists!O$21)-MONTH($J57))-(EDATE($J57,((YEAR(Lists!O$21)-YEAR($J57))*12+MONTH(Lists!O$21)-MONTH($J57)))&gt;Lists!O$21)+1)))-IF(Lists!O$22&lt;$J57,0,MIN($AO57,(((YEAR(Lists!O$22)-YEAR($J57))*12+MONTH(Lists!O$22)-MONTH($J57))-(EDATE($J57,((YEAR(Lists!O$22)-YEAR($J57))*12+MONTH(Lists!O$22)-MONTH($J57)))&gt;Lists!O$22)+1)))),IF($AP57="F",IF(N($K57)&lt;=0,0,MIN(MAX(0,$H57),N($K57)*IF(Lists!O$21&lt;$J57,0,(((YEAR(Lists!O$21)-YEAR($J57))*12+MONTH(Lists!O$21)-MONTH($J57))-(EDATE($J57,((YEAR(Lists!O$21)-YEAR($J57))*12+MONTH(Lists!O$21)-MONTH($J57)))&gt;Lists!O$21)+1)))-MIN(MAX(0,$H57),N($K57)*IF(Lists!O$22&lt;$J57,0,(((YEAR(Lists!O$22)-YEAR($J57))*12+MONTH(Lists!O$22)-MONTH($J57))-(EDATE($J57,((YEAR(Lists!O$22)-YEAR($J57))*12+MONTH(Lists!O$22)-MONTH($J57)))&gt;Lists!O$22)+1)))),N($C57)*IF($AE57-$AD57&lt;1,($AD57&gt;Lists!O$22)*($AD57&lt;=Lists!O$21),MAX(0,MIN(Lists!O$21,$AE57)-MAX(Lists!O$22,$AD57))/($AE57-$AD57))+N($D57)*IF($AG57-$AF57&lt;1,($AF57&gt;Lists!O$22)*($AF57&lt;=Lists!O$21),MAX(0,MIN(Lists!O$21,$AG57)-MAX(Lists!O$22,$AF57))/($AG57-$AF57))+N($E57)*IF($AI57-$AH57&lt;1,($AH57&gt;Lists!O$22)*($AH57&lt;=Lists!O$21),MAX(0,MIN(Lists!O$21,$AI57)-MAX(Lists!O$22,$AH57))/($AI57-$AH57))+N($F57)*IF($AK57-$AJ57&lt;1,($AJ57&gt;Lists!O$22)*($AJ57&lt;=Lists!O$21),MAX(0,MIN(Lists!O$21,$AK57)-MAX(Lists!O$22,$AJ57))/($AK57-$AJ57))+N($G57)*IF($AM57-$AL57&lt;1,($AL57&gt;Lists!O$22)*($AL57&lt;=Lists!O$21),MAX(0,MIN(Lists!O$21,$AM57)-MAX(Lists!O$22,$AL57))/($AM57-$AL57))))))))</f>
        <v>0</v>
      </c>
      <c r="Z57" s="46" t="n">
        <f aca="false">SUM(M57:Y57)</f>
        <v>0</v>
      </c>
      <c r="AA57" s="92" t="n">
        <f aca="false">H57-Z57</f>
        <v>0</v>
      </c>
      <c r="AB57" s="55"/>
      <c r="AC57" s="2"/>
      <c r="AD57" s="93" t="n">
        <f aca="false">Setup!$D$10+MAX(0,$AN57-30)</f>
        <v>46365</v>
      </c>
      <c r="AE57" s="93" t="n">
        <f aca="false">Setup!$D$10+IF($AN57-30&lt;0,MAX(Setup!$D$22,$AN57-0),$AN57-0)</f>
        <v>46395</v>
      </c>
      <c r="AF57" s="93" t="n">
        <f aca="false">Setup!$D$10+MAX(0,$AN57-60)</f>
        <v>46335</v>
      </c>
      <c r="AG57" s="93" t="n">
        <f aca="false">Setup!$D$10+IF($AN57-60&lt;0,MAX(Setup!$D$22,$AN57-31),$AN57-31)</f>
        <v>46364</v>
      </c>
      <c r="AH57" s="93" t="n">
        <f aca="false">Setup!$D$10+MAX(0,$AN57-90)</f>
        <v>46335</v>
      </c>
      <c r="AI57" s="93" t="n">
        <f aca="false">Setup!$D$10+IF($AN57-90&lt;0,MAX(Setup!$D$22,$AN57-61),$AN57-61)</f>
        <v>46363</v>
      </c>
      <c r="AJ57" s="93" t="n">
        <f aca="false">Setup!$D$10+MAX(0,$AN57-120)</f>
        <v>46335</v>
      </c>
      <c r="AK57" s="93" t="n">
        <f aca="false">Setup!$D$10+IF($AN57-120&lt;0,MAX(Setup!$D$22,$AN57-91),$AN57-91)</f>
        <v>46363</v>
      </c>
      <c r="AL57" s="93" t="n">
        <f aca="false">IF(Setup!$D$23="Yes",2958465,Setup!$D$10)</f>
        <v>2958465</v>
      </c>
      <c r="AM57" s="93" t="n">
        <f aca="false">IF(AL57=2958465,AL57,Setup!$D$10+Setup!$D$22)</f>
        <v>2958465</v>
      </c>
      <c r="AN57" s="94" t="n">
        <f aca="false">IF(N(L57)=0,Setup!$D$20,L57)</f>
        <v>60</v>
      </c>
      <c r="AO57" s="94" t="n">
        <f aca="false">MAX(1,ROUND(N(K57),0))</f>
        <v>1</v>
      </c>
      <c r="AP57" s="95" t="str">
        <f aca="false">IF(I57="Doubtful","X",IF(N(J57)=0,"A",IF(I57="Specific date","S",IF(I57="Spread over days","D",IF(I57="Monthly on set day","M",IF(I57="Monthly fixed amount","F","A"))))))</f>
        <v>A</v>
      </c>
    </row>
    <row r="58" customFormat="false" ht="15" hidden="false" customHeight="false" outlineLevel="0" collapsed="false">
      <c r="A58" s="87" t="n">
        <v>50</v>
      </c>
      <c r="B58" s="55"/>
      <c r="C58" s="88"/>
      <c r="D58" s="88"/>
      <c r="E58" s="88"/>
      <c r="F58" s="88"/>
      <c r="G58" s="88"/>
      <c r="H58" s="89" t="n">
        <f aca="false">SUM(C58:G58)</f>
        <v>0</v>
      </c>
      <c r="I58" s="58"/>
      <c r="J58" s="90"/>
      <c r="K58" s="91"/>
      <c r="L58" s="80"/>
      <c r="M58" s="53" t="n">
        <f aca="false">IF($H58=0,0,IF($AP58="X",0,IF($AP58="S",$H58/$AO58*(MIN($AO58,MAX(0,INT((Lists!C$21-N($J58))/7)+1))-MIN($AO58,MAX(0,INT((Lists!C$22-N($J58))/7)+1))),IF($AP58="D",$H58*MAX(0,MIN(Lists!C$21,N($J58)+$AO58)-MAX(Lists!C$22,N($J58)))/$AO58,IF($AP58="M",$H58/$AO58*(IF(Lists!C$21&lt;$J58,0,MIN($AO58,(((YEAR(Lists!C$21)-YEAR($J58))*12+MONTH(Lists!C$21)-MONTH($J58))-(EDATE($J58,((YEAR(Lists!C$21)-YEAR($J58))*12+MONTH(Lists!C$21)-MONTH($J58)))&gt;Lists!C$21)+1)))-IF(Lists!C$22&lt;$J58,0,MIN($AO58,(((YEAR(Lists!C$22)-YEAR($J58))*12+MONTH(Lists!C$22)-MONTH($J58))-(EDATE($J58,((YEAR(Lists!C$22)-YEAR($J58))*12+MONTH(Lists!C$22)-MONTH($J58)))&gt;Lists!C$22)+1)))),IF($AP58="F",IF(N($K58)&lt;=0,0,MIN(MAX(0,$H58),N($K58)*IF(Lists!C$21&lt;$J58,0,(((YEAR(Lists!C$21)-YEAR($J58))*12+MONTH(Lists!C$21)-MONTH($J58))-(EDATE($J58,((YEAR(Lists!C$21)-YEAR($J58))*12+MONTH(Lists!C$21)-MONTH($J58)))&gt;Lists!C$21)+1)))-MIN(MAX(0,$H58),N($K58)*IF(Lists!C$22&lt;$J58,0,(((YEAR(Lists!C$22)-YEAR($J58))*12+MONTH(Lists!C$22)-MONTH($J58))-(EDATE($J58,((YEAR(Lists!C$22)-YEAR($J58))*12+MONTH(Lists!C$22)-MONTH($J58)))&gt;Lists!C$22)+1)))),N($C58)*IF($AE58-$AD58&lt;1,($AD58&gt;Lists!C$22)*($AD58&lt;=Lists!C$21),MAX(0,MIN(Lists!C$21,$AE58)-MAX(Lists!C$22,$AD58))/($AE58-$AD58))+N($D58)*IF($AG58-$AF58&lt;1,($AF58&gt;Lists!C$22)*($AF58&lt;=Lists!C$21),MAX(0,MIN(Lists!C$21,$AG58)-MAX(Lists!C$22,$AF58))/($AG58-$AF58))+N($E58)*IF($AI58-$AH58&lt;1,($AH58&gt;Lists!C$22)*($AH58&lt;=Lists!C$21),MAX(0,MIN(Lists!C$21,$AI58)-MAX(Lists!C$22,$AH58))/($AI58-$AH58))+N($F58)*IF($AK58-$AJ58&lt;1,($AJ58&gt;Lists!C$22)*($AJ58&lt;=Lists!C$21),MAX(0,MIN(Lists!C$21,$AK58)-MAX(Lists!C$22,$AJ58))/($AK58-$AJ58))+N($G58)*IF($AM58-$AL58&lt;1,($AL58&gt;Lists!C$22)*($AL58&lt;=Lists!C$21),MAX(0,MIN(Lists!C$21,$AM58)-MAX(Lists!C$22,$AL58))/($AM58-$AL58))))))))</f>
        <v>0</v>
      </c>
      <c r="N58" s="53" t="n">
        <f aca="false">IF($H58=0,0,IF($AP58="X",0,IF($AP58="S",$H58/$AO58*(MIN($AO58,MAX(0,INT((Lists!D$21-N($J58))/7)+1))-MIN($AO58,MAX(0,INT((Lists!D$22-N($J58))/7)+1))),IF($AP58="D",$H58*MAX(0,MIN(Lists!D$21,N($J58)+$AO58)-MAX(Lists!D$22,N($J58)))/$AO58,IF($AP58="M",$H58/$AO58*(IF(Lists!D$21&lt;$J58,0,MIN($AO58,(((YEAR(Lists!D$21)-YEAR($J58))*12+MONTH(Lists!D$21)-MONTH($J58))-(EDATE($J58,((YEAR(Lists!D$21)-YEAR($J58))*12+MONTH(Lists!D$21)-MONTH($J58)))&gt;Lists!D$21)+1)))-IF(Lists!D$22&lt;$J58,0,MIN($AO58,(((YEAR(Lists!D$22)-YEAR($J58))*12+MONTH(Lists!D$22)-MONTH($J58))-(EDATE($J58,((YEAR(Lists!D$22)-YEAR($J58))*12+MONTH(Lists!D$22)-MONTH($J58)))&gt;Lists!D$22)+1)))),IF($AP58="F",IF(N($K58)&lt;=0,0,MIN(MAX(0,$H58),N($K58)*IF(Lists!D$21&lt;$J58,0,(((YEAR(Lists!D$21)-YEAR($J58))*12+MONTH(Lists!D$21)-MONTH($J58))-(EDATE($J58,((YEAR(Lists!D$21)-YEAR($J58))*12+MONTH(Lists!D$21)-MONTH($J58)))&gt;Lists!D$21)+1)))-MIN(MAX(0,$H58),N($K58)*IF(Lists!D$22&lt;$J58,0,(((YEAR(Lists!D$22)-YEAR($J58))*12+MONTH(Lists!D$22)-MONTH($J58))-(EDATE($J58,((YEAR(Lists!D$22)-YEAR($J58))*12+MONTH(Lists!D$22)-MONTH($J58)))&gt;Lists!D$22)+1)))),N($C58)*IF($AE58-$AD58&lt;1,($AD58&gt;Lists!D$22)*($AD58&lt;=Lists!D$21),MAX(0,MIN(Lists!D$21,$AE58)-MAX(Lists!D$22,$AD58))/($AE58-$AD58))+N($D58)*IF($AG58-$AF58&lt;1,($AF58&gt;Lists!D$22)*($AF58&lt;=Lists!D$21),MAX(0,MIN(Lists!D$21,$AG58)-MAX(Lists!D$22,$AF58))/($AG58-$AF58))+N($E58)*IF($AI58-$AH58&lt;1,($AH58&gt;Lists!D$22)*($AH58&lt;=Lists!D$21),MAX(0,MIN(Lists!D$21,$AI58)-MAX(Lists!D$22,$AH58))/($AI58-$AH58))+N($F58)*IF($AK58-$AJ58&lt;1,($AJ58&gt;Lists!D$22)*($AJ58&lt;=Lists!D$21),MAX(0,MIN(Lists!D$21,$AK58)-MAX(Lists!D$22,$AJ58))/($AK58-$AJ58))+N($G58)*IF($AM58-$AL58&lt;1,($AL58&gt;Lists!D$22)*($AL58&lt;=Lists!D$21),MAX(0,MIN(Lists!D$21,$AM58)-MAX(Lists!D$22,$AL58))/($AM58-$AL58))))))))</f>
        <v>0</v>
      </c>
      <c r="O58" s="53" t="n">
        <f aca="false">IF($H58=0,0,IF($AP58="X",0,IF($AP58="S",$H58/$AO58*(MIN($AO58,MAX(0,INT((Lists!E$21-N($J58))/7)+1))-MIN($AO58,MAX(0,INT((Lists!E$22-N($J58))/7)+1))),IF($AP58="D",$H58*MAX(0,MIN(Lists!E$21,N($J58)+$AO58)-MAX(Lists!E$22,N($J58)))/$AO58,IF($AP58="M",$H58/$AO58*(IF(Lists!E$21&lt;$J58,0,MIN($AO58,(((YEAR(Lists!E$21)-YEAR($J58))*12+MONTH(Lists!E$21)-MONTH($J58))-(EDATE($J58,((YEAR(Lists!E$21)-YEAR($J58))*12+MONTH(Lists!E$21)-MONTH($J58)))&gt;Lists!E$21)+1)))-IF(Lists!E$22&lt;$J58,0,MIN($AO58,(((YEAR(Lists!E$22)-YEAR($J58))*12+MONTH(Lists!E$22)-MONTH($J58))-(EDATE($J58,((YEAR(Lists!E$22)-YEAR($J58))*12+MONTH(Lists!E$22)-MONTH($J58)))&gt;Lists!E$22)+1)))),IF($AP58="F",IF(N($K58)&lt;=0,0,MIN(MAX(0,$H58),N($K58)*IF(Lists!E$21&lt;$J58,0,(((YEAR(Lists!E$21)-YEAR($J58))*12+MONTH(Lists!E$21)-MONTH($J58))-(EDATE($J58,((YEAR(Lists!E$21)-YEAR($J58))*12+MONTH(Lists!E$21)-MONTH($J58)))&gt;Lists!E$21)+1)))-MIN(MAX(0,$H58),N($K58)*IF(Lists!E$22&lt;$J58,0,(((YEAR(Lists!E$22)-YEAR($J58))*12+MONTH(Lists!E$22)-MONTH($J58))-(EDATE($J58,((YEAR(Lists!E$22)-YEAR($J58))*12+MONTH(Lists!E$22)-MONTH($J58)))&gt;Lists!E$22)+1)))),N($C58)*IF($AE58-$AD58&lt;1,($AD58&gt;Lists!E$22)*($AD58&lt;=Lists!E$21),MAX(0,MIN(Lists!E$21,$AE58)-MAX(Lists!E$22,$AD58))/($AE58-$AD58))+N($D58)*IF($AG58-$AF58&lt;1,($AF58&gt;Lists!E$22)*($AF58&lt;=Lists!E$21),MAX(0,MIN(Lists!E$21,$AG58)-MAX(Lists!E$22,$AF58))/($AG58-$AF58))+N($E58)*IF($AI58-$AH58&lt;1,($AH58&gt;Lists!E$22)*($AH58&lt;=Lists!E$21),MAX(0,MIN(Lists!E$21,$AI58)-MAX(Lists!E$22,$AH58))/($AI58-$AH58))+N($F58)*IF($AK58-$AJ58&lt;1,($AJ58&gt;Lists!E$22)*($AJ58&lt;=Lists!E$21),MAX(0,MIN(Lists!E$21,$AK58)-MAX(Lists!E$22,$AJ58))/($AK58-$AJ58))+N($G58)*IF($AM58-$AL58&lt;1,($AL58&gt;Lists!E$22)*($AL58&lt;=Lists!E$21),MAX(0,MIN(Lists!E$21,$AM58)-MAX(Lists!E$22,$AL58))/($AM58-$AL58))))))))</f>
        <v>0</v>
      </c>
      <c r="P58" s="53" t="n">
        <f aca="false">IF($H58=0,0,IF($AP58="X",0,IF($AP58="S",$H58/$AO58*(MIN($AO58,MAX(0,INT((Lists!F$21-N($J58))/7)+1))-MIN($AO58,MAX(0,INT((Lists!F$22-N($J58))/7)+1))),IF($AP58="D",$H58*MAX(0,MIN(Lists!F$21,N($J58)+$AO58)-MAX(Lists!F$22,N($J58)))/$AO58,IF($AP58="M",$H58/$AO58*(IF(Lists!F$21&lt;$J58,0,MIN($AO58,(((YEAR(Lists!F$21)-YEAR($J58))*12+MONTH(Lists!F$21)-MONTH($J58))-(EDATE($J58,((YEAR(Lists!F$21)-YEAR($J58))*12+MONTH(Lists!F$21)-MONTH($J58)))&gt;Lists!F$21)+1)))-IF(Lists!F$22&lt;$J58,0,MIN($AO58,(((YEAR(Lists!F$22)-YEAR($J58))*12+MONTH(Lists!F$22)-MONTH($J58))-(EDATE($J58,((YEAR(Lists!F$22)-YEAR($J58))*12+MONTH(Lists!F$22)-MONTH($J58)))&gt;Lists!F$22)+1)))),IF($AP58="F",IF(N($K58)&lt;=0,0,MIN(MAX(0,$H58),N($K58)*IF(Lists!F$21&lt;$J58,0,(((YEAR(Lists!F$21)-YEAR($J58))*12+MONTH(Lists!F$21)-MONTH($J58))-(EDATE($J58,((YEAR(Lists!F$21)-YEAR($J58))*12+MONTH(Lists!F$21)-MONTH($J58)))&gt;Lists!F$21)+1)))-MIN(MAX(0,$H58),N($K58)*IF(Lists!F$22&lt;$J58,0,(((YEAR(Lists!F$22)-YEAR($J58))*12+MONTH(Lists!F$22)-MONTH($J58))-(EDATE($J58,((YEAR(Lists!F$22)-YEAR($J58))*12+MONTH(Lists!F$22)-MONTH($J58)))&gt;Lists!F$22)+1)))),N($C58)*IF($AE58-$AD58&lt;1,($AD58&gt;Lists!F$22)*($AD58&lt;=Lists!F$21),MAX(0,MIN(Lists!F$21,$AE58)-MAX(Lists!F$22,$AD58))/($AE58-$AD58))+N($D58)*IF($AG58-$AF58&lt;1,($AF58&gt;Lists!F$22)*($AF58&lt;=Lists!F$21),MAX(0,MIN(Lists!F$21,$AG58)-MAX(Lists!F$22,$AF58))/($AG58-$AF58))+N($E58)*IF($AI58-$AH58&lt;1,($AH58&gt;Lists!F$22)*($AH58&lt;=Lists!F$21),MAX(0,MIN(Lists!F$21,$AI58)-MAX(Lists!F$22,$AH58))/($AI58-$AH58))+N($F58)*IF($AK58-$AJ58&lt;1,($AJ58&gt;Lists!F$22)*($AJ58&lt;=Lists!F$21),MAX(0,MIN(Lists!F$21,$AK58)-MAX(Lists!F$22,$AJ58))/($AK58-$AJ58))+N($G58)*IF($AM58-$AL58&lt;1,($AL58&gt;Lists!F$22)*($AL58&lt;=Lists!F$21),MAX(0,MIN(Lists!F$21,$AM58)-MAX(Lists!F$22,$AL58))/($AM58-$AL58))))))))</f>
        <v>0</v>
      </c>
      <c r="Q58" s="53" t="n">
        <f aca="false">IF($H58=0,0,IF($AP58="X",0,IF($AP58="S",$H58/$AO58*(MIN($AO58,MAX(0,INT((Lists!G$21-N($J58))/7)+1))-MIN($AO58,MAX(0,INT((Lists!G$22-N($J58))/7)+1))),IF($AP58="D",$H58*MAX(0,MIN(Lists!G$21,N($J58)+$AO58)-MAX(Lists!G$22,N($J58)))/$AO58,IF($AP58="M",$H58/$AO58*(IF(Lists!G$21&lt;$J58,0,MIN($AO58,(((YEAR(Lists!G$21)-YEAR($J58))*12+MONTH(Lists!G$21)-MONTH($J58))-(EDATE($J58,((YEAR(Lists!G$21)-YEAR($J58))*12+MONTH(Lists!G$21)-MONTH($J58)))&gt;Lists!G$21)+1)))-IF(Lists!G$22&lt;$J58,0,MIN($AO58,(((YEAR(Lists!G$22)-YEAR($J58))*12+MONTH(Lists!G$22)-MONTH($J58))-(EDATE($J58,((YEAR(Lists!G$22)-YEAR($J58))*12+MONTH(Lists!G$22)-MONTH($J58)))&gt;Lists!G$22)+1)))),IF($AP58="F",IF(N($K58)&lt;=0,0,MIN(MAX(0,$H58),N($K58)*IF(Lists!G$21&lt;$J58,0,(((YEAR(Lists!G$21)-YEAR($J58))*12+MONTH(Lists!G$21)-MONTH($J58))-(EDATE($J58,((YEAR(Lists!G$21)-YEAR($J58))*12+MONTH(Lists!G$21)-MONTH($J58)))&gt;Lists!G$21)+1)))-MIN(MAX(0,$H58),N($K58)*IF(Lists!G$22&lt;$J58,0,(((YEAR(Lists!G$22)-YEAR($J58))*12+MONTH(Lists!G$22)-MONTH($J58))-(EDATE($J58,((YEAR(Lists!G$22)-YEAR($J58))*12+MONTH(Lists!G$22)-MONTH($J58)))&gt;Lists!G$22)+1)))),N($C58)*IF($AE58-$AD58&lt;1,($AD58&gt;Lists!G$22)*($AD58&lt;=Lists!G$21),MAX(0,MIN(Lists!G$21,$AE58)-MAX(Lists!G$22,$AD58))/($AE58-$AD58))+N($D58)*IF($AG58-$AF58&lt;1,($AF58&gt;Lists!G$22)*($AF58&lt;=Lists!G$21),MAX(0,MIN(Lists!G$21,$AG58)-MAX(Lists!G$22,$AF58))/($AG58-$AF58))+N($E58)*IF($AI58-$AH58&lt;1,($AH58&gt;Lists!G$22)*($AH58&lt;=Lists!G$21),MAX(0,MIN(Lists!G$21,$AI58)-MAX(Lists!G$22,$AH58))/($AI58-$AH58))+N($F58)*IF($AK58-$AJ58&lt;1,($AJ58&gt;Lists!G$22)*($AJ58&lt;=Lists!G$21),MAX(0,MIN(Lists!G$21,$AK58)-MAX(Lists!G$22,$AJ58))/($AK58-$AJ58))+N($G58)*IF($AM58-$AL58&lt;1,($AL58&gt;Lists!G$22)*($AL58&lt;=Lists!G$21),MAX(0,MIN(Lists!G$21,$AM58)-MAX(Lists!G$22,$AL58))/($AM58-$AL58))))))))</f>
        <v>0</v>
      </c>
      <c r="R58" s="53" t="n">
        <f aca="false">IF($H58=0,0,IF($AP58="X",0,IF($AP58="S",$H58/$AO58*(MIN($AO58,MAX(0,INT((Lists!H$21-N($J58))/7)+1))-MIN($AO58,MAX(0,INT((Lists!H$22-N($J58))/7)+1))),IF($AP58="D",$H58*MAX(0,MIN(Lists!H$21,N($J58)+$AO58)-MAX(Lists!H$22,N($J58)))/$AO58,IF($AP58="M",$H58/$AO58*(IF(Lists!H$21&lt;$J58,0,MIN($AO58,(((YEAR(Lists!H$21)-YEAR($J58))*12+MONTH(Lists!H$21)-MONTH($J58))-(EDATE($J58,((YEAR(Lists!H$21)-YEAR($J58))*12+MONTH(Lists!H$21)-MONTH($J58)))&gt;Lists!H$21)+1)))-IF(Lists!H$22&lt;$J58,0,MIN($AO58,(((YEAR(Lists!H$22)-YEAR($J58))*12+MONTH(Lists!H$22)-MONTH($J58))-(EDATE($J58,((YEAR(Lists!H$22)-YEAR($J58))*12+MONTH(Lists!H$22)-MONTH($J58)))&gt;Lists!H$22)+1)))),IF($AP58="F",IF(N($K58)&lt;=0,0,MIN(MAX(0,$H58),N($K58)*IF(Lists!H$21&lt;$J58,0,(((YEAR(Lists!H$21)-YEAR($J58))*12+MONTH(Lists!H$21)-MONTH($J58))-(EDATE($J58,((YEAR(Lists!H$21)-YEAR($J58))*12+MONTH(Lists!H$21)-MONTH($J58)))&gt;Lists!H$21)+1)))-MIN(MAX(0,$H58),N($K58)*IF(Lists!H$22&lt;$J58,0,(((YEAR(Lists!H$22)-YEAR($J58))*12+MONTH(Lists!H$22)-MONTH($J58))-(EDATE($J58,((YEAR(Lists!H$22)-YEAR($J58))*12+MONTH(Lists!H$22)-MONTH($J58)))&gt;Lists!H$22)+1)))),N($C58)*IF($AE58-$AD58&lt;1,($AD58&gt;Lists!H$22)*($AD58&lt;=Lists!H$21),MAX(0,MIN(Lists!H$21,$AE58)-MAX(Lists!H$22,$AD58))/($AE58-$AD58))+N($D58)*IF($AG58-$AF58&lt;1,($AF58&gt;Lists!H$22)*($AF58&lt;=Lists!H$21),MAX(0,MIN(Lists!H$21,$AG58)-MAX(Lists!H$22,$AF58))/($AG58-$AF58))+N($E58)*IF($AI58-$AH58&lt;1,($AH58&gt;Lists!H$22)*($AH58&lt;=Lists!H$21),MAX(0,MIN(Lists!H$21,$AI58)-MAX(Lists!H$22,$AH58))/($AI58-$AH58))+N($F58)*IF($AK58-$AJ58&lt;1,($AJ58&gt;Lists!H$22)*($AJ58&lt;=Lists!H$21),MAX(0,MIN(Lists!H$21,$AK58)-MAX(Lists!H$22,$AJ58))/($AK58-$AJ58))+N($G58)*IF($AM58-$AL58&lt;1,($AL58&gt;Lists!H$22)*($AL58&lt;=Lists!H$21),MAX(0,MIN(Lists!H$21,$AM58)-MAX(Lists!H$22,$AL58))/($AM58-$AL58))))))))</f>
        <v>0</v>
      </c>
      <c r="S58" s="53" t="n">
        <f aca="false">IF($H58=0,0,IF($AP58="X",0,IF($AP58="S",$H58/$AO58*(MIN($AO58,MAX(0,INT((Lists!I$21-N($J58))/7)+1))-MIN($AO58,MAX(0,INT((Lists!I$22-N($J58))/7)+1))),IF($AP58="D",$H58*MAX(0,MIN(Lists!I$21,N($J58)+$AO58)-MAX(Lists!I$22,N($J58)))/$AO58,IF($AP58="M",$H58/$AO58*(IF(Lists!I$21&lt;$J58,0,MIN($AO58,(((YEAR(Lists!I$21)-YEAR($J58))*12+MONTH(Lists!I$21)-MONTH($J58))-(EDATE($J58,((YEAR(Lists!I$21)-YEAR($J58))*12+MONTH(Lists!I$21)-MONTH($J58)))&gt;Lists!I$21)+1)))-IF(Lists!I$22&lt;$J58,0,MIN($AO58,(((YEAR(Lists!I$22)-YEAR($J58))*12+MONTH(Lists!I$22)-MONTH($J58))-(EDATE($J58,((YEAR(Lists!I$22)-YEAR($J58))*12+MONTH(Lists!I$22)-MONTH($J58)))&gt;Lists!I$22)+1)))),IF($AP58="F",IF(N($K58)&lt;=0,0,MIN(MAX(0,$H58),N($K58)*IF(Lists!I$21&lt;$J58,0,(((YEAR(Lists!I$21)-YEAR($J58))*12+MONTH(Lists!I$21)-MONTH($J58))-(EDATE($J58,((YEAR(Lists!I$21)-YEAR($J58))*12+MONTH(Lists!I$21)-MONTH($J58)))&gt;Lists!I$21)+1)))-MIN(MAX(0,$H58),N($K58)*IF(Lists!I$22&lt;$J58,0,(((YEAR(Lists!I$22)-YEAR($J58))*12+MONTH(Lists!I$22)-MONTH($J58))-(EDATE($J58,((YEAR(Lists!I$22)-YEAR($J58))*12+MONTH(Lists!I$22)-MONTH($J58)))&gt;Lists!I$22)+1)))),N($C58)*IF($AE58-$AD58&lt;1,($AD58&gt;Lists!I$22)*($AD58&lt;=Lists!I$21),MAX(0,MIN(Lists!I$21,$AE58)-MAX(Lists!I$22,$AD58))/($AE58-$AD58))+N($D58)*IF($AG58-$AF58&lt;1,($AF58&gt;Lists!I$22)*($AF58&lt;=Lists!I$21),MAX(0,MIN(Lists!I$21,$AG58)-MAX(Lists!I$22,$AF58))/($AG58-$AF58))+N($E58)*IF($AI58-$AH58&lt;1,($AH58&gt;Lists!I$22)*($AH58&lt;=Lists!I$21),MAX(0,MIN(Lists!I$21,$AI58)-MAX(Lists!I$22,$AH58))/($AI58-$AH58))+N($F58)*IF($AK58-$AJ58&lt;1,($AJ58&gt;Lists!I$22)*($AJ58&lt;=Lists!I$21),MAX(0,MIN(Lists!I$21,$AK58)-MAX(Lists!I$22,$AJ58))/($AK58-$AJ58))+N($G58)*IF($AM58-$AL58&lt;1,($AL58&gt;Lists!I$22)*($AL58&lt;=Lists!I$21),MAX(0,MIN(Lists!I$21,$AM58)-MAX(Lists!I$22,$AL58))/($AM58-$AL58))))))))</f>
        <v>0</v>
      </c>
      <c r="T58" s="53" t="n">
        <f aca="false">IF($H58=0,0,IF($AP58="X",0,IF($AP58="S",$H58/$AO58*(MIN($AO58,MAX(0,INT((Lists!J$21-N($J58))/7)+1))-MIN($AO58,MAX(0,INT((Lists!J$22-N($J58))/7)+1))),IF($AP58="D",$H58*MAX(0,MIN(Lists!J$21,N($J58)+$AO58)-MAX(Lists!J$22,N($J58)))/$AO58,IF($AP58="M",$H58/$AO58*(IF(Lists!J$21&lt;$J58,0,MIN($AO58,(((YEAR(Lists!J$21)-YEAR($J58))*12+MONTH(Lists!J$21)-MONTH($J58))-(EDATE($J58,((YEAR(Lists!J$21)-YEAR($J58))*12+MONTH(Lists!J$21)-MONTH($J58)))&gt;Lists!J$21)+1)))-IF(Lists!J$22&lt;$J58,0,MIN($AO58,(((YEAR(Lists!J$22)-YEAR($J58))*12+MONTH(Lists!J$22)-MONTH($J58))-(EDATE($J58,((YEAR(Lists!J$22)-YEAR($J58))*12+MONTH(Lists!J$22)-MONTH($J58)))&gt;Lists!J$22)+1)))),IF($AP58="F",IF(N($K58)&lt;=0,0,MIN(MAX(0,$H58),N($K58)*IF(Lists!J$21&lt;$J58,0,(((YEAR(Lists!J$21)-YEAR($J58))*12+MONTH(Lists!J$21)-MONTH($J58))-(EDATE($J58,((YEAR(Lists!J$21)-YEAR($J58))*12+MONTH(Lists!J$21)-MONTH($J58)))&gt;Lists!J$21)+1)))-MIN(MAX(0,$H58),N($K58)*IF(Lists!J$22&lt;$J58,0,(((YEAR(Lists!J$22)-YEAR($J58))*12+MONTH(Lists!J$22)-MONTH($J58))-(EDATE($J58,((YEAR(Lists!J$22)-YEAR($J58))*12+MONTH(Lists!J$22)-MONTH($J58)))&gt;Lists!J$22)+1)))),N($C58)*IF($AE58-$AD58&lt;1,($AD58&gt;Lists!J$22)*($AD58&lt;=Lists!J$21),MAX(0,MIN(Lists!J$21,$AE58)-MAX(Lists!J$22,$AD58))/($AE58-$AD58))+N($D58)*IF($AG58-$AF58&lt;1,($AF58&gt;Lists!J$22)*($AF58&lt;=Lists!J$21),MAX(0,MIN(Lists!J$21,$AG58)-MAX(Lists!J$22,$AF58))/($AG58-$AF58))+N($E58)*IF($AI58-$AH58&lt;1,($AH58&gt;Lists!J$22)*($AH58&lt;=Lists!J$21),MAX(0,MIN(Lists!J$21,$AI58)-MAX(Lists!J$22,$AH58))/($AI58-$AH58))+N($F58)*IF($AK58-$AJ58&lt;1,($AJ58&gt;Lists!J$22)*($AJ58&lt;=Lists!J$21),MAX(0,MIN(Lists!J$21,$AK58)-MAX(Lists!J$22,$AJ58))/($AK58-$AJ58))+N($G58)*IF($AM58-$AL58&lt;1,($AL58&gt;Lists!J$22)*($AL58&lt;=Lists!J$21),MAX(0,MIN(Lists!J$21,$AM58)-MAX(Lists!J$22,$AL58))/($AM58-$AL58))))))))</f>
        <v>0</v>
      </c>
      <c r="U58" s="53" t="n">
        <f aca="false">IF($H58=0,0,IF($AP58="X",0,IF($AP58="S",$H58/$AO58*(MIN($AO58,MAX(0,INT((Lists!K$21-N($J58))/7)+1))-MIN($AO58,MAX(0,INT((Lists!K$22-N($J58))/7)+1))),IF($AP58="D",$H58*MAX(0,MIN(Lists!K$21,N($J58)+$AO58)-MAX(Lists!K$22,N($J58)))/$AO58,IF($AP58="M",$H58/$AO58*(IF(Lists!K$21&lt;$J58,0,MIN($AO58,(((YEAR(Lists!K$21)-YEAR($J58))*12+MONTH(Lists!K$21)-MONTH($J58))-(EDATE($J58,((YEAR(Lists!K$21)-YEAR($J58))*12+MONTH(Lists!K$21)-MONTH($J58)))&gt;Lists!K$21)+1)))-IF(Lists!K$22&lt;$J58,0,MIN($AO58,(((YEAR(Lists!K$22)-YEAR($J58))*12+MONTH(Lists!K$22)-MONTH($J58))-(EDATE($J58,((YEAR(Lists!K$22)-YEAR($J58))*12+MONTH(Lists!K$22)-MONTH($J58)))&gt;Lists!K$22)+1)))),IF($AP58="F",IF(N($K58)&lt;=0,0,MIN(MAX(0,$H58),N($K58)*IF(Lists!K$21&lt;$J58,0,(((YEAR(Lists!K$21)-YEAR($J58))*12+MONTH(Lists!K$21)-MONTH($J58))-(EDATE($J58,((YEAR(Lists!K$21)-YEAR($J58))*12+MONTH(Lists!K$21)-MONTH($J58)))&gt;Lists!K$21)+1)))-MIN(MAX(0,$H58),N($K58)*IF(Lists!K$22&lt;$J58,0,(((YEAR(Lists!K$22)-YEAR($J58))*12+MONTH(Lists!K$22)-MONTH($J58))-(EDATE($J58,((YEAR(Lists!K$22)-YEAR($J58))*12+MONTH(Lists!K$22)-MONTH($J58)))&gt;Lists!K$22)+1)))),N($C58)*IF($AE58-$AD58&lt;1,($AD58&gt;Lists!K$22)*($AD58&lt;=Lists!K$21),MAX(0,MIN(Lists!K$21,$AE58)-MAX(Lists!K$22,$AD58))/($AE58-$AD58))+N($D58)*IF($AG58-$AF58&lt;1,($AF58&gt;Lists!K$22)*($AF58&lt;=Lists!K$21),MAX(0,MIN(Lists!K$21,$AG58)-MAX(Lists!K$22,$AF58))/($AG58-$AF58))+N($E58)*IF($AI58-$AH58&lt;1,($AH58&gt;Lists!K$22)*($AH58&lt;=Lists!K$21),MAX(0,MIN(Lists!K$21,$AI58)-MAX(Lists!K$22,$AH58))/($AI58-$AH58))+N($F58)*IF($AK58-$AJ58&lt;1,($AJ58&gt;Lists!K$22)*($AJ58&lt;=Lists!K$21),MAX(0,MIN(Lists!K$21,$AK58)-MAX(Lists!K$22,$AJ58))/($AK58-$AJ58))+N($G58)*IF($AM58-$AL58&lt;1,($AL58&gt;Lists!K$22)*($AL58&lt;=Lists!K$21),MAX(0,MIN(Lists!K$21,$AM58)-MAX(Lists!K$22,$AL58))/($AM58-$AL58))))))))</f>
        <v>0</v>
      </c>
      <c r="V58" s="53" t="n">
        <f aca="false">IF($H58=0,0,IF($AP58="X",0,IF($AP58="S",$H58/$AO58*(MIN($AO58,MAX(0,INT((Lists!L$21-N($J58))/7)+1))-MIN($AO58,MAX(0,INT((Lists!L$22-N($J58))/7)+1))),IF($AP58="D",$H58*MAX(0,MIN(Lists!L$21,N($J58)+$AO58)-MAX(Lists!L$22,N($J58)))/$AO58,IF($AP58="M",$H58/$AO58*(IF(Lists!L$21&lt;$J58,0,MIN($AO58,(((YEAR(Lists!L$21)-YEAR($J58))*12+MONTH(Lists!L$21)-MONTH($J58))-(EDATE($J58,((YEAR(Lists!L$21)-YEAR($J58))*12+MONTH(Lists!L$21)-MONTH($J58)))&gt;Lists!L$21)+1)))-IF(Lists!L$22&lt;$J58,0,MIN($AO58,(((YEAR(Lists!L$22)-YEAR($J58))*12+MONTH(Lists!L$22)-MONTH($J58))-(EDATE($J58,((YEAR(Lists!L$22)-YEAR($J58))*12+MONTH(Lists!L$22)-MONTH($J58)))&gt;Lists!L$22)+1)))),IF($AP58="F",IF(N($K58)&lt;=0,0,MIN(MAX(0,$H58),N($K58)*IF(Lists!L$21&lt;$J58,0,(((YEAR(Lists!L$21)-YEAR($J58))*12+MONTH(Lists!L$21)-MONTH($J58))-(EDATE($J58,((YEAR(Lists!L$21)-YEAR($J58))*12+MONTH(Lists!L$21)-MONTH($J58)))&gt;Lists!L$21)+1)))-MIN(MAX(0,$H58),N($K58)*IF(Lists!L$22&lt;$J58,0,(((YEAR(Lists!L$22)-YEAR($J58))*12+MONTH(Lists!L$22)-MONTH($J58))-(EDATE($J58,((YEAR(Lists!L$22)-YEAR($J58))*12+MONTH(Lists!L$22)-MONTH($J58)))&gt;Lists!L$22)+1)))),N($C58)*IF($AE58-$AD58&lt;1,($AD58&gt;Lists!L$22)*($AD58&lt;=Lists!L$21),MAX(0,MIN(Lists!L$21,$AE58)-MAX(Lists!L$22,$AD58))/($AE58-$AD58))+N($D58)*IF($AG58-$AF58&lt;1,($AF58&gt;Lists!L$22)*($AF58&lt;=Lists!L$21),MAX(0,MIN(Lists!L$21,$AG58)-MAX(Lists!L$22,$AF58))/($AG58-$AF58))+N($E58)*IF($AI58-$AH58&lt;1,($AH58&gt;Lists!L$22)*($AH58&lt;=Lists!L$21),MAX(0,MIN(Lists!L$21,$AI58)-MAX(Lists!L$22,$AH58))/($AI58-$AH58))+N($F58)*IF($AK58-$AJ58&lt;1,($AJ58&gt;Lists!L$22)*($AJ58&lt;=Lists!L$21),MAX(0,MIN(Lists!L$21,$AK58)-MAX(Lists!L$22,$AJ58))/($AK58-$AJ58))+N($G58)*IF($AM58-$AL58&lt;1,($AL58&gt;Lists!L$22)*($AL58&lt;=Lists!L$21),MAX(0,MIN(Lists!L$21,$AM58)-MAX(Lists!L$22,$AL58))/($AM58-$AL58))))))))</f>
        <v>0</v>
      </c>
      <c r="W58" s="53" t="n">
        <f aca="false">IF($H58=0,0,IF($AP58="X",0,IF($AP58="S",$H58/$AO58*(MIN($AO58,MAX(0,INT((Lists!M$21-N($J58))/7)+1))-MIN($AO58,MAX(0,INT((Lists!M$22-N($J58))/7)+1))),IF($AP58="D",$H58*MAX(0,MIN(Lists!M$21,N($J58)+$AO58)-MAX(Lists!M$22,N($J58)))/$AO58,IF($AP58="M",$H58/$AO58*(IF(Lists!M$21&lt;$J58,0,MIN($AO58,(((YEAR(Lists!M$21)-YEAR($J58))*12+MONTH(Lists!M$21)-MONTH($J58))-(EDATE($J58,((YEAR(Lists!M$21)-YEAR($J58))*12+MONTH(Lists!M$21)-MONTH($J58)))&gt;Lists!M$21)+1)))-IF(Lists!M$22&lt;$J58,0,MIN($AO58,(((YEAR(Lists!M$22)-YEAR($J58))*12+MONTH(Lists!M$22)-MONTH($J58))-(EDATE($J58,((YEAR(Lists!M$22)-YEAR($J58))*12+MONTH(Lists!M$22)-MONTH($J58)))&gt;Lists!M$22)+1)))),IF($AP58="F",IF(N($K58)&lt;=0,0,MIN(MAX(0,$H58),N($K58)*IF(Lists!M$21&lt;$J58,0,(((YEAR(Lists!M$21)-YEAR($J58))*12+MONTH(Lists!M$21)-MONTH($J58))-(EDATE($J58,((YEAR(Lists!M$21)-YEAR($J58))*12+MONTH(Lists!M$21)-MONTH($J58)))&gt;Lists!M$21)+1)))-MIN(MAX(0,$H58),N($K58)*IF(Lists!M$22&lt;$J58,0,(((YEAR(Lists!M$22)-YEAR($J58))*12+MONTH(Lists!M$22)-MONTH($J58))-(EDATE($J58,((YEAR(Lists!M$22)-YEAR($J58))*12+MONTH(Lists!M$22)-MONTH($J58)))&gt;Lists!M$22)+1)))),N($C58)*IF($AE58-$AD58&lt;1,($AD58&gt;Lists!M$22)*($AD58&lt;=Lists!M$21),MAX(0,MIN(Lists!M$21,$AE58)-MAX(Lists!M$22,$AD58))/($AE58-$AD58))+N($D58)*IF($AG58-$AF58&lt;1,($AF58&gt;Lists!M$22)*($AF58&lt;=Lists!M$21),MAX(0,MIN(Lists!M$21,$AG58)-MAX(Lists!M$22,$AF58))/($AG58-$AF58))+N($E58)*IF($AI58-$AH58&lt;1,($AH58&gt;Lists!M$22)*($AH58&lt;=Lists!M$21),MAX(0,MIN(Lists!M$21,$AI58)-MAX(Lists!M$22,$AH58))/($AI58-$AH58))+N($F58)*IF($AK58-$AJ58&lt;1,($AJ58&gt;Lists!M$22)*($AJ58&lt;=Lists!M$21),MAX(0,MIN(Lists!M$21,$AK58)-MAX(Lists!M$22,$AJ58))/($AK58-$AJ58))+N($G58)*IF($AM58-$AL58&lt;1,($AL58&gt;Lists!M$22)*($AL58&lt;=Lists!M$21),MAX(0,MIN(Lists!M$21,$AM58)-MAX(Lists!M$22,$AL58))/($AM58-$AL58))))))))</f>
        <v>0</v>
      </c>
      <c r="X58" s="53" t="n">
        <f aca="false">IF($H58=0,0,IF($AP58="X",0,IF($AP58="S",$H58/$AO58*(MIN($AO58,MAX(0,INT((Lists!N$21-N($J58))/7)+1))-MIN($AO58,MAX(0,INT((Lists!N$22-N($J58))/7)+1))),IF($AP58="D",$H58*MAX(0,MIN(Lists!N$21,N($J58)+$AO58)-MAX(Lists!N$22,N($J58)))/$AO58,IF($AP58="M",$H58/$AO58*(IF(Lists!N$21&lt;$J58,0,MIN($AO58,(((YEAR(Lists!N$21)-YEAR($J58))*12+MONTH(Lists!N$21)-MONTH($J58))-(EDATE($J58,((YEAR(Lists!N$21)-YEAR($J58))*12+MONTH(Lists!N$21)-MONTH($J58)))&gt;Lists!N$21)+1)))-IF(Lists!N$22&lt;$J58,0,MIN($AO58,(((YEAR(Lists!N$22)-YEAR($J58))*12+MONTH(Lists!N$22)-MONTH($J58))-(EDATE($J58,((YEAR(Lists!N$22)-YEAR($J58))*12+MONTH(Lists!N$22)-MONTH($J58)))&gt;Lists!N$22)+1)))),IF($AP58="F",IF(N($K58)&lt;=0,0,MIN(MAX(0,$H58),N($K58)*IF(Lists!N$21&lt;$J58,0,(((YEAR(Lists!N$21)-YEAR($J58))*12+MONTH(Lists!N$21)-MONTH($J58))-(EDATE($J58,((YEAR(Lists!N$21)-YEAR($J58))*12+MONTH(Lists!N$21)-MONTH($J58)))&gt;Lists!N$21)+1)))-MIN(MAX(0,$H58),N($K58)*IF(Lists!N$22&lt;$J58,0,(((YEAR(Lists!N$22)-YEAR($J58))*12+MONTH(Lists!N$22)-MONTH($J58))-(EDATE($J58,((YEAR(Lists!N$22)-YEAR($J58))*12+MONTH(Lists!N$22)-MONTH($J58)))&gt;Lists!N$22)+1)))),N($C58)*IF($AE58-$AD58&lt;1,($AD58&gt;Lists!N$22)*($AD58&lt;=Lists!N$21),MAX(0,MIN(Lists!N$21,$AE58)-MAX(Lists!N$22,$AD58))/($AE58-$AD58))+N($D58)*IF($AG58-$AF58&lt;1,($AF58&gt;Lists!N$22)*($AF58&lt;=Lists!N$21),MAX(0,MIN(Lists!N$21,$AG58)-MAX(Lists!N$22,$AF58))/($AG58-$AF58))+N($E58)*IF($AI58-$AH58&lt;1,($AH58&gt;Lists!N$22)*($AH58&lt;=Lists!N$21),MAX(0,MIN(Lists!N$21,$AI58)-MAX(Lists!N$22,$AH58))/($AI58-$AH58))+N($F58)*IF($AK58-$AJ58&lt;1,($AJ58&gt;Lists!N$22)*($AJ58&lt;=Lists!N$21),MAX(0,MIN(Lists!N$21,$AK58)-MAX(Lists!N$22,$AJ58))/($AK58-$AJ58))+N($G58)*IF($AM58-$AL58&lt;1,($AL58&gt;Lists!N$22)*($AL58&lt;=Lists!N$21),MAX(0,MIN(Lists!N$21,$AM58)-MAX(Lists!N$22,$AL58))/($AM58-$AL58))))))))</f>
        <v>0</v>
      </c>
      <c r="Y58" s="53" t="n">
        <f aca="false">IF($H58=0,0,IF($AP58="X",0,IF($AP58="S",$H58/$AO58*(MIN($AO58,MAX(0,INT((Lists!O$21-N($J58))/7)+1))-MIN($AO58,MAX(0,INT((Lists!O$22-N($J58))/7)+1))),IF($AP58="D",$H58*MAX(0,MIN(Lists!O$21,N($J58)+$AO58)-MAX(Lists!O$22,N($J58)))/$AO58,IF($AP58="M",$H58/$AO58*(IF(Lists!O$21&lt;$J58,0,MIN($AO58,(((YEAR(Lists!O$21)-YEAR($J58))*12+MONTH(Lists!O$21)-MONTH($J58))-(EDATE($J58,((YEAR(Lists!O$21)-YEAR($J58))*12+MONTH(Lists!O$21)-MONTH($J58)))&gt;Lists!O$21)+1)))-IF(Lists!O$22&lt;$J58,0,MIN($AO58,(((YEAR(Lists!O$22)-YEAR($J58))*12+MONTH(Lists!O$22)-MONTH($J58))-(EDATE($J58,((YEAR(Lists!O$22)-YEAR($J58))*12+MONTH(Lists!O$22)-MONTH($J58)))&gt;Lists!O$22)+1)))),IF($AP58="F",IF(N($K58)&lt;=0,0,MIN(MAX(0,$H58),N($K58)*IF(Lists!O$21&lt;$J58,0,(((YEAR(Lists!O$21)-YEAR($J58))*12+MONTH(Lists!O$21)-MONTH($J58))-(EDATE($J58,((YEAR(Lists!O$21)-YEAR($J58))*12+MONTH(Lists!O$21)-MONTH($J58)))&gt;Lists!O$21)+1)))-MIN(MAX(0,$H58),N($K58)*IF(Lists!O$22&lt;$J58,0,(((YEAR(Lists!O$22)-YEAR($J58))*12+MONTH(Lists!O$22)-MONTH($J58))-(EDATE($J58,((YEAR(Lists!O$22)-YEAR($J58))*12+MONTH(Lists!O$22)-MONTH($J58)))&gt;Lists!O$22)+1)))),N($C58)*IF($AE58-$AD58&lt;1,($AD58&gt;Lists!O$22)*($AD58&lt;=Lists!O$21),MAX(0,MIN(Lists!O$21,$AE58)-MAX(Lists!O$22,$AD58))/($AE58-$AD58))+N($D58)*IF($AG58-$AF58&lt;1,($AF58&gt;Lists!O$22)*($AF58&lt;=Lists!O$21),MAX(0,MIN(Lists!O$21,$AG58)-MAX(Lists!O$22,$AF58))/($AG58-$AF58))+N($E58)*IF($AI58-$AH58&lt;1,($AH58&gt;Lists!O$22)*($AH58&lt;=Lists!O$21),MAX(0,MIN(Lists!O$21,$AI58)-MAX(Lists!O$22,$AH58))/($AI58-$AH58))+N($F58)*IF($AK58-$AJ58&lt;1,($AJ58&gt;Lists!O$22)*($AJ58&lt;=Lists!O$21),MAX(0,MIN(Lists!O$21,$AK58)-MAX(Lists!O$22,$AJ58))/($AK58-$AJ58))+N($G58)*IF($AM58-$AL58&lt;1,($AL58&gt;Lists!O$22)*($AL58&lt;=Lists!O$21),MAX(0,MIN(Lists!O$21,$AM58)-MAX(Lists!O$22,$AL58))/($AM58-$AL58))))))))</f>
        <v>0</v>
      </c>
      <c r="Z58" s="46" t="n">
        <f aca="false">SUM(M58:Y58)</f>
        <v>0</v>
      </c>
      <c r="AA58" s="92" t="n">
        <f aca="false">H58-Z58</f>
        <v>0</v>
      </c>
      <c r="AB58" s="55"/>
      <c r="AC58" s="2"/>
      <c r="AD58" s="93" t="n">
        <f aca="false">Setup!$D$10+MAX(0,$AN58-30)</f>
        <v>46365</v>
      </c>
      <c r="AE58" s="93" t="n">
        <f aca="false">Setup!$D$10+IF($AN58-30&lt;0,MAX(Setup!$D$22,$AN58-0),$AN58-0)</f>
        <v>46395</v>
      </c>
      <c r="AF58" s="93" t="n">
        <f aca="false">Setup!$D$10+MAX(0,$AN58-60)</f>
        <v>46335</v>
      </c>
      <c r="AG58" s="93" t="n">
        <f aca="false">Setup!$D$10+IF($AN58-60&lt;0,MAX(Setup!$D$22,$AN58-31),$AN58-31)</f>
        <v>46364</v>
      </c>
      <c r="AH58" s="93" t="n">
        <f aca="false">Setup!$D$10+MAX(0,$AN58-90)</f>
        <v>46335</v>
      </c>
      <c r="AI58" s="93" t="n">
        <f aca="false">Setup!$D$10+IF($AN58-90&lt;0,MAX(Setup!$D$22,$AN58-61),$AN58-61)</f>
        <v>46363</v>
      </c>
      <c r="AJ58" s="93" t="n">
        <f aca="false">Setup!$D$10+MAX(0,$AN58-120)</f>
        <v>46335</v>
      </c>
      <c r="AK58" s="93" t="n">
        <f aca="false">Setup!$D$10+IF($AN58-120&lt;0,MAX(Setup!$D$22,$AN58-91),$AN58-91)</f>
        <v>46363</v>
      </c>
      <c r="AL58" s="93" t="n">
        <f aca="false">IF(Setup!$D$23="Yes",2958465,Setup!$D$10)</f>
        <v>2958465</v>
      </c>
      <c r="AM58" s="93" t="n">
        <f aca="false">IF(AL58=2958465,AL58,Setup!$D$10+Setup!$D$22)</f>
        <v>2958465</v>
      </c>
      <c r="AN58" s="94" t="n">
        <f aca="false">IF(N(L58)=0,Setup!$D$20,L58)</f>
        <v>60</v>
      </c>
      <c r="AO58" s="94" t="n">
        <f aca="false">MAX(1,ROUND(N(K58),0))</f>
        <v>1</v>
      </c>
      <c r="AP58" s="95" t="str">
        <f aca="false">IF(I58="Doubtful","X",IF(N(J58)=0,"A",IF(I58="Specific date","S",IF(I58="Spread over days","D",IF(I58="Monthly on set day","M",IF(I58="Monthly fixed amount","F","A"))))))</f>
        <v>A</v>
      </c>
    </row>
    <row r="59" customFormat="false" ht="15" hidden="false" customHeight="false" outlineLevel="0" collapsed="false">
      <c r="A59" s="87" t="n">
        <v>51</v>
      </c>
      <c r="B59" s="55"/>
      <c r="C59" s="88"/>
      <c r="D59" s="88"/>
      <c r="E59" s="88"/>
      <c r="F59" s="88"/>
      <c r="G59" s="88"/>
      <c r="H59" s="89" t="n">
        <f aca="false">SUM(C59:G59)</f>
        <v>0</v>
      </c>
      <c r="I59" s="58"/>
      <c r="J59" s="90"/>
      <c r="K59" s="91"/>
      <c r="L59" s="80"/>
      <c r="M59" s="53" t="n">
        <f aca="false">IF($H59=0,0,IF($AP59="X",0,IF($AP59="S",$H59/$AO59*(MIN($AO59,MAX(0,INT((Lists!C$21-N($J59))/7)+1))-MIN($AO59,MAX(0,INT((Lists!C$22-N($J59))/7)+1))),IF($AP59="D",$H59*MAX(0,MIN(Lists!C$21,N($J59)+$AO59)-MAX(Lists!C$22,N($J59)))/$AO59,IF($AP59="M",$H59/$AO59*(IF(Lists!C$21&lt;$J59,0,MIN($AO59,(((YEAR(Lists!C$21)-YEAR($J59))*12+MONTH(Lists!C$21)-MONTH($J59))-(EDATE($J59,((YEAR(Lists!C$21)-YEAR($J59))*12+MONTH(Lists!C$21)-MONTH($J59)))&gt;Lists!C$21)+1)))-IF(Lists!C$22&lt;$J59,0,MIN($AO59,(((YEAR(Lists!C$22)-YEAR($J59))*12+MONTH(Lists!C$22)-MONTH($J59))-(EDATE($J59,((YEAR(Lists!C$22)-YEAR($J59))*12+MONTH(Lists!C$22)-MONTH($J59)))&gt;Lists!C$22)+1)))),IF($AP59="F",IF(N($K59)&lt;=0,0,MIN(MAX(0,$H59),N($K59)*IF(Lists!C$21&lt;$J59,0,(((YEAR(Lists!C$21)-YEAR($J59))*12+MONTH(Lists!C$21)-MONTH($J59))-(EDATE($J59,((YEAR(Lists!C$21)-YEAR($J59))*12+MONTH(Lists!C$21)-MONTH($J59)))&gt;Lists!C$21)+1)))-MIN(MAX(0,$H59),N($K59)*IF(Lists!C$22&lt;$J59,0,(((YEAR(Lists!C$22)-YEAR($J59))*12+MONTH(Lists!C$22)-MONTH($J59))-(EDATE($J59,((YEAR(Lists!C$22)-YEAR($J59))*12+MONTH(Lists!C$22)-MONTH($J59)))&gt;Lists!C$22)+1)))),N($C59)*IF($AE59-$AD59&lt;1,($AD59&gt;Lists!C$22)*($AD59&lt;=Lists!C$21),MAX(0,MIN(Lists!C$21,$AE59)-MAX(Lists!C$22,$AD59))/($AE59-$AD59))+N($D59)*IF($AG59-$AF59&lt;1,($AF59&gt;Lists!C$22)*($AF59&lt;=Lists!C$21),MAX(0,MIN(Lists!C$21,$AG59)-MAX(Lists!C$22,$AF59))/($AG59-$AF59))+N($E59)*IF($AI59-$AH59&lt;1,($AH59&gt;Lists!C$22)*($AH59&lt;=Lists!C$21),MAX(0,MIN(Lists!C$21,$AI59)-MAX(Lists!C$22,$AH59))/($AI59-$AH59))+N($F59)*IF($AK59-$AJ59&lt;1,($AJ59&gt;Lists!C$22)*($AJ59&lt;=Lists!C$21),MAX(0,MIN(Lists!C$21,$AK59)-MAX(Lists!C$22,$AJ59))/($AK59-$AJ59))+N($G59)*IF($AM59-$AL59&lt;1,($AL59&gt;Lists!C$22)*($AL59&lt;=Lists!C$21),MAX(0,MIN(Lists!C$21,$AM59)-MAX(Lists!C$22,$AL59))/($AM59-$AL59))))))))</f>
        <v>0</v>
      </c>
      <c r="N59" s="53" t="n">
        <f aca="false">IF($H59=0,0,IF($AP59="X",0,IF($AP59="S",$H59/$AO59*(MIN($AO59,MAX(0,INT((Lists!D$21-N($J59))/7)+1))-MIN($AO59,MAX(0,INT((Lists!D$22-N($J59))/7)+1))),IF($AP59="D",$H59*MAX(0,MIN(Lists!D$21,N($J59)+$AO59)-MAX(Lists!D$22,N($J59)))/$AO59,IF($AP59="M",$H59/$AO59*(IF(Lists!D$21&lt;$J59,0,MIN($AO59,(((YEAR(Lists!D$21)-YEAR($J59))*12+MONTH(Lists!D$21)-MONTH($J59))-(EDATE($J59,((YEAR(Lists!D$21)-YEAR($J59))*12+MONTH(Lists!D$21)-MONTH($J59)))&gt;Lists!D$21)+1)))-IF(Lists!D$22&lt;$J59,0,MIN($AO59,(((YEAR(Lists!D$22)-YEAR($J59))*12+MONTH(Lists!D$22)-MONTH($J59))-(EDATE($J59,((YEAR(Lists!D$22)-YEAR($J59))*12+MONTH(Lists!D$22)-MONTH($J59)))&gt;Lists!D$22)+1)))),IF($AP59="F",IF(N($K59)&lt;=0,0,MIN(MAX(0,$H59),N($K59)*IF(Lists!D$21&lt;$J59,0,(((YEAR(Lists!D$21)-YEAR($J59))*12+MONTH(Lists!D$21)-MONTH($J59))-(EDATE($J59,((YEAR(Lists!D$21)-YEAR($J59))*12+MONTH(Lists!D$21)-MONTH($J59)))&gt;Lists!D$21)+1)))-MIN(MAX(0,$H59),N($K59)*IF(Lists!D$22&lt;$J59,0,(((YEAR(Lists!D$22)-YEAR($J59))*12+MONTH(Lists!D$22)-MONTH($J59))-(EDATE($J59,((YEAR(Lists!D$22)-YEAR($J59))*12+MONTH(Lists!D$22)-MONTH($J59)))&gt;Lists!D$22)+1)))),N($C59)*IF($AE59-$AD59&lt;1,($AD59&gt;Lists!D$22)*($AD59&lt;=Lists!D$21),MAX(0,MIN(Lists!D$21,$AE59)-MAX(Lists!D$22,$AD59))/($AE59-$AD59))+N($D59)*IF($AG59-$AF59&lt;1,($AF59&gt;Lists!D$22)*($AF59&lt;=Lists!D$21),MAX(0,MIN(Lists!D$21,$AG59)-MAX(Lists!D$22,$AF59))/($AG59-$AF59))+N($E59)*IF($AI59-$AH59&lt;1,($AH59&gt;Lists!D$22)*($AH59&lt;=Lists!D$21),MAX(0,MIN(Lists!D$21,$AI59)-MAX(Lists!D$22,$AH59))/($AI59-$AH59))+N($F59)*IF($AK59-$AJ59&lt;1,($AJ59&gt;Lists!D$22)*($AJ59&lt;=Lists!D$21),MAX(0,MIN(Lists!D$21,$AK59)-MAX(Lists!D$22,$AJ59))/($AK59-$AJ59))+N($G59)*IF($AM59-$AL59&lt;1,($AL59&gt;Lists!D$22)*($AL59&lt;=Lists!D$21),MAX(0,MIN(Lists!D$21,$AM59)-MAX(Lists!D$22,$AL59))/($AM59-$AL59))))))))</f>
        <v>0</v>
      </c>
      <c r="O59" s="53" t="n">
        <f aca="false">IF($H59=0,0,IF($AP59="X",0,IF($AP59="S",$H59/$AO59*(MIN($AO59,MAX(0,INT((Lists!E$21-N($J59))/7)+1))-MIN($AO59,MAX(0,INT((Lists!E$22-N($J59))/7)+1))),IF($AP59="D",$H59*MAX(0,MIN(Lists!E$21,N($J59)+$AO59)-MAX(Lists!E$22,N($J59)))/$AO59,IF($AP59="M",$H59/$AO59*(IF(Lists!E$21&lt;$J59,0,MIN($AO59,(((YEAR(Lists!E$21)-YEAR($J59))*12+MONTH(Lists!E$21)-MONTH($J59))-(EDATE($J59,((YEAR(Lists!E$21)-YEAR($J59))*12+MONTH(Lists!E$21)-MONTH($J59)))&gt;Lists!E$21)+1)))-IF(Lists!E$22&lt;$J59,0,MIN($AO59,(((YEAR(Lists!E$22)-YEAR($J59))*12+MONTH(Lists!E$22)-MONTH($J59))-(EDATE($J59,((YEAR(Lists!E$22)-YEAR($J59))*12+MONTH(Lists!E$22)-MONTH($J59)))&gt;Lists!E$22)+1)))),IF($AP59="F",IF(N($K59)&lt;=0,0,MIN(MAX(0,$H59),N($K59)*IF(Lists!E$21&lt;$J59,0,(((YEAR(Lists!E$21)-YEAR($J59))*12+MONTH(Lists!E$21)-MONTH($J59))-(EDATE($J59,((YEAR(Lists!E$21)-YEAR($J59))*12+MONTH(Lists!E$21)-MONTH($J59)))&gt;Lists!E$21)+1)))-MIN(MAX(0,$H59),N($K59)*IF(Lists!E$22&lt;$J59,0,(((YEAR(Lists!E$22)-YEAR($J59))*12+MONTH(Lists!E$22)-MONTH($J59))-(EDATE($J59,((YEAR(Lists!E$22)-YEAR($J59))*12+MONTH(Lists!E$22)-MONTH($J59)))&gt;Lists!E$22)+1)))),N($C59)*IF($AE59-$AD59&lt;1,($AD59&gt;Lists!E$22)*($AD59&lt;=Lists!E$21),MAX(0,MIN(Lists!E$21,$AE59)-MAX(Lists!E$22,$AD59))/($AE59-$AD59))+N($D59)*IF($AG59-$AF59&lt;1,($AF59&gt;Lists!E$22)*($AF59&lt;=Lists!E$21),MAX(0,MIN(Lists!E$21,$AG59)-MAX(Lists!E$22,$AF59))/($AG59-$AF59))+N($E59)*IF($AI59-$AH59&lt;1,($AH59&gt;Lists!E$22)*($AH59&lt;=Lists!E$21),MAX(0,MIN(Lists!E$21,$AI59)-MAX(Lists!E$22,$AH59))/($AI59-$AH59))+N($F59)*IF($AK59-$AJ59&lt;1,($AJ59&gt;Lists!E$22)*($AJ59&lt;=Lists!E$21),MAX(0,MIN(Lists!E$21,$AK59)-MAX(Lists!E$22,$AJ59))/($AK59-$AJ59))+N($G59)*IF($AM59-$AL59&lt;1,($AL59&gt;Lists!E$22)*($AL59&lt;=Lists!E$21),MAX(0,MIN(Lists!E$21,$AM59)-MAX(Lists!E$22,$AL59))/($AM59-$AL59))))))))</f>
        <v>0</v>
      </c>
      <c r="P59" s="53" t="n">
        <f aca="false">IF($H59=0,0,IF($AP59="X",0,IF($AP59="S",$H59/$AO59*(MIN($AO59,MAX(0,INT((Lists!F$21-N($J59))/7)+1))-MIN($AO59,MAX(0,INT((Lists!F$22-N($J59))/7)+1))),IF($AP59="D",$H59*MAX(0,MIN(Lists!F$21,N($J59)+$AO59)-MAX(Lists!F$22,N($J59)))/$AO59,IF($AP59="M",$H59/$AO59*(IF(Lists!F$21&lt;$J59,0,MIN($AO59,(((YEAR(Lists!F$21)-YEAR($J59))*12+MONTH(Lists!F$21)-MONTH($J59))-(EDATE($J59,((YEAR(Lists!F$21)-YEAR($J59))*12+MONTH(Lists!F$21)-MONTH($J59)))&gt;Lists!F$21)+1)))-IF(Lists!F$22&lt;$J59,0,MIN($AO59,(((YEAR(Lists!F$22)-YEAR($J59))*12+MONTH(Lists!F$22)-MONTH($J59))-(EDATE($J59,((YEAR(Lists!F$22)-YEAR($J59))*12+MONTH(Lists!F$22)-MONTH($J59)))&gt;Lists!F$22)+1)))),IF($AP59="F",IF(N($K59)&lt;=0,0,MIN(MAX(0,$H59),N($K59)*IF(Lists!F$21&lt;$J59,0,(((YEAR(Lists!F$21)-YEAR($J59))*12+MONTH(Lists!F$21)-MONTH($J59))-(EDATE($J59,((YEAR(Lists!F$21)-YEAR($J59))*12+MONTH(Lists!F$21)-MONTH($J59)))&gt;Lists!F$21)+1)))-MIN(MAX(0,$H59),N($K59)*IF(Lists!F$22&lt;$J59,0,(((YEAR(Lists!F$22)-YEAR($J59))*12+MONTH(Lists!F$22)-MONTH($J59))-(EDATE($J59,((YEAR(Lists!F$22)-YEAR($J59))*12+MONTH(Lists!F$22)-MONTH($J59)))&gt;Lists!F$22)+1)))),N($C59)*IF($AE59-$AD59&lt;1,($AD59&gt;Lists!F$22)*($AD59&lt;=Lists!F$21),MAX(0,MIN(Lists!F$21,$AE59)-MAX(Lists!F$22,$AD59))/($AE59-$AD59))+N($D59)*IF($AG59-$AF59&lt;1,($AF59&gt;Lists!F$22)*($AF59&lt;=Lists!F$21),MAX(0,MIN(Lists!F$21,$AG59)-MAX(Lists!F$22,$AF59))/($AG59-$AF59))+N($E59)*IF($AI59-$AH59&lt;1,($AH59&gt;Lists!F$22)*($AH59&lt;=Lists!F$21),MAX(0,MIN(Lists!F$21,$AI59)-MAX(Lists!F$22,$AH59))/($AI59-$AH59))+N($F59)*IF($AK59-$AJ59&lt;1,($AJ59&gt;Lists!F$22)*($AJ59&lt;=Lists!F$21),MAX(0,MIN(Lists!F$21,$AK59)-MAX(Lists!F$22,$AJ59))/($AK59-$AJ59))+N($G59)*IF($AM59-$AL59&lt;1,($AL59&gt;Lists!F$22)*($AL59&lt;=Lists!F$21),MAX(0,MIN(Lists!F$21,$AM59)-MAX(Lists!F$22,$AL59))/($AM59-$AL59))))))))</f>
        <v>0</v>
      </c>
      <c r="Q59" s="53" t="n">
        <f aca="false">IF($H59=0,0,IF($AP59="X",0,IF($AP59="S",$H59/$AO59*(MIN($AO59,MAX(0,INT((Lists!G$21-N($J59))/7)+1))-MIN($AO59,MAX(0,INT((Lists!G$22-N($J59))/7)+1))),IF($AP59="D",$H59*MAX(0,MIN(Lists!G$21,N($J59)+$AO59)-MAX(Lists!G$22,N($J59)))/$AO59,IF($AP59="M",$H59/$AO59*(IF(Lists!G$21&lt;$J59,0,MIN($AO59,(((YEAR(Lists!G$21)-YEAR($J59))*12+MONTH(Lists!G$21)-MONTH($J59))-(EDATE($J59,((YEAR(Lists!G$21)-YEAR($J59))*12+MONTH(Lists!G$21)-MONTH($J59)))&gt;Lists!G$21)+1)))-IF(Lists!G$22&lt;$J59,0,MIN($AO59,(((YEAR(Lists!G$22)-YEAR($J59))*12+MONTH(Lists!G$22)-MONTH($J59))-(EDATE($J59,((YEAR(Lists!G$22)-YEAR($J59))*12+MONTH(Lists!G$22)-MONTH($J59)))&gt;Lists!G$22)+1)))),IF($AP59="F",IF(N($K59)&lt;=0,0,MIN(MAX(0,$H59),N($K59)*IF(Lists!G$21&lt;$J59,0,(((YEAR(Lists!G$21)-YEAR($J59))*12+MONTH(Lists!G$21)-MONTH($J59))-(EDATE($J59,((YEAR(Lists!G$21)-YEAR($J59))*12+MONTH(Lists!G$21)-MONTH($J59)))&gt;Lists!G$21)+1)))-MIN(MAX(0,$H59),N($K59)*IF(Lists!G$22&lt;$J59,0,(((YEAR(Lists!G$22)-YEAR($J59))*12+MONTH(Lists!G$22)-MONTH($J59))-(EDATE($J59,((YEAR(Lists!G$22)-YEAR($J59))*12+MONTH(Lists!G$22)-MONTH($J59)))&gt;Lists!G$22)+1)))),N($C59)*IF($AE59-$AD59&lt;1,($AD59&gt;Lists!G$22)*($AD59&lt;=Lists!G$21),MAX(0,MIN(Lists!G$21,$AE59)-MAX(Lists!G$22,$AD59))/($AE59-$AD59))+N($D59)*IF($AG59-$AF59&lt;1,($AF59&gt;Lists!G$22)*($AF59&lt;=Lists!G$21),MAX(0,MIN(Lists!G$21,$AG59)-MAX(Lists!G$22,$AF59))/($AG59-$AF59))+N($E59)*IF($AI59-$AH59&lt;1,($AH59&gt;Lists!G$22)*($AH59&lt;=Lists!G$21),MAX(0,MIN(Lists!G$21,$AI59)-MAX(Lists!G$22,$AH59))/($AI59-$AH59))+N($F59)*IF($AK59-$AJ59&lt;1,($AJ59&gt;Lists!G$22)*($AJ59&lt;=Lists!G$21),MAX(0,MIN(Lists!G$21,$AK59)-MAX(Lists!G$22,$AJ59))/($AK59-$AJ59))+N($G59)*IF($AM59-$AL59&lt;1,($AL59&gt;Lists!G$22)*($AL59&lt;=Lists!G$21),MAX(0,MIN(Lists!G$21,$AM59)-MAX(Lists!G$22,$AL59))/($AM59-$AL59))))))))</f>
        <v>0</v>
      </c>
      <c r="R59" s="53" t="n">
        <f aca="false">IF($H59=0,0,IF($AP59="X",0,IF($AP59="S",$H59/$AO59*(MIN($AO59,MAX(0,INT((Lists!H$21-N($J59))/7)+1))-MIN($AO59,MAX(0,INT((Lists!H$22-N($J59))/7)+1))),IF($AP59="D",$H59*MAX(0,MIN(Lists!H$21,N($J59)+$AO59)-MAX(Lists!H$22,N($J59)))/$AO59,IF($AP59="M",$H59/$AO59*(IF(Lists!H$21&lt;$J59,0,MIN($AO59,(((YEAR(Lists!H$21)-YEAR($J59))*12+MONTH(Lists!H$21)-MONTH($J59))-(EDATE($J59,((YEAR(Lists!H$21)-YEAR($J59))*12+MONTH(Lists!H$21)-MONTH($J59)))&gt;Lists!H$21)+1)))-IF(Lists!H$22&lt;$J59,0,MIN($AO59,(((YEAR(Lists!H$22)-YEAR($J59))*12+MONTH(Lists!H$22)-MONTH($J59))-(EDATE($J59,((YEAR(Lists!H$22)-YEAR($J59))*12+MONTH(Lists!H$22)-MONTH($J59)))&gt;Lists!H$22)+1)))),IF($AP59="F",IF(N($K59)&lt;=0,0,MIN(MAX(0,$H59),N($K59)*IF(Lists!H$21&lt;$J59,0,(((YEAR(Lists!H$21)-YEAR($J59))*12+MONTH(Lists!H$21)-MONTH($J59))-(EDATE($J59,((YEAR(Lists!H$21)-YEAR($J59))*12+MONTH(Lists!H$21)-MONTH($J59)))&gt;Lists!H$21)+1)))-MIN(MAX(0,$H59),N($K59)*IF(Lists!H$22&lt;$J59,0,(((YEAR(Lists!H$22)-YEAR($J59))*12+MONTH(Lists!H$22)-MONTH($J59))-(EDATE($J59,((YEAR(Lists!H$22)-YEAR($J59))*12+MONTH(Lists!H$22)-MONTH($J59)))&gt;Lists!H$22)+1)))),N($C59)*IF($AE59-$AD59&lt;1,($AD59&gt;Lists!H$22)*($AD59&lt;=Lists!H$21),MAX(0,MIN(Lists!H$21,$AE59)-MAX(Lists!H$22,$AD59))/($AE59-$AD59))+N($D59)*IF($AG59-$AF59&lt;1,($AF59&gt;Lists!H$22)*($AF59&lt;=Lists!H$21),MAX(0,MIN(Lists!H$21,$AG59)-MAX(Lists!H$22,$AF59))/($AG59-$AF59))+N($E59)*IF($AI59-$AH59&lt;1,($AH59&gt;Lists!H$22)*($AH59&lt;=Lists!H$21),MAX(0,MIN(Lists!H$21,$AI59)-MAX(Lists!H$22,$AH59))/($AI59-$AH59))+N($F59)*IF($AK59-$AJ59&lt;1,($AJ59&gt;Lists!H$22)*($AJ59&lt;=Lists!H$21),MAX(0,MIN(Lists!H$21,$AK59)-MAX(Lists!H$22,$AJ59))/($AK59-$AJ59))+N($G59)*IF($AM59-$AL59&lt;1,($AL59&gt;Lists!H$22)*($AL59&lt;=Lists!H$21),MAX(0,MIN(Lists!H$21,$AM59)-MAX(Lists!H$22,$AL59))/($AM59-$AL59))))))))</f>
        <v>0</v>
      </c>
      <c r="S59" s="53" t="n">
        <f aca="false">IF($H59=0,0,IF($AP59="X",0,IF($AP59="S",$H59/$AO59*(MIN($AO59,MAX(0,INT((Lists!I$21-N($J59))/7)+1))-MIN($AO59,MAX(0,INT((Lists!I$22-N($J59))/7)+1))),IF($AP59="D",$H59*MAX(0,MIN(Lists!I$21,N($J59)+$AO59)-MAX(Lists!I$22,N($J59)))/$AO59,IF($AP59="M",$H59/$AO59*(IF(Lists!I$21&lt;$J59,0,MIN($AO59,(((YEAR(Lists!I$21)-YEAR($J59))*12+MONTH(Lists!I$21)-MONTH($J59))-(EDATE($J59,((YEAR(Lists!I$21)-YEAR($J59))*12+MONTH(Lists!I$21)-MONTH($J59)))&gt;Lists!I$21)+1)))-IF(Lists!I$22&lt;$J59,0,MIN($AO59,(((YEAR(Lists!I$22)-YEAR($J59))*12+MONTH(Lists!I$22)-MONTH($J59))-(EDATE($J59,((YEAR(Lists!I$22)-YEAR($J59))*12+MONTH(Lists!I$22)-MONTH($J59)))&gt;Lists!I$22)+1)))),IF($AP59="F",IF(N($K59)&lt;=0,0,MIN(MAX(0,$H59),N($K59)*IF(Lists!I$21&lt;$J59,0,(((YEAR(Lists!I$21)-YEAR($J59))*12+MONTH(Lists!I$21)-MONTH($J59))-(EDATE($J59,((YEAR(Lists!I$21)-YEAR($J59))*12+MONTH(Lists!I$21)-MONTH($J59)))&gt;Lists!I$21)+1)))-MIN(MAX(0,$H59),N($K59)*IF(Lists!I$22&lt;$J59,0,(((YEAR(Lists!I$22)-YEAR($J59))*12+MONTH(Lists!I$22)-MONTH($J59))-(EDATE($J59,((YEAR(Lists!I$22)-YEAR($J59))*12+MONTH(Lists!I$22)-MONTH($J59)))&gt;Lists!I$22)+1)))),N($C59)*IF($AE59-$AD59&lt;1,($AD59&gt;Lists!I$22)*($AD59&lt;=Lists!I$21),MAX(0,MIN(Lists!I$21,$AE59)-MAX(Lists!I$22,$AD59))/($AE59-$AD59))+N($D59)*IF($AG59-$AF59&lt;1,($AF59&gt;Lists!I$22)*($AF59&lt;=Lists!I$21),MAX(0,MIN(Lists!I$21,$AG59)-MAX(Lists!I$22,$AF59))/($AG59-$AF59))+N($E59)*IF($AI59-$AH59&lt;1,($AH59&gt;Lists!I$22)*($AH59&lt;=Lists!I$21),MAX(0,MIN(Lists!I$21,$AI59)-MAX(Lists!I$22,$AH59))/($AI59-$AH59))+N($F59)*IF($AK59-$AJ59&lt;1,($AJ59&gt;Lists!I$22)*($AJ59&lt;=Lists!I$21),MAX(0,MIN(Lists!I$21,$AK59)-MAX(Lists!I$22,$AJ59))/($AK59-$AJ59))+N($G59)*IF($AM59-$AL59&lt;1,($AL59&gt;Lists!I$22)*($AL59&lt;=Lists!I$21),MAX(0,MIN(Lists!I$21,$AM59)-MAX(Lists!I$22,$AL59))/($AM59-$AL59))))))))</f>
        <v>0</v>
      </c>
      <c r="T59" s="53" t="n">
        <f aca="false">IF($H59=0,0,IF($AP59="X",0,IF($AP59="S",$H59/$AO59*(MIN($AO59,MAX(0,INT((Lists!J$21-N($J59))/7)+1))-MIN($AO59,MAX(0,INT((Lists!J$22-N($J59))/7)+1))),IF($AP59="D",$H59*MAX(0,MIN(Lists!J$21,N($J59)+$AO59)-MAX(Lists!J$22,N($J59)))/$AO59,IF($AP59="M",$H59/$AO59*(IF(Lists!J$21&lt;$J59,0,MIN($AO59,(((YEAR(Lists!J$21)-YEAR($J59))*12+MONTH(Lists!J$21)-MONTH($J59))-(EDATE($J59,((YEAR(Lists!J$21)-YEAR($J59))*12+MONTH(Lists!J$21)-MONTH($J59)))&gt;Lists!J$21)+1)))-IF(Lists!J$22&lt;$J59,0,MIN($AO59,(((YEAR(Lists!J$22)-YEAR($J59))*12+MONTH(Lists!J$22)-MONTH($J59))-(EDATE($J59,((YEAR(Lists!J$22)-YEAR($J59))*12+MONTH(Lists!J$22)-MONTH($J59)))&gt;Lists!J$22)+1)))),IF($AP59="F",IF(N($K59)&lt;=0,0,MIN(MAX(0,$H59),N($K59)*IF(Lists!J$21&lt;$J59,0,(((YEAR(Lists!J$21)-YEAR($J59))*12+MONTH(Lists!J$21)-MONTH($J59))-(EDATE($J59,((YEAR(Lists!J$21)-YEAR($J59))*12+MONTH(Lists!J$21)-MONTH($J59)))&gt;Lists!J$21)+1)))-MIN(MAX(0,$H59),N($K59)*IF(Lists!J$22&lt;$J59,0,(((YEAR(Lists!J$22)-YEAR($J59))*12+MONTH(Lists!J$22)-MONTH($J59))-(EDATE($J59,((YEAR(Lists!J$22)-YEAR($J59))*12+MONTH(Lists!J$22)-MONTH($J59)))&gt;Lists!J$22)+1)))),N($C59)*IF($AE59-$AD59&lt;1,($AD59&gt;Lists!J$22)*($AD59&lt;=Lists!J$21),MAX(0,MIN(Lists!J$21,$AE59)-MAX(Lists!J$22,$AD59))/($AE59-$AD59))+N($D59)*IF($AG59-$AF59&lt;1,($AF59&gt;Lists!J$22)*($AF59&lt;=Lists!J$21),MAX(0,MIN(Lists!J$21,$AG59)-MAX(Lists!J$22,$AF59))/($AG59-$AF59))+N($E59)*IF($AI59-$AH59&lt;1,($AH59&gt;Lists!J$22)*($AH59&lt;=Lists!J$21),MAX(0,MIN(Lists!J$21,$AI59)-MAX(Lists!J$22,$AH59))/($AI59-$AH59))+N($F59)*IF($AK59-$AJ59&lt;1,($AJ59&gt;Lists!J$22)*($AJ59&lt;=Lists!J$21),MAX(0,MIN(Lists!J$21,$AK59)-MAX(Lists!J$22,$AJ59))/($AK59-$AJ59))+N($G59)*IF($AM59-$AL59&lt;1,($AL59&gt;Lists!J$22)*($AL59&lt;=Lists!J$21),MAX(0,MIN(Lists!J$21,$AM59)-MAX(Lists!J$22,$AL59))/($AM59-$AL59))))))))</f>
        <v>0</v>
      </c>
      <c r="U59" s="53" t="n">
        <f aca="false">IF($H59=0,0,IF($AP59="X",0,IF($AP59="S",$H59/$AO59*(MIN($AO59,MAX(0,INT((Lists!K$21-N($J59))/7)+1))-MIN($AO59,MAX(0,INT((Lists!K$22-N($J59))/7)+1))),IF($AP59="D",$H59*MAX(0,MIN(Lists!K$21,N($J59)+$AO59)-MAX(Lists!K$22,N($J59)))/$AO59,IF($AP59="M",$H59/$AO59*(IF(Lists!K$21&lt;$J59,0,MIN($AO59,(((YEAR(Lists!K$21)-YEAR($J59))*12+MONTH(Lists!K$21)-MONTH($J59))-(EDATE($J59,((YEAR(Lists!K$21)-YEAR($J59))*12+MONTH(Lists!K$21)-MONTH($J59)))&gt;Lists!K$21)+1)))-IF(Lists!K$22&lt;$J59,0,MIN($AO59,(((YEAR(Lists!K$22)-YEAR($J59))*12+MONTH(Lists!K$22)-MONTH($J59))-(EDATE($J59,((YEAR(Lists!K$22)-YEAR($J59))*12+MONTH(Lists!K$22)-MONTH($J59)))&gt;Lists!K$22)+1)))),IF($AP59="F",IF(N($K59)&lt;=0,0,MIN(MAX(0,$H59),N($K59)*IF(Lists!K$21&lt;$J59,0,(((YEAR(Lists!K$21)-YEAR($J59))*12+MONTH(Lists!K$21)-MONTH($J59))-(EDATE($J59,((YEAR(Lists!K$21)-YEAR($J59))*12+MONTH(Lists!K$21)-MONTH($J59)))&gt;Lists!K$21)+1)))-MIN(MAX(0,$H59),N($K59)*IF(Lists!K$22&lt;$J59,0,(((YEAR(Lists!K$22)-YEAR($J59))*12+MONTH(Lists!K$22)-MONTH($J59))-(EDATE($J59,((YEAR(Lists!K$22)-YEAR($J59))*12+MONTH(Lists!K$22)-MONTH($J59)))&gt;Lists!K$22)+1)))),N($C59)*IF($AE59-$AD59&lt;1,($AD59&gt;Lists!K$22)*($AD59&lt;=Lists!K$21),MAX(0,MIN(Lists!K$21,$AE59)-MAX(Lists!K$22,$AD59))/($AE59-$AD59))+N($D59)*IF($AG59-$AF59&lt;1,($AF59&gt;Lists!K$22)*($AF59&lt;=Lists!K$21),MAX(0,MIN(Lists!K$21,$AG59)-MAX(Lists!K$22,$AF59))/($AG59-$AF59))+N($E59)*IF($AI59-$AH59&lt;1,($AH59&gt;Lists!K$22)*($AH59&lt;=Lists!K$21),MAX(0,MIN(Lists!K$21,$AI59)-MAX(Lists!K$22,$AH59))/($AI59-$AH59))+N($F59)*IF($AK59-$AJ59&lt;1,($AJ59&gt;Lists!K$22)*($AJ59&lt;=Lists!K$21),MAX(0,MIN(Lists!K$21,$AK59)-MAX(Lists!K$22,$AJ59))/($AK59-$AJ59))+N($G59)*IF($AM59-$AL59&lt;1,($AL59&gt;Lists!K$22)*($AL59&lt;=Lists!K$21),MAX(0,MIN(Lists!K$21,$AM59)-MAX(Lists!K$22,$AL59))/($AM59-$AL59))))))))</f>
        <v>0</v>
      </c>
      <c r="V59" s="53" t="n">
        <f aca="false">IF($H59=0,0,IF($AP59="X",0,IF($AP59="S",$H59/$AO59*(MIN($AO59,MAX(0,INT((Lists!L$21-N($J59))/7)+1))-MIN($AO59,MAX(0,INT((Lists!L$22-N($J59))/7)+1))),IF($AP59="D",$H59*MAX(0,MIN(Lists!L$21,N($J59)+$AO59)-MAX(Lists!L$22,N($J59)))/$AO59,IF($AP59="M",$H59/$AO59*(IF(Lists!L$21&lt;$J59,0,MIN($AO59,(((YEAR(Lists!L$21)-YEAR($J59))*12+MONTH(Lists!L$21)-MONTH($J59))-(EDATE($J59,((YEAR(Lists!L$21)-YEAR($J59))*12+MONTH(Lists!L$21)-MONTH($J59)))&gt;Lists!L$21)+1)))-IF(Lists!L$22&lt;$J59,0,MIN($AO59,(((YEAR(Lists!L$22)-YEAR($J59))*12+MONTH(Lists!L$22)-MONTH($J59))-(EDATE($J59,((YEAR(Lists!L$22)-YEAR($J59))*12+MONTH(Lists!L$22)-MONTH($J59)))&gt;Lists!L$22)+1)))),IF($AP59="F",IF(N($K59)&lt;=0,0,MIN(MAX(0,$H59),N($K59)*IF(Lists!L$21&lt;$J59,0,(((YEAR(Lists!L$21)-YEAR($J59))*12+MONTH(Lists!L$21)-MONTH($J59))-(EDATE($J59,((YEAR(Lists!L$21)-YEAR($J59))*12+MONTH(Lists!L$21)-MONTH($J59)))&gt;Lists!L$21)+1)))-MIN(MAX(0,$H59),N($K59)*IF(Lists!L$22&lt;$J59,0,(((YEAR(Lists!L$22)-YEAR($J59))*12+MONTH(Lists!L$22)-MONTH($J59))-(EDATE($J59,((YEAR(Lists!L$22)-YEAR($J59))*12+MONTH(Lists!L$22)-MONTH($J59)))&gt;Lists!L$22)+1)))),N($C59)*IF($AE59-$AD59&lt;1,($AD59&gt;Lists!L$22)*($AD59&lt;=Lists!L$21),MAX(0,MIN(Lists!L$21,$AE59)-MAX(Lists!L$22,$AD59))/($AE59-$AD59))+N($D59)*IF($AG59-$AF59&lt;1,($AF59&gt;Lists!L$22)*($AF59&lt;=Lists!L$21),MAX(0,MIN(Lists!L$21,$AG59)-MAX(Lists!L$22,$AF59))/($AG59-$AF59))+N($E59)*IF($AI59-$AH59&lt;1,($AH59&gt;Lists!L$22)*($AH59&lt;=Lists!L$21),MAX(0,MIN(Lists!L$21,$AI59)-MAX(Lists!L$22,$AH59))/($AI59-$AH59))+N($F59)*IF($AK59-$AJ59&lt;1,($AJ59&gt;Lists!L$22)*($AJ59&lt;=Lists!L$21),MAX(0,MIN(Lists!L$21,$AK59)-MAX(Lists!L$22,$AJ59))/($AK59-$AJ59))+N($G59)*IF($AM59-$AL59&lt;1,($AL59&gt;Lists!L$22)*($AL59&lt;=Lists!L$21),MAX(0,MIN(Lists!L$21,$AM59)-MAX(Lists!L$22,$AL59))/($AM59-$AL59))))))))</f>
        <v>0</v>
      </c>
      <c r="W59" s="53" t="n">
        <f aca="false">IF($H59=0,0,IF($AP59="X",0,IF($AP59="S",$H59/$AO59*(MIN($AO59,MAX(0,INT((Lists!M$21-N($J59))/7)+1))-MIN($AO59,MAX(0,INT((Lists!M$22-N($J59))/7)+1))),IF($AP59="D",$H59*MAX(0,MIN(Lists!M$21,N($J59)+$AO59)-MAX(Lists!M$22,N($J59)))/$AO59,IF($AP59="M",$H59/$AO59*(IF(Lists!M$21&lt;$J59,0,MIN($AO59,(((YEAR(Lists!M$21)-YEAR($J59))*12+MONTH(Lists!M$21)-MONTH($J59))-(EDATE($J59,((YEAR(Lists!M$21)-YEAR($J59))*12+MONTH(Lists!M$21)-MONTH($J59)))&gt;Lists!M$21)+1)))-IF(Lists!M$22&lt;$J59,0,MIN($AO59,(((YEAR(Lists!M$22)-YEAR($J59))*12+MONTH(Lists!M$22)-MONTH($J59))-(EDATE($J59,((YEAR(Lists!M$22)-YEAR($J59))*12+MONTH(Lists!M$22)-MONTH($J59)))&gt;Lists!M$22)+1)))),IF($AP59="F",IF(N($K59)&lt;=0,0,MIN(MAX(0,$H59),N($K59)*IF(Lists!M$21&lt;$J59,0,(((YEAR(Lists!M$21)-YEAR($J59))*12+MONTH(Lists!M$21)-MONTH($J59))-(EDATE($J59,((YEAR(Lists!M$21)-YEAR($J59))*12+MONTH(Lists!M$21)-MONTH($J59)))&gt;Lists!M$21)+1)))-MIN(MAX(0,$H59),N($K59)*IF(Lists!M$22&lt;$J59,0,(((YEAR(Lists!M$22)-YEAR($J59))*12+MONTH(Lists!M$22)-MONTH($J59))-(EDATE($J59,((YEAR(Lists!M$22)-YEAR($J59))*12+MONTH(Lists!M$22)-MONTH($J59)))&gt;Lists!M$22)+1)))),N($C59)*IF($AE59-$AD59&lt;1,($AD59&gt;Lists!M$22)*($AD59&lt;=Lists!M$21),MAX(0,MIN(Lists!M$21,$AE59)-MAX(Lists!M$22,$AD59))/($AE59-$AD59))+N($D59)*IF($AG59-$AF59&lt;1,($AF59&gt;Lists!M$22)*($AF59&lt;=Lists!M$21),MAX(0,MIN(Lists!M$21,$AG59)-MAX(Lists!M$22,$AF59))/($AG59-$AF59))+N($E59)*IF($AI59-$AH59&lt;1,($AH59&gt;Lists!M$22)*($AH59&lt;=Lists!M$21),MAX(0,MIN(Lists!M$21,$AI59)-MAX(Lists!M$22,$AH59))/($AI59-$AH59))+N($F59)*IF($AK59-$AJ59&lt;1,($AJ59&gt;Lists!M$22)*($AJ59&lt;=Lists!M$21),MAX(0,MIN(Lists!M$21,$AK59)-MAX(Lists!M$22,$AJ59))/($AK59-$AJ59))+N($G59)*IF($AM59-$AL59&lt;1,($AL59&gt;Lists!M$22)*($AL59&lt;=Lists!M$21),MAX(0,MIN(Lists!M$21,$AM59)-MAX(Lists!M$22,$AL59))/($AM59-$AL59))))))))</f>
        <v>0</v>
      </c>
      <c r="X59" s="53" t="n">
        <f aca="false">IF($H59=0,0,IF($AP59="X",0,IF($AP59="S",$H59/$AO59*(MIN($AO59,MAX(0,INT((Lists!N$21-N($J59))/7)+1))-MIN($AO59,MAX(0,INT((Lists!N$22-N($J59))/7)+1))),IF($AP59="D",$H59*MAX(0,MIN(Lists!N$21,N($J59)+$AO59)-MAX(Lists!N$22,N($J59)))/$AO59,IF($AP59="M",$H59/$AO59*(IF(Lists!N$21&lt;$J59,0,MIN($AO59,(((YEAR(Lists!N$21)-YEAR($J59))*12+MONTH(Lists!N$21)-MONTH($J59))-(EDATE($J59,((YEAR(Lists!N$21)-YEAR($J59))*12+MONTH(Lists!N$21)-MONTH($J59)))&gt;Lists!N$21)+1)))-IF(Lists!N$22&lt;$J59,0,MIN($AO59,(((YEAR(Lists!N$22)-YEAR($J59))*12+MONTH(Lists!N$22)-MONTH($J59))-(EDATE($J59,((YEAR(Lists!N$22)-YEAR($J59))*12+MONTH(Lists!N$22)-MONTH($J59)))&gt;Lists!N$22)+1)))),IF($AP59="F",IF(N($K59)&lt;=0,0,MIN(MAX(0,$H59),N($K59)*IF(Lists!N$21&lt;$J59,0,(((YEAR(Lists!N$21)-YEAR($J59))*12+MONTH(Lists!N$21)-MONTH($J59))-(EDATE($J59,((YEAR(Lists!N$21)-YEAR($J59))*12+MONTH(Lists!N$21)-MONTH($J59)))&gt;Lists!N$21)+1)))-MIN(MAX(0,$H59),N($K59)*IF(Lists!N$22&lt;$J59,0,(((YEAR(Lists!N$22)-YEAR($J59))*12+MONTH(Lists!N$22)-MONTH($J59))-(EDATE($J59,((YEAR(Lists!N$22)-YEAR($J59))*12+MONTH(Lists!N$22)-MONTH($J59)))&gt;Lists!N$22)+1)))),N($C59)*IF($AE59-$AD59&lt;1,($AD59&gt;Lists!N$22)*($AD59&lt;=Lists!N$21),MAX(0,MIN(Lists!N$21,$AE59)-MAX(Lists!N$22,$AD59))/($AE59-$AD59))+N($D59)*IF($AG59-$AF59&lt;1,($AF59&gt;Lists!N$22)*($AF59&lt;=Lists!N$21),MAX(0,MIN(Lists!N$21,$AG59)-MAX(Lists!N$22,$AF59))/($AG59-$AF59))+N($E59)*IF($AI59-$AH59&lt;1,($AH59&gt;Lists!N$22)*($AH59&lt;=Lists!N$21),MAX(0,MIN(Lists!N$21,$AI59)-MAX(Lists!N$22,$AH59))/($AI59-$AH59))+N($F59)*IF($AK59-$AJ59&lt;1,($AJ59&gt;Lists!N$22)*($AJ59&lt;=Lists!N$21),MAX(0,MIN(Lists!N$21,$AK59)-MAX(Lists!N$22,$AJ59))/($AK59-$AJ59))+N($G59)*IF($AM59-$AL59&lt;1,($AL59&gt;Lists!N$22)*($AL59&lt;=Lists!N$21),MAX(0,MIN(Lists!N$21,$AM59)-MAX(Lists!N$22,$AL59))/($AM59-$AL59))))))))</f>
        <v>0</v>
      </c>
      <c r="Y59" s="53" t="n">
        <f aca="false">IF($H59=0,0,IF($AP59="X",0,IF($AP59="S",$H59/$AO59*(MIN($AO59,MAX(0,INT((Lists!O$21-N($J59))/7)+1))-MIN($AO59,MAX(0,INT((Lists!O$22-N($J59))/7)+1))),IF($AP59="D",$H59*MAX(0,MIN(Lists!O$21,N($J59)+$AO59)-MAX(Lists!O$22,N($J59)))/$AO59,IF($AP59="M",$H59/$AO59*(IF(Lists!O$21&lt;$J59,0,MIN($AO59,(((YEAR(Lists!O$21)-YEAR($J59))*12+MONTH(Lists!O$21)-MONTH($J59))-(EDATE($J59,((YEAR(Lists!O$21)-YEAR($J59))*12+MONTH(Lists!O$21)-MONTH($J59)))&gt;Lists!O$21)+1)))-IF(Lists!O$22&lt;$J59,0,MIN($AO59,(((YEAR(Lists!O$22)-YEAR($J59))*12+MONTH(Lists!O$22)-MONTH($J59))-(EDATE($J59,((YEAR(Lists!O$22)-YEAR($J59))*12+MONTH(Lists!O$22)-MONTH($J59)))&gt;Lists!O$22)+1)))),IF($AP59="F",IF(N($K59)&lt;=0,0,MIN(MAX(0,$H59),N($K59)*IF(Lists!O$21&lt;$J59,0,(((YEAR(Lists!O$21)-YEAR($J59))*12+MONTH(Lists!O$21)-MONTH($J59))-(EDATE($J59,((YEAR(Lists!O$21)-YEAR($J59))*12+MONTH(Lists!O$21)-MONTH($J59)))&gt;Lists!O$21)+1)))-MIN(MAX(0,$H59),N($K59)*IF(Lists!O$22&lt;$J59,0,(((YEAR(Lists!O$22)-YEAR($J59))*12+MONTH(Lists!O$22)-MONTH($J59))-(EDATE($J59,((YEAR(Lists!O$22)-YEAR($J59))*12+MONTH(Lists!O$22)-MONTH($J59)))&gt;Lists!O$22)+1)))),N($C59)*IF($AE59-$AD59&lt;1,($AD59&gt;Lists!O$22)*($AD59&lt;=Lists!O$21),MAX(0,MIN(Lists!O$21,$AE59)-MAX(Lists!O$22,$AD59))/($AE59-$AD59))+N($D59)*IF($AG59-$AF59&lt;1,($AF59&gt;Lists!O$22)*($AF59&lt;=Lists!O$21),MAX(0,MIN(Lists!O$21,$AG59)-MAX(Lists!O$22,$AF59))/($AG59-$AF59))+N($E59)*IF($AI59-$AH59&lt;1,($AH59&gt;Lists!O$22)*($AH59&lt;=Lists!O$21),MAX(0,MIN(Lists!O$21,$AI59)-MAX(Lists!O$22,$AH59))/($AI59-$AH59))+N($F59)*IF($AK59-$AJ59&lt;1,($AJ59&gt;Lists!O$22)*($AJ59&lt;=Lists!O$21),MAX(0,MIN(Lists!O$21,$AK59)-MAX(Lists!O$22,$AJ59))/($AK59-$AJ59))+N($G59)*IF($AM59-$AL59&lt;1,($AL59&gt;Lists!O$22)*($AL59&lt;=Lists!O$21),MAX(0,MIN(Lists!O$21,$AM59)-MAX(Lists!O$22,$AL59))/($AM59-$AL59))))))))</f>
        <v>0</v>
      </c>
      <c r="Z59" s="46" t="n">
        <f aca="false">SUM(M59:Y59)</f>
        <v>0</v>
      </c>
      <c r="AA59" s="92" t="n">
        <f aca="false">H59-Z59</f>
        <v>0</v>
      </c>
      <c r="AB59" s="55"/>
      <c r="AC59" s="2"/>
      <c r="AD59" s="93" t="n">
        <f aca="false">Setup!$D$10+MAX(0,$AN59-30)</f>
        <v>46365</v>
      </c>
      <c r="AE59" s="93" t="n">
        <f aca="false">Setup!$D$10+IF($AN59-30&lt;0,MAX(Setup!$D$22,$AN59-0),$AN59-0)</f>
        <v>46395</v>
      </c>
      <c r="AF59" s="93" t="n">
        <f aca="false">Setup!$D$10+MAX(0,$AN59-60)</f>
        <v>46335</v>
      </c>
      <c r="AG59" s="93" t="n">
        <f aca="false">Setup!$D$10+IF($AN59-60&lt;0,MAX(Setup!$D$22,$AN59-31),$AN59-31)</f>
        <v>46364</v>
      </c>
      <c r="AH59" s="93" t="n">
        <f aca="false">Setup!$D$10+MAX(0,$AN59-90)</f>
        <v>46335</v>
      </c>
      <c r="AI59" s="93" t="n">
        <f aca="false">Setup!$D$10+IF($AN59-90&lt;0,MAX(Setup!$D$22,$AN59-61),$AN59-61)</f>
        <v>46363</v>
      </c>
      <c r="AJ59" s="93" t="n">
        <f aca="false">Setup!$D$10+MAX(0,$AN59-120)</f>
        <v>46335</v>
      </c>
      <c r="AK59" s="93" t="n">
        <f aca="false">Setup!$D$10+IF($AN59-120&lt;0,MAX(Setup!$D$22,$AN59-91),$AN59-91)</f>
        <v>46363</v>
      </c>
      <c r="AL59" s="93" t="n">
        <f aca="false">IF(Setup!$D$23="Yes",2958465,Setup!$D$10)</f>
        <v>2958465</v>
      </c>
      <c r="AM59" s="93" t="n">
        <f aca="false">IF(AL59=2958465,AL59,Setup!$D$10+Setup!$D$22)</f>
        <v>2958465</v>
      </c>
      <c r="AN59" s="94" t="n">
        <f aca="false">IF(N(L59)=0,Setup!$D$20,L59)</f>
        <v>60</v>
      </c>
      <c r="AO59" s="94" t="n">
        <f aca="false">MAX(1,ROUND(N(K59),0))</f>
        <v>1</v>
      </c>
      <c r="AP59" s="95" t="str">
        <f aca="false">IF(I59="Doubtful","X",IF(N(J59)=0,"A",IF(I59="Specific date","S",IF(I59="Spread over days","D",IF(I59="Monthly on set day","M",IF(I59="Monthly fixed amount","F","A"))))))</f>
        <v>A</v>
      </c>
    </row>
    <row r="60" customFormat="false" ht="15" hidden="false" customHeight="false" outlineLevel="0" collapsed="false">
      <c r="A60" s="87" t="n">
        <v>52</v>
      </c>
      <c r="B60" s="55"/>
      <c r="C60" s="88"/>
      <c r="D60" s="88"/>
      <c r="E60" s="88"/>
      <c r="F60" s="88"/>
      <c r="G60" s="88"/>
      <c r="H60" s="89" t="n">
        <f aca="false">SUM(C60:G60)</f>
        <v>0</v>
      </c>
      <c r="I60" s="58"/>
      <c r="J60" s="90"/>
      <c r="K60" s="91"/>
      <c r="L60" s="80"/>
      <c r="M60" s="53" t="n">
        <f aca="false">IF($H60=0,0,IF($AP60="X",0,IF($AP60="S",$H60/$AO60*(MIN($AO60,MAX(0,INT((Lists!C$21-N($J60))/7)+1))-MIN($AO60,MAX(0,INT((Lists!C$22-N($J60))/7)+1))),IF($AP60="D",$H60*MAX(0,MIN(Lists!C$21,N($J60)+$AO60)-MAX(Lists!C$22,N($J60)))/$AO60,IF($AP60="M",$H60/$AO60*(IF(Lists!C$21&lt;$J60,0,MIN($AO60,(((YEAR(Lists!C$21)-YEAR($J60))*12+MONTH(Lists!C$21)-MONTH($J60))-(EDATE($J60,((YEAR(Lists!C$21)-YEAR($J60))*12+MONTH(Lists!C$21)-MONTH($J60)))&gt;Lists!C$21)+1)))-IF(Lists!C$22&lt;$J60,0,MIN($AO60,(((YEAR(Lists!C$22)-YEAR($J60))*12+MONTH(Lists!C$22)-MONTH($J60))-(EDATE($J60,((YEAR(Lists!C$22)-YEAR($J60))*12+MONTH(Lists!C$22)-MONTH($J60)))&gt;Lists!C$22)+1)))),IF($AP60="F",IF(N($K60)&lt;=0,0,MIN(MAX(0,$H60),N($K60)*IF(Lists!C$21&lt;$J60,0,(((YEAR(Lists!C$21)-YEAR($J60))*12+MONTH(Lists!C$21)-MONTH($J60))-(EDATE($J60,((YEAR(Lists!C$21)-YEAR($J60))*12+MONTH(Lists!C$21)-MONTH($J60)))&gt;Lists!C$21)+1)))-MIN(MAX(0,$H60),N($K60)*IF(Lists!C$22&lt;$J60,0,(((YEAR(Lists!C$22)-YEAR($J60))*12+MONTH(Lists!C$22)-MONTH($J60))-(EDATE($J60,((YEAR(Lists!C$22)-YEAR($J60))*12+MONTH(Lists!C$22)-MONTH($J60)))&gt;Lists!C$22)+1)))),N($C60)*IF($AE60-$AD60&lt;1,($AD60&gt;Lists!C$22)*($AD60&lt;=Lists!C$21),MAX(0,MIN(Lists!C$21,$AE60)-MAX(Lists!C$22,$AD60))/($AE60-$AD60))+N($D60)*IF($AG60-$AF60&lt;1,($AF60&gt;Lists!C$22)*($AF60&lt;=Lists!C$21),MAX(0,MIN(Lists!C$21,$AG60)-MAX(Lists!C$22,$AF60))/($AG60-$AF60))+N($E60)*IF($AI60-$AH60&lt;1,($AH60&gt;Lists!C$22)*($AH60&lt;=Lists!C$21),MAX(0,MIN(Lists!C$21,$AI60)-MAX(Lists!C$22,$AH60))/($AI60-$AH60))+N($F60)*IF($AK60-$AJ60&lt;1,($AJ60&gt;Lists!C$22)*($AJ60&lt;=Lists!C$21),MAX(0,MIN(Lists!C$21,$AK60)-MAX(Lists!C$22,$AJ60))/($AK60-$AJ60))+N($G60)*IF($AM60-$AL60&lt;1,($AL60&gt;Lists!C$22)*($AL60&lt;=Lists!C$21),MAX(0,MIN(Lists!C$21,$AM60)-MAX(Lists!C$22,$AL60))/($AM60-$AL60))))))))</f>
        <v>0</v>
      </c>
      <c r="N60" s="53" t="n">
        <f aca="false">IF($H60=0,0,IF($AP60="X",0,IF($AP60="S",$H60/$AO60*(MIN($AO60,MAX(0,INT((Lists!D$21-N($J60))/7)+1))-MIN($AO60,MAX(0,INT((Lists!D$22-N($J60))/7)+1))),IF($AP60="D",$H60*MAX(0,MIN(Lists!D$21,N($J60)+$AO60)-MAX(Lists!D$22,N($J60)))/$AO60,IF($AP60="M",$H60/$AO60*(IF(Lists!D$21&lt;$J60,0,MIN($AO60,(((YEAR(Lists!D$21)-YEAR($J60))*12+MONTH(Lists!D$21)-MONTH($J60))-(EDATE($J60,((YEAR(Lists!D$21)-YEAR($J60))*12+MONTH(Lists!D$21)-MONTH($J60)))&gt;Lists!D$21)+1)))-IF(Lists!D$22&lt;$J60,0,MIN($AO60,(((YEAR(Lists!D$22)-YEAR($J60))*12+MONTH(Lists!D$22)-MONTH($J60))-(EDATE($J60,((YEAR(Lists!D$22)-YEAR($J60))*12+MONTH(Lists!D$22)-MONTH($J60)))&gt;Lists!D$22)+1)))),IF($AP60="F",IF(N($K60)&lt;=0,0,MIN(MAX(0,$H60),N($K60)*IF(Lists!D$21&lt;$J60,0,(((YEAR(Lists!D$21)-YEAR($J60))*12+MONTH(Lists!D$21)-MONTH($J60))-(EDATE($J60,((YEAR(Lists!D$21)-YEAR($J60))*12+MONTH(Lists!D$21)-MONTH($J60)))&gt;Lists!D$21)+1)))-MIN(MAX(0,$H60),N($K60)*IF(Lists!D$22&lt;$J60,0,(((YEAR(Lists!D$22)-YEAR($J60))*12+MONTH(Lists!D$22)-MONTH($J60))-(EDATE($J60,((YEAR(Lists!D$22)-YEAR($J60))*12+MONTH(Lists!D$22)-MONTH($J60)))&gt;Lists!D$22)+1)))),N($C60)*IF($AE60-$AD60&lt;1,($AD60&gt;Lists!D$22)*($AD60&lt;=Lists!D$21),MAX(0,MIN(Lists!D$21,$AE60)-MAX(Lists!D$22,$AD60))/($AE60-$AD60))+N($D60)*IF($AG60-$AF60&lt;1,($AF60&gt;Lists!D$22)*($AF60&lt;=Lists!D$21),MAX(0,MIN(Lists!D$21,$AG60)-MAX(Lists!D$22,$AF60))/($AG60-$AF60))+N($E60)*IF($AI60-$AH60&lt;1,($AH60&gt;Lists!D$22)*($AH60&lt;=Lists!D$21),MAX(0,MIN(Lists!D$21,$AI60)-MAX(Lists!D$22,$AH60))/($AI60-$AH60))+N($F60)*IF($AK60-$AJ60&lt;1,($AJ60&gt;Lists!D$22)*($AJ60&lt;=Lists!D$21),MAX(0,MIN(Lists!D$21,$AK60)-MAX(Lists!D$22,$AJ60))/($AK60-$AJ60))+N($G60)*IF($AM60-$AL60&lt;1,($AL60&gt;Lists!D$22)*($AL60&lt;=Lists!D$21),MAX(0,MIN(Lists!D$21,$AM60)-MAX(Lists!D$22,$AL60))/($AM60-$AL60))))))))</f>
        <v>0</v>
      </c>
      <c r="O60" s="53" t="n">
        <f aca="false">IF($H60=0,0,IF($AP60="X",0,IF($AP60="S",$H60/$AO60*(MIN($AO60,MAX(0,INT((Lists!E$21-N($J60))/7)+1))-MIN($AO60,MAX(0,INT((Lists!E$22-N($J60))/7)+1))),IF($AP60="D",$H60*MAX(0,MIN(Lists!E$21,N($J60)+$AO60)-MAX(Lists!E$22,N($J60)))/$AO60,IF($AP60="M",$H60/$AO60*(IF(Lists!E$21&lt;$J60,0,MIN($AO60,(((YEAR(Lists!E$21)-YEAR($J60))*12+MONTH(Lists!E$21)-MONTH($J60))-(EDATE($J60,((YEAR(Lists!E$21)-YEAR($J60))*12+MONTH(Lists!E$21)-MONTH($J60)))&gt;Lists!E$21)+1)))-IF(Lists!E$22&lt;$J60,0,MIN($AO60,(((YEAR(Lists!E$22)-YEAR($J60))*12+MONTH(Lists!E$22)-MONTH($J60))-(EDATE($J60,((YEAR(Lists!E$22)-YEAR($J60))*12+MONTH(Lists!E$22)-MONTH($J60)))&gt;Lists!E$22)+1)))),IF($AP60="F",IF(N($K60)&lt;=0,0,MIN(MAX(0,$H60),N($K60)*IF(Lists!E$21&lt;$J60,0,(((YEAR(Lists!E$21)-YEAR($J60))*12+MONTH(Lists!E$21)-MONTH($J60))-(EDATE($J60,((YEAR(Lists!E$21)-YEAR($J60))*12+MONTH(Lists!E$21)-MONTH($J60)))&gt;Lists!E$21)+1)))-MIN(MAX(0,$H60),N($K60)*IF(Lists!E$22&lt;$J60,0,(((YEAR(Lists!E$22)-YEAR($J60))*12+MONTH(Lists!E$22)-MONTH($J60))-(EDATE($J60,((YEAR(Lists!E$22)-YEAR($J60))*12+MONTH(Lists!E$22)-MONTH($J60)))&gt;Lists!E$22)+1)))),N($C60)*IF($AE60-$AD60&lt;1,($AD60&gt;Lists!E$22)*($AD60&lt;=Lists!E$21),MAX(0,MIN(Lists!E$21,$AE60)-MAX(Lists!E$22,$AD60))/($AE60-$AD60))+N($D60)*IF($AG60-$AF60&lt;1,($AF60&gt;Lists!E$22)*($AF60&lt;=Lists!E$21),MAX(0,MIN(Lists!E$21,$AG60)-MAX(Lists!E$22,$AF60))/($AG60-$AF60))+N($E60)*IF($AI60-$AH60&lt;1,($AH60&gt;Lists!E$22)*($AH60&lt;=Lists!E$21),MAX(0,MIN(Lists!E$21,$AI60)-MAX(Lists!E$22,$AH60))/($AI60-$AH60))+N($F60)*IF($AK60-$AJ60&lt;1,($AJ60&gt;Lists!E$22)*($AJ60&lt;=Lists!E$21),MAX(0,MIN(Lists!E$21,$AK60)-MAX(Lists!E$22,$AJ60))/($AK60-$AJ60))+N($G60)*IF($AM60-$AL60&lt;1,($AL60&gt;Lists!E$22)*($AL60&lt;=Lists!E$21),MAX(0,MIN(Lists!E$21,$AM60)-MAX(Lists!E$22,$AL60))/($AM60-$AL60))))))))</f>
        <v>0</v>
      </c>
      <c r="P60" s="53" t="n">
        <f aca="false">IF($H60=0,0,IF($AP60="X",0,IF($AP60="S",$H60/$AO60*(MIN($AO60,MAX(0,INT((Lists!F$21-N($J60))/7)+1))-MIN($AO60,MAX(0,INT((Lists!F$22-N($J60))/7)+1))),IF($AP60="D",$H60*MAX(0,MIN(Lists!F$21,N($J60)+$AO60)-MAX(Lists!F$22,N($J60)))/$AO60,IF($AP60="M",$H60/$AO60*(IF(Lists!F$21&lt;$J60,0,MIN($AO60,(((YEAR(Lists!F$21)-YEAR($J60))*12+MONTH(Lists!F$21)-MONTH($J60))-(EDATE($J60,((YEAR(Lists!F$21)-YEAR($J60))*12+MONTH(Lists!F$21)-MONTH($J60)))&gt;Lists!F$21)+1)))-IF(Lists!F$22&lt;$J60,0,MIN($AO60,(((YEAR(Lists!F$22)-YEAR($J60))*12+MONTH(Lists!F$22)-MONTH($J60))-(EDATE($J60,((YEAR(Lists!F$22)-YEAR($J60))*12+MONTH(Lists!F$22)-MONTH($J60)))&gt;Lists!F$22)+1)))),IF($AP60="F",IF(N($K60)&lt;=0,0,MIN(MAX(0,$H60),N($K60)*IF(Lists!F$21&lt;$J60,0,(((YEAR(Lists!F$21)-YEAR($J60))*12+MONTH(Lists!F$21)-MONTH($J60))-(EDATE($J60,((YEAR(Lists!F$21)-YEAR($J60))*12+MONTH(Lists!F$21)-MONTH($J60)))&gt;Lists!F$21)+1)))-MIN(MAX(0,$H60),N($K60)*IF(Lists!F$22&lt;$J60,0,(((YEAR(Lists!F$22)-YEAR($J60))*12+MONTH(Lists!F$22)-MONTH($J60))-(EDATE($J60,((YEAR(Lists!F$22)-YEAR($J60))*12+MONTH(Lists!F$22)-MONTH($J60)))&gt;Lists!F$22)+1)))),N($C60)*IF($AE60-$AD60&lt;1,($AD60&gt;Lists!F$22)*($AD60&lt;=Lists!F$21),MAX(0,MIN(Lists!F$21,$AE60)-MAX(Lists!F$22,$AD60))/($AE60-$AD60))+N($D60)*IF($AG60-$AF60&lt;1,($AF60&gt;Lists!F$22)*($AF60&lt;=Lists!F$21),MAX(0,MIN(Lists!F$21,$AG60)-MAX(Lists!F$22,$AF60))/($AG60-$AF60))+N($E60)*IF($AI60-$AH60&lt;1,($AH60&gt;Lists!F$22)*($AH60&lt;=Lists!F$21),MAX(0,MIN(Lists!F$21,$AI60)-MAX(Lists!F$22,$AH60))/($AI60-$AH60))+N($F60)*IF($AK60-$AJ60&lt;1,($AJ60&gt;Lists!F$22)*($AJ60&lt;=Lists!F$21),MAX(0,MIN(Lists!F$21,$AK60)-MAX(Lists!F$22,$AJ60))/($AK60-$AJ60))+N($G60)*IF($AM60-$AL60&lt;1,($AL60&gt;Lists!F$22)*($AL60&lt;=Lists!F$21),MAX(0,MIN(Lists!F$21,$AM60)-MAX(Lists!F$22,$AL60))/($AM60-$AL60))))))))</f>
        <v>0</v>
      </c>
      <c r="Q60" s="53" t="n">
        <f aca="false">IF($H60=0,0,IF($AP60="X",0,IF($AP60="S",$H60/$AO60*(MIN($AO60,MAX(0,INT((Lists!G$21-N($J60))/7)+1))-MIN($AO60,MAX(0,INT((Lists!G$22-N($J60))/7)+1))),IF($AP60="D",$H60*MAX(0,MIN(Lists!G$21,N($J60)+$AO60)-MAX(Lists!G$22,N($J60)))/$AO60,IF($AP60="M",$H60/$AO60*(IF(Lists!G$21&lt;$J60,0,MIN($AO60,(((YEAR(Lists!G$21)-YEAR($J60))*12+MONTH(Lists!G$21)-MONTH($J60))-(EDATE($J60,((YEAR(Lists!G$21)-YEAR($J60))*12+MONTH(Lists!G$21)-MONTH($J60)))&gt;Lists!G$21)+1)))-IF(Lists!G$22&lt;$J60,0,MIN($AO60,(((YEAR(Lists!G$22)-YEAR($J60))*12+MONTH(Lists!G$22)-MONTH($J60))-(EDATE($J60,((YEAR(Lists!G$22)-YEAR($J60))*12+MONTH(Lists!G$22)-MONTH($J60)))&gt;Lists!G$22)+1)))),IF($AP60="F",IF(N($K60)&lt;=0,0,MIN(MAX(0,$H60),N($K60)*IF(Lists!G$21&lt;$J60,0,(((YEAR(Lists!G$21)-YEAR($J60))*12+MONTH(Lists!G$21)-MONTH($J60))-(EDATE($J60,((YEAR(Lists!G$21)-YEAR($J60))*12+MONTH(Lists!G$21)-MONTH($J60)))&gt;Lists!G$21)+1)))-MIN(MAX(0,$H60),N($K60)*IF(Lists!G$22&lt;$J60,0,(((YEAR(Lists!G$22)-YEAR($J60))*12+MONTH(Lists!G$22)-MONTH($J60))-(EDATE($J60,((YEAR(Lists!G$22)-YEAR($J60))*12+MONTH(Lists!G$22)-MONTH($J60)))&gt;Lists!G$22)+1)))),N($C60)*IF($AE60-$AD60&lt;1,($AD60&gt;Lists!G$22)*($AD60&lt;=Lists!G$21),MAX(0,MIN(Lists!G$21,$AE60)-MAX(Lists!G$22,$AD60))/($AE60-$AD60))+N($D60)*IF($AG60-$AF60&lt;1,($AF60&gt;Lists!G$22)*($AF60&lt;=Lists!G$21),MAX(0,MIN(Lists!G$21,$AG60)-MAX(Lists!G$22,$AF60))/($AG60-$AF60))+N($E60)*IF($AI60-$AH60&lt;1,($AH60&gt;Lists!G$22)*($AH60&lt;=Lists!G$21),MAX(0,MIN(Lists!G$21,$AI60)-MAX(Lists!G$22,$AH60))/($AI60-$AH60))+N($F60)*IF($AK60-$AJ60&lt;1,($AJ60&gt;Lists!G$22)*($AJ60&lt;=Lists!G$21),MAX(0,MIN(Lists!G$21,$AK60)-MAX(Lists!G$22,$AJ60))/($AK60-$AJ60))+N($G60)*IF($AM60-$AL60&lt;1,($AL60&gt;Lists!G$22)*($AL60&lt;=Lists!G$21),MAX(0,MIN(Lists!G$21,$AM60)-MAX(Lists!G$22,$AL60))/($AM60-$AL60))))))))</f>
        <v>0</v>
      </c>
      <c r="R60" s="53" t="n">
        <f aca="false">IF($H60=0,0,IF($AP60="X",0,IF($AP60="S",$H60/$AO60*(MIN($AO60,MAX(0,INT((Lists!H$21-N($J60))/7)+1))-MIN($AO60,MAX(0,INT((Lists!H$22-N($J60))/7)+1))),IF($AP60="D",$H60*MAX(0,MIN(Lists!H$21,N($J60)+$AO60)-MAX(Lists!H$22,N($J60)))/$AO60,IF($AP60="M",$H60/$AO60*(IF(Lists!H$21&lt;$J60,0,MIN($AO60,(((YEAR(Lists!H$21)-YEAR($J60))*12+MONTH(Lists!H$21)-MONTH($J60))-(EDATE($J60,((YEAR(Lists!H$21)-YEAR($J60))*12+MONTH(Lists!H$21)-MONTH($J60)))&gt;Lists!H$21)+1)))-IF(Lists!H$22&lt;$J60,0,MIN($AO60,(((YEAR(Lists!H$22)-YEAR($J60))*12+MONTH(Lists!H$22)-MONTH($J60))-(EDATE($J60,((YEAR(Lists!H$22)-YEAR($J60))*12+MONTH(Lists!H$22)-MONTH($J60)))&gt;Lists!H$22)+1)))),IF($AP60="F",IF(N($K60)&lt;=0,0,MIN(MAX(0,$H60),N($K60)*IF(Lists!H$21&lt;$J60,0,(((YEAR(Lists!H$21)-YEAR($J60))*12+MONTH(Lists!H$21)-MONTH($J60))-(EDATE($J60,((YEAR(Lists!H$21)-YEAR($J60))*12+MONTH(Lists!H$21)-MONTH($J60)))&gt;Lists!H$21)+1)))-MIN(MAX(0,$H60),N($K60)*IF(Lists!H$22&lt;$J60,0,(((YEAR(Lists!H$22)-YEAR($J60))*12+MONTH(Lists!H$22)-MONTH($J60))-(EDATE($J60,((YEAR(Lists!H$22)-YEAR($J60))*12+MONTH(Lists!H$22)-MONTH($J60)))&gt;Lists!H$22)+1)))),N($C60)*IF($AE60-$AD60&lt;1,($AD60&gt;Lists!H$22)*($AD60&lt;=Lists!H$21),MAX(0,MIN(Lists!H$21,$AE60)-MAX(Lists!H$22,$AD60))/($AE60-$AD60))+N($D60)*IF($AG60-$AF60&lt;1,($AF60&gt;Lists!H$22)*($AF60&lt;=Lists!H$21),MAX(0,MIN(Lists!H$21,$AG60)-MAX(Lists!H$22,$AF60))/($AG60-$AF60))+N($E60)*IF($AI60-$AH60&lt;1,($AH60&gt;Lists!H$22)*($AH60&lt;=Lists!H$21),MAX(0,MIN(Lists!H$21,$AI60)-MAX(Lists!H$22,$AH60))/($AI60-$AH60))+N($F60)*IF($AK60-$AJ60&lt;1,($AJ60&gt;Lists!H$22)*($AJ60&lt;=Lists!H$21),MAX(0,MIN(Lists!H$21,$AK60)-MAX(Lists!H$22,$AJ60))/($AK60-$AJ60))+N($G60)*IF($AM60-$AL60&lt;1,($AL60&gt;Lists!H$22)*($AL60&lt;=Lists!H$21),MAX(0,MIN(Lists!H$21,$AM60)-MAX(Lists!H$22,$AL60))/($AM60-$AL60))))))))</f>
        <v>0</v>
      </c>
      <c r="S60" s="53" t="n">
        <f aca="false">IF($H60=0,0,IF($AP60="X",0,IF($AP60="S",$H60/$AO60*(MIN($AO60,MAX(0,INT((Lists!I$21-N($J60))/7)+1))-MIN($AO60,MAX(0,INT((Lists!I$22-N($J60))/7)+1))),IF($AP60="D",$H60*MAX(0,MIN(Lists!I$21,N($J60)+$AO60)-MAX(Lists!I$22,N($J60)))/$AO60,IF($AP60="M",$H60/$AO60*(IF(Lists!I$21&lt;$J60,0,MIN($AO60,(((YEAR(Lists!I$21)-YEAR($J60))*12+MONTH(Lists!I$21)-MONTH($J60))-(EDATE($J60,((YEAR(Lists!I$21)-YEAR($J60))*12+MONTH(Lists!I$21)-MONTH($J60)))&gt;Lists!I$21)+1)))-IF(Lists!I$22&lt;$J60,0,MIN($AO60,(((YEAR(Lists!I$22)-YEAR($J60))*12+MONTH(Lists!I$22)-MONTH($J60))-(EDATE($J60,((YEAR(Lists!I$22)-YEAR($J60))*12+MONTH(Lists!I$22)-MONTH($J60)))&gt;Lists!I$22)+1)))),IF($AP60="F",IF(N($K60)&lt;=0,0,MIN(MAX(0,$H60),N($K60)*IF(Lists!I$21&lt;$J60,0,(((YEAR(Lists!I$21)-YEAR($J60))*12+MONTH(Lists!I$21)-MONTH($J60))-(EDATE($J60,((YEAR(Lists!I$21)-YEAR($J60))*12+MONTH(Lists!I$21)-MONTH($J60)))&gt;Lists!I$21)+1)))-MIN(MAX(0,$H60),N($K60)*IF(Lists!I$22&lt;$J60,0,(((YEAR(Lists!I$22)-YEAR($J60))*12+MONTH(Lists!I$22)-MONTH($J60))-(EDATE($J60,((YEAR(Lists!I$22)-YEAR($J60))*12+MONTH(Lists!I$22)-MONTH($J60)))&gt;Lists!I$22)+1)))),N($C60)*IF($AE60-$AD60&lt;1,($AD60&gt;Lists!I$22)*($AD60&lt;=Lists!I$21),MAX(0,MIN(Lists!I$21,$AE60)-MAX(Lists!I$22,$AD60))/($AE60-$AD60))+N($D60)*IF($AG60-$AF60&lt;1,($AF60&gt;Lists!I$22)*($AF60&lt;=Lists!I$21),MAX(0,MIN(Lists!I$21,$AG60)-MAX(Lists!I$22,$AF60))/($AG60-$AF60))+N($E60)*IF($AI60-$AH60&lt;1,($AH60&gt;Lists!I$22)*($AH60&lt;=Lists!I$21),MAX(0,MIN(Lists!I$21,$AI60)-MAX(Lists!I$22,$AH60))/($AI60-$AH60))+N($F60)*IF($AK60-$AJ60&lt;1,($AJ60&gt;Lists!I$22)*($AJ60&lt;=Lists!I$21),MAX(0,MIN(Lists!I$21,$AK60)-MAX(Lists!I$22,$AJ60))/($AK60-$AJ60))+N($G60)*IF($AM60-$AL60&lt;1,($AL60&gt;Lists!I$22)*($AL60&lt;=Lists!I$21),MAX(0,MIN(Lists!I$21,$AM60)-MAX(Lists!I$22,$AL60))/($AM60-$AL60))))))))</f>
        <v>0</v>
      </c>
      <c r="T60" s="53" t="n">
        <f aca="false">IF($H60=0,0,IF($AP60="X",0,IF($AP60="S",$H60/$AO60*(MIN($AO60,MAX(0,INT((Lists!J$21-N($J60))/7)+1))-MIN($AO60,MAX(0,INT((Lists!J$22-N($J60))/7)+1))),IF($AP60="D",$H60*MAX(0,MIN(Lists!J$21,N($J60)+$AO60)-MAX(Lists!J$22,N($J60)))/$AO60,IF($AP60="M",$H60/$AO60*(IF(Lists!J$21&lt;$J60,0,MIN($AO60,(((YEAR(Lists!J$21)-YEAR($J60))*12+MONTH(Lists!J$21)-MONTH($J60))-(EDATE($J60,((YEAR(Lists!J$21)-YEAR($J60))*12+MONTH(Lists!J$21)-MONTH($J60)))&gt;Lists!J$21)+1)))-IF(Lists!J$22&lt;$J60,0,MIN($AO60,(((YEAR(Lists!J$22)-YEAR($J60))*12+MONTH(Lists!J$22)-MONTH($J60))-(EDATE($J60,((YEAR(Lists!J$22)-YEAR($J60))*12+MONTH(Lists!J$22)-MONTH($J60)))&gt;Lists!J$22)+1)))),IF($AP60="F",IF(N($K60)&lt;=0,0,MIN(MAX(0,$H60),N($K60)*IF(Lists!J$21&lt;$J60,0,(((YEAR(Lists!J$21)-YEAR($J60))*12+MONTH(Lists!J$21)-MONTH($J60))-(EDATE($J60,((YEAR(Lists!J$21)-YEAR($J60))*12+MONTH(Lists!J$21)-MONTH($J60)))&gt;Lists!J$21)+1)))-MIN(MAX(0,$H60),N($K60)*IF(Lists!J$22&lt;$J60,0,(((YEAR(Lists!J$22)-YEAR($J60))*12+MONTH(Lists!J$22)-MONTH($J60))-(EDATE($J60,((YEAR(Lists!J$22)-YEAR($J60))*12+MONTH(Lists!J$22)-MONTH($J60)))&gt;Lists!J$22)+1)))),N($C60)*IF($AE60-$AD60&lt;1,($AD60&gt;Lists!J$22)*($AD60&lt;=Lists!J$21),MAX(0,MIN(Lists!J$21,$AE60)-MAX(Lists!J$22,$AD60))/($AE60-$AD60))+N($D60)*IF($AG60-$AF60&lt;1,($AF60&gt;Lists!J$22)*($AF60&lt;=Lists!J$21),MAX(0,MIN(Lists!J$21,$AG60)-MAX(Lists!J$22,$AF60))/($AG60-$AF60))+N($E60)*IF($AI60-$AH60&lt;1,($AH60&gt;Lists!J$22)*($AH60&lt;=Lists!J$21),MAX(0,MIN(Lists!J$21,$AI60)-MAX(Lists!J$22,$AH60))/($AI60-$AH60))+N($F60)*IF($AK60-$AJ60&lt;1,($AJ60&gt;Lists!J$22)*($AJ60&lt;=Lists!J$21),MAX(0,MIN(Lists!J$21,$AK60)-MAX(Lists!J$22,$AJ60))/($AK60-$AJ60))+N($G60)*IF($AM60-$AL60&lt;1,($AL60&gt;Lists!J$22)*($AL60&lt;=Lists!J$21),MAX(0,MIN(Lists!J$21,$AM60)-MAX(Lists!J$22,$AL60))/($AM60-$AL60))))))))</f>
        <v>0</v>
      </c>
      <c r="U60" s="53" t="n">
        <f aca="false">IF($H60=0,0,IF($AP60="X",0,IF($AP60="S",$H60/$AO60*(MIN($AO60,MAX(0,INT((Lists!K$21-N($J60))/7)+1))-MIN($AO60,MAX(0,INT((Lists!K$22-N($J60))/7)+1))),IF($AP60="D",$H60*MAX(0,MIN(Lists!K$21,N($J60)+$AO60)-MAX(Lists!K$22,N($J60)))/$AO60,IF($AP60="M",$H60/$AO60*(IF(Lists!K$21&lt;$J60,0,MIN($AO60,(((YEAR(Lists!K$21)-YEAR($J60))*12+MONTH(Lists!K$21)-MONTH($J60))-(EDATE($J60,((YEAR(Lists!K$21)-YEAR($J60))*12+MONTH(Lists!K$21)-MONTH($J60)))&gt;Lists!K$21)+1)))-IF(Lists!K$22&lt;$J60,0,MIN($AO60,(((YEAR(Lists!K$22)-YEAR($J60))*12+MONTH(Lists!K$22)-MONTH($J60))-(EDATE($J60,((YEAR(Lists!K$22)-YEAR($J60))*12+MONTH(Lists!K$22)-MONTH($J60)))&gt;Lists!K$22)+1)))),IF($AP60="F",IF(N($K60)&lt;=0,0,MIN(MAX(0,$H60),N($K60)*IF(Lists!K$21&lt;$J60,0,(((YEAR(Lists!K$21)-YEAR($J60))*12+MONTH(Lists!K$21)-MONTH($J60))-(EDATE($J60,((YEAR(Lists!K$21)-YEAR($J60))*12+MONTH(Lists!K$21)-MONTH($J60)))&gt;Lists!K$21)+1)))-MIN(MAX(0,$H60),N($K60)*IF(Lists!K$22&lt;$J60,0,(((YEAR(Lists!K$22)-YEAR($J60))*12+MONTH(Lists!K$22)-MONTH($J60))-(EDATE($J60,((YEAR(Lists!K$22)-YEAR($J60))*12+MONTH(Lists!K$22)-MONTH($J60)))&gt;Lists!K$22)+1)))),N($C60)*IF($AE60-$AD60&lt;1,($AD60&gt;Lists!K$22)*($AD60&lt;=Lists!K$21),MAX(0,MIN(Lists!K$21,$AE60)-MAX(Lists!K$22,$AD60))/($AE60-$AD60))+N($D60)*IF($AG60-$AF60&lt;1,($AF60&gt;Lists!K$22)*($AF60&lt;=Lists!K$21),MAX(0,MIN(Lists!K$21,$AG60)-MAX(Lists!K$22,$AF60))/($AG60-$AF60))+N($E60)*IF($AI60-$AH60&lt;1,($AH60&gt;Lists!K$22)*($AH60&lt;=Lists!K$21),MAX(0,MIN(Lists!K$21,$AI60)-MAX(Lists!K$22,$AH60))/($AI60-$AH60))+N($F60)*IF($AK60-$AJ60&lt;1,($AJ60&gt;Lists!K$22)*($AJ60&lt;=Lists!K$21),MAX(0,MIN(Lists!K$21,$AK60)-MAX(Lists!K$22,$AJ60))/($AK60-$AJ60))+N($G60)*IF($AM60-$AL60&lt;1,($AL60&gt;Lists!K$22)*($AL60&lt;=Lists!K$21),MAX(0,MIN(Lists!K$21,$AM60)-MAX(Lists!K$22,$AL60))/($AM60-$AL60))))))))</f>
        <v>0</v>
      </c>
      <c r="V60" s="53" t="n">
        <f aca="false">IF($H60=0,0,IF($AP60="X",0,IF($AP60="S",$H60/$AO60*(MIN($AO60,MAX(0,INT((Lists!L$21-N($J60))/7)+1))-MIN($AO60,MAX(0,INT((Lists!L$22-N($J60))/7)+1))),IF($AP60="D",$H60*MAX(0,MIN(Lists!L$21,N($J60)+$AO60)-MAX(Lists!L$22,N($J60)))/$AO60,IF($AP60="M",$H60/$AO60*(IF(Lists!L$21&lt;$J60,0,MIN($AO60,(((YEAR(Lists!L$21)-YEAR($J60))*12+MONTH(Lists!L$21)-MONTH($J60))-(EDATE($J60,((YEAR(Lists!L$21)-YEAR($J60))*12+MONTH(Lists!L$21)-MONTH($J60)))&gt;Lists!L$21)+1)))-IF(Lists!L$22&lt;$J60,0,MIN($AO60,(((YEAR(Lists!L$22)-YEAR($J60))*12+MONTH(Lists!L$22)-MONTH($J60))-(EDATE($J60,((YEAR(Lists!L$22)-YEAR($J60))*12+MONTH(Lists!L$22)-MONTH($J60)))&gt;Lists!L$22)+1)))),IF($AP60="F",IF(N($K60)&lt;=0,0,MIN(MAX(0,$H60),N($K60)*IF(Lists!L$21&lt;$J60,0,(((YEAR(Lists!L$21)-YEAR($J60))*12+MONTH(Lists!L$21)-MONTH($J60))-(EDATE($J60,((YEAR(Lists!L$21)-YEAR($J60))*12+MONTH(Lists!L$21)-MONTH($J60)))&gt;Lists!L$21)+1)))-MIN(MAX(0,$H60),N($K60)*IF(Lists!L$22&lt;$J60,0,(((YEAR(Lists!L$22)-YEAR($J60))*12+MONTH(Lists!L$22)-MONTH($J60))-(EDATE($J60,((YEAR(Lists!L$22)-YEAR($J60))*12+MONTH(Lists!L$22)-MONTH($J60)))&gt;Lists!L$22)+1)))),N($C60)*IF($AE60-$AD60&lt;1,($AD60&gt;Lists!L$22)*($AD60&lt;=Lists!L$21),MAX(0,MIN(Lists!L$21,$AE60)-MAX(Lists!L$22,$AD60))/($AE60-$AD60))+N($D60)*IF($AG60-$AF60&lt;1,($AF60&gt;Lists!L$22)*($AF60&lt;=Lists!L$21),MAX(0,MIN(Lists!L$21,$AG60)-MAX(Lists!L$22,$AF60))/($AG60-$AF60))+N($E60)*IF($AI60-$AH60&lt;1,($AH60&gt;Lists!L$22)*($AH60&lt;=Lists!L$21),MAX(0,MIN(Lists!L$21,$AI60)-MAX(Lists!L$22,$AH60))/($AI60-$AH60))+N($F60)*IF($AK60-$AJ60&lt;1,($AJ60&gt;Lists!L$22)*($AJ60&lt;=Lists!L$21),MAX(0,MIN(Lists!L$21,$AK60)-MAX(Lists!L$22,$AJ60))/($AK60-$AJ60))+N($G60)*IF($AM60-$AL60&lt;1,($AL60&gt;Lists!L$22)*($AL60&lt;=Lists!L$21),MAX(0,MIN(Lists!L$21,$AM60)-MAX(Lists!L$22,$AL60))/($AM60-$AL60))))))))</f>
        <v>0</v>
      </c>
      <c r="W60" s="53" t="n">
        <f aca="false">IF($H60=0,0,IF($AP60="X",0,IF($AP60="S",$H60/$AO60*(MIN($AO60,MAX(0,INT((Lists!M$21-N($J60))/7)+1))-MIN($AO60,MAX(0,INT((Lists!M$22-N($J60))/7)+1))),IF($AP60="D",$H60*MAX(0,MIN(Lists!M$21,N($J60)+$AO60)-MAX(Lists!M$22,N($J60)))/$AO60,IF($AP60="M",$H60/$AO60*(IF(Lists!M$21&lt;$J60,0,MIN($AO60,(((YEAR(Lists!M$21)-YEAR($J60))*12+MONTH(Lists!M$21)-MONTH($J60))-(EDATE($J60,((YEAR(Lists!M$21)-YEAR($J60))*12+MONTH(Lists!M$21)-MONTH($J60)))&gt;Lists!M$21)+1)))-IF(Lists!M$22&lt;$J60,0,MIN($AO60,(((YEAR(Lists!M$22)-YEAR($J60))*12+MONTH(Lists!M$22)-MONTH($J60))-(EDATE($J60,((YEAR(Lists!M$22)-YEAR($J60))*12+MONTH(Lists!M$22)-MONTH($J60)))&gt;Lists!M$22)+1)))),IF($AP60="F",IF(N($K60)&lt;=0,0,MIN(MAX(0,$H60),N($K60)*IF(Lists!M$21&lt;$J60,0,(((YEAR(Lists!M$21)-YEAR($J60))*12+MONTH(Lists!M$21)-MONTH($J60))-(EDATE($J60,((YEAR(Lists!M$21)-YEAR($J60))*12+MONTH(Lists!M$21)-MONTH($J60)))&gt;Lists!M$21)+1)))-MIN(MAX(0,$H60),N($K60)*IF(Lists!M$22&lt;$J60,0,(((YEAR(Lists!M$22)-YEAR($J60))*12+MONTH(Lists!M$22)-MONTH($J60))-(EDATE($J60,((YEAR(Lists!M$22)-YEAR($J60))*12+MONTH(Lists!M$22)-MONTH($J60)))&gt;Lists!M$22)+1)))),N($C60)*IF($AE60-$AD60&lt;1,($AD60&gt;Lists!M$22)*($AD60&lt;=Lists!M$21),MAX(0,MIN(Lists!M$21,$AE60)-MAX(Lists!M$22,$AD60))/($AE60-$AD60))+N($D60)*IF($AG60-$AF60&lt;1,($AF60&gt;Lists!M$22)*($AF60&lt;=Lists!M$21),MAX(0,MIN(Lists!M$21,$AG60)-MAX(Lists!M$22,$AF60))/($AG60-$AF60))+N($E60)*IF($AI60-$AH60&lt;1,($AH60&gt;Lists!M$22)*($AH60&lt;=Lists!M$21),MAX(0,MIN(Lists!M$21,$AI60)-MAX(Lists!M$22,$AH60))/($AI60-$AH60))+N($F60)*IF($AK60-$AJ60&lt;1,($AJ60&gt;Lists!M$22)*($AJ60&lt;=Lists!M$21),MAX(0,MIN(Lists!M$21,$AK60)-MAX(Lists!M$22,$AJ60))/($AK60-$AJ60))+N($G60)*IF($AM60-$AL60&lt;1,($AL60&gt;Lists!M$22)*($AL60&lt;=Lists!M$21),MAX(0,MIN(Lists!M$21,$AM60)-MAX(Lists!M$22,$AL60))/($AM60-$AL60))))))))</f>
        <v>0</v>
      </c>
      <c r="X60" s="53" t="n">
        <f aca="false">IF($H60=0,0,IF($AP60="X",0,IF($AP60="S",$H60/$AO60*(MIN($AO60,MAX(0,INT((Lists!N$21-N($J60))/7)+1))-MIN($AO60,MAX(0,INT((Lists!N$22-N($J60))/7)+1))),IF($AP60="D",$H60*MAX(0,MIN(Lists!N$21,N($J60)+$AO60)-MAX(Lists!N$22,N($J60)))/$AO60,IF($AP60="M",$H60/$AO60*(IF(Lists!N$21&lt;$J60,0,MIN($AO60,(((YEAR(Lists!N$21)-YEAR($J60))*12+MONTH(Lists!N$21)-MONTH($J60))-(EDATE($J60,((YEAR(Lists!N$21)-YEAR($J60))*12+MONTH(Lists!N$21)-MONTH($J60)))&gt;Lists!N$21)+1)))-IF(Lists!N$22&lt;$J60,0,MIN($AO60,(((YEAR(Lists!N$22)-YEAR($J60))*12+MONTH(Lists!N$22)-MONTH($J60))-(EDATE($J60,((YEAR(Lists!N$22)-YEAR($J60))*12+MONTH(Lists!N$22)-MONTH($J60)))&gt;Lists!N$22)+1)))),IF($AP60="F",IF(N($K60)&lt;=0,0,MIN(MAX(0,$H60),N($K60)*IF(Lists!N$21&lt;$J60,0,(((YEAR(Lists!N$21)-YEAR($J60))*12+MONTH(Lists!N$21)-MONTH($J60))-(EDATE($J60,((YEAR(Lists!N$21)-YEAR($J60))*12+MONTH(Lists!N$21)-MONTH($J60)))&gt;Lists!N$21)+1)))-MIN(MAX(0,$H60),N($K60)*IF(Lists!N$22&lt;$J60,0,(((YEAR(Lists!N$22)-YEAR($J60))*12+MONTH(Lists!N$22)-MONTH($J60))-(EDATE($J60,((YEAR(Lists!N$22)-YEAR($J60))*12+MONTH(Lists!N$22)-MONTH($J60)))&gt;Lists!N$22)+1)))),N($C60)*IF($AE60-$AD60&lt;1,($AD60&gt;Lists!N$22)*($AD60&lt;=Lists!N$21),MAX(0,MIN(Lists!N$21,$AE60)-MAX(Lists!N$22,$AD60))/($AE60-$AD60))+N($D60)*IF($AG60-$AF60&lt;1,($AF60&gt;Lists!N$22)*($AF60&lt;=Lists!N$21),MAX(0,MIN(Lists!N$21,$AG60)-MAX(Lists!N$22,$AF60))/($AG60-$AF60))+N($E60)*IF($AI60-$AH60&lt;1,($AH60&gt;Lists!N$22)*($AH60&lt;=Lists!N$21),MAX(0,MIN(Lists!N$21,$AI60)-MAX(Lists!N$22,$AH60))/($AI60-$AH60))+N($F60)*IF($AK60-$AJ60&lt;1,($AJ60&gt;Lists!N$22)*($AJ60&lt;=Lists!N$21),MAX(0,MIN(Lists!N$21,$AK60)-MAX(Lists!N$22,$AJ60))/($AK60-$AJ60))+N($G60)*IF($AM60-$AL60&lt;1,($AL60&gt;Lists!N$22)*($AL60&lt;=Lists!N$21),MAX(0,MIN(Lists!N$21,$AM60)-MAX(Lists!N$22,$AL60))/($AM60-$AL60))))))))</f>
        <v>0</v>
      </c>
      <c r="Y60" s="53" t="n">
        <f aca="false">IF($H60=0,0,IF($AP60="X",0,IF($AP60="S",$H60/$AO60*(MIN($AO60,MAX(0,INT((Lists!O$21-N($J60))/7)+1))-MIN($AO60,MAX(0,INT((Lists!O$22-N($J60))/7)+1))),IF($AP60="D",$H60*MAX(0,MIN(Lists!O$21,N($J60)+$AO60)-MAX(Lists!O$22,N($J60)))/$AO60,IF($AP60="M",$H60/$AO60*(IF(Lists!O$21&lt;$J60,0,MIN($AO60,(((YEAR(Lists!O$21)-YEAR($J60))*12+MONTH(Lists!O$21)-MONTH($J60))-(EDATE($J60,((YEAR(Lists!O$21)-YEAR($J60))*12+MONTH(Lists!O$21)-MONTH($J60)))&gt;Lists!O$21)+1)))-IF(Lists!O$22&lt;$J60,0,MIN($AO60,(((YEAR(Lists!O$22)-YEAR($J60))*12+MONTH(Lists!O$22)-MONTH($J60))-(EDATE($J60,((YEAR(Lists!O$22)-YEAR($J60))*12+MONTH(Lists!O$22)-MONTH($J60)))&gt;Lists!O$22)+1)))),IF($AP60="F",IF(N($K60)&lt;=0,0,MIN(MAX(0,$H60),N($K60)*IF(Lists!O$21&lt;$J60,0,(((YEAR(Lists!O$21)-YEAR($J60))*12+MONTH(Lists!O$21)-MONTH($J60))-(EDATE($J60,((YEAR(Lists!O$21)-YEAR($J60))*12+MONTH(Lists!O$21)-MONTH($J60)))&gt;Lists!O$21)+1)))-MIN(MAX(0,$H60),N($K60)*IF(Lists!O$22&lt;$J60,0,(((YEAR(Lists!O$22)-YEAR($J60))*12+MONTH(Lists!O$22)-MONTH($J60))-(EDATE($J60,((YEAR(Lists!O$22)-YEAR($J60))*12+MONTH(Lists!O$22)-MONTH($J60)))&gt;Lists!O$22)+1)))),N($C60)*IF($AE60-$AD60&lt;1,($AD60&gt;Lists!O$22)*($AD60&lt;=Lists!O$21),MAX(0,MIN(Lists!O$21,$AE60)-MAX(Lists!O$22,$AD60))/($AE60-$AD60))+N($D60)*IF($AG60-$AF60&lt;1,($AF60&gt;Lists!O$22)*($AF60&lt;=Lists!O$21),MAX(0,MIN(Lists!O$21,$AG60)-MAX(Lists!O$22,$AF60))/($AG60-$AF60))+N($E60)*IF($AI60-$AH60&lt;1,($AH60&gt;Lists!O$22)*($AH60&lt;=Lists!O$21),MAX(0,MIN(Lists!O$21,$AI60)-MAX(Lists!O$22,$AH60))/($AI60-$AH60))+N($F60)*IF($AK60-$AJ60&lt;1,($AJ60&gt;Lists!O$22)*($AJ60&lt;=Lists!O$21),MAX(0,MIN(Lists!O$21,$AK60)-MAX(Lists!O$22,$AJ60))/($AK60-$AJ60))+N($G60)*IF($AM60-$AL60&lt;1,($AL60&gt;Lists!O$22)*($AL60&lt;=Lists!O$21),MAX(0,MIN(Lists!O$21,$AM60)-MAX(Lists!O$22,$AL60))/($AM60-$AL60))))))))</f>
        <v>0</v>
      </c>
      <c r="Z60" s="46" t="n">
        <f aca="false">SUM(M60:Y60)</f>
        <v>0</v>
      </c>
      <c r="AA60" s="92" t="n">
        <f aca="false">H60-Z60</f>
        <v>0</v>
      </c>
      <c r="AB60" s="55"/>
      <c r="AC60" s="2"/>
      <c r="AD60" s="93" t="n">
        <f aca="false">Setup!$D$10+MAX(0,$AN60-30)</f>
        <v>46365</v>
      </c>
      <c r="AE60" s="93" t="n">
        <f aca="false">Setup!$D$10+IF($AN60-30&lt;0,MAX(Setup!$D$22,$AN60-0),$AN60-0)</f>
        <v>46395</v>
      </c>
      <c r="AF60" s="93" t="n">
        <f aca="false">Setup!$D$10+MAX(0,$AN60-60)</f>
        <v>46335</v>
      </c>
      <c r="AG60" s="93" t="n">
        <f aca="false">Setup!$D$10+IF($AN60-60&lt;0,MAX(Setup!$D$22,$AN60-31),$AN60-31)</f>
        <v>46364</v>
      </c>
      <c r="AH60" s="93" t="n">
        <f aca="false">Setup!$D$10+MAX(0,$AN60-90)</f>
        <v>46335</v>
      </c>
      <c r="AI60" s="93" t="n">
        <f aca="false">Setup!$D$10+IF($AN60-90&lt;0,MAX(Setup!$D$22,$AN60-61),$AN60-61)</f>
        <v>46363</v>
      </c>
      <c r="AJ60" s="93" t="n">
        <f aca="false">Setup!$D$10+MAX(0,$AN60-120)</f>
        <v>46335</v>
      </c>
      <c r="AK60" s="93" t="n">
        <f aca="false">Setup!$D$10+IF($AN60-120&lt;0,MAX(Setup!$D$22,$AN60-91),$AN60-91)</f>
        <v>46363</v>
      </c>
      <c r="AL60" s="93" t="n">
        <f aca="false">IF(Setup!$D$23="Yes",2958465,Setup!$D$10)</f>
        <v>2958465</v>
      </c>
      <c r="AM60" s="93" t="n">
        <f aca="false">IF(AL60=2958465,AL60,Setup!$D$10+Setup!$D$22)</f>
        <v>2958465</v>
      </c>
      <c r="AN60" s="94" t="n">
        <f aca="false">IF(N(L60)=0,Setup!$D$20,L60)</f>
        <v>60</v>
      </c>
      <c r="AO60" s="94" t="n">
        <f aca="false">MAX(1,ROUND(N(K60),0))</f>
        <v>1</v>
      </c>
      <c r="AP60" s="95" t="str">
        <f aca="false">IF(I60="Doubtful","X",IF(N(J60)=0,"A",IF(I60="Specific date","S",IF(I60="Spread over days","D",IF(I60="Monthly on set day","M",IF(I60="Monthly fixed amount","F","A"))))))</f>
        <v>A</v>
      </c>
    </row>
    <row r="61" customFormat="false" ht="15" hidden="false" customHeight="false" outlineLevel="0" collapsed="false">
      <c r="A61" s="87" t="n">
        <v>53</v>
      </c>
      <c r="B61" s="55"/>
      <c r="C61" s="88"/>
      <c r="D61" s="88"/>
      <c r="E61" s="88"/>
      <c r="F61" s="88"/>
      <c r="G61" s="88"/>
      <c r="H61" s="89" t="n">
        <f aca="false">SUM(C61:G61)</f>
        <v>0</v>
      </c>
      <c r="I61" s="58"/>
      <c r="J61" s="90"/>
      <c r="K61" s="91"/>
      <c r="L61" s="80"/>
      <c r="M61" s="53" t="n">
        <f aca="false">IF($H61=0,0,IF($AP61="X",0,IF($AP61="S",$H61/$AO61*(MIN($AO61,MAX(0,INT((Lists!C$21-N($J61))/7)+1))-MIN($AO61,MAX(0,INT((Lists!C$22-N($J61))/7)+1))),IF($AP61="D",$H61*MAX(0,MIN(Lists!C$21,N($J61)+$AO61)-MAX(Lists!C$22,N($J61)))/$AO61,IF($AP61="M",$H61/$AO61*(IF(Lists!C$21&lt;$J61,0,MIN($AO61,(((YEAR(Lists!C$21)-YEAR($J61))*12+MONTH(Lists!C$21)-MONTH($J61))-(EDATE($J61,((YEAR(Lists!C$21)-YEAR($J61))*12+MONTH(Lists!C$21)-MONTH($J61)))&gt;Lists!C$21)+1)))-IF(Lists!C$22&lt;$J61,0,MIN($AO61,(((YEAR(Lists!C$22)-YEAR($J61))*12+MONTH(Lists!C$22)-MONTH($J61))-(EDATE($J61,((YEAR(Lists!C$22)-YEAR($J61))*12+MONTH(Lists!C$22)-MONTH($J61)))&gt;Lists!C$22)+1)))),IF($AP61="F",IF(N($K61)&lt;=0,0,MIN(MAX(0,$H61),N($K61)*IF(Lists!C$21&lt;$J61,0,(((YEAR(Lists!C$21)-YEAR($J61))*12+MONTH(Lists!C$21)-MONTH($J61))-(EDATE($J61,((YEAR(Lists!C$21)-YEAR($J61))*12+MONTH(Lists!C$21)-MONTH($J61)))&gt;Lists!C$21)+1)))-MIN(MAX(0,$H61),N($K61)*IF(Lists!C$22&lt;$J61,0,(((YEAR(Lists!C$22)-YEAR($J61))*12+MONTH(Lists!C$22)-MONTH($J61))-(EDATE($J61,((YEAR(Lists!C$22)-YEAR($J61))*12+MONTH(Lists!C$22)-MONTH($J61)))&gt;Lists!C$22)+1)))),N($C61)*IF($AE61-$AD61&lt;1,($AD61&gt;Lists!C$22)*($AD61&lt;=Lists!C$21),MAX(0,MIN(Lists!C$21,$AE61)-MAX(Lists!C$22,$AD61))/($AE61-$AD61))+N($D61)*IF($AG61-$AF61&lt;1,($AF61&gt;Lists!C$22)*($AF61&lt;=Lists!C$21),MAX(0,MIN(Lists!C$21,$AG61)-MAX(Lists!C$22,$AF61))/($AG61-$AF61))+N($E61)*IF($AI61-$AH61&lt;1,($AH61&gt;Lists!C$22)*($AH61&lt;=Lists!C$21),MAX(0,MIN(Lists!C$21,$AI61)-MAX(Lists!C$22,$AH61))/($AI61-$AH61))+N($F61)*IF($AK61-$AJ61&lt;1,($AJ61&gt;Lists!C$22)*($AJ61&lt;=Lists!C$21),MAX(0,MIN(Lists!C$21,$AK61)-MAX(Lists!C$22,$AJ61))/($AK61-$AJ61))+N($G61)*IF($AM61-$AL61&lt;1,($AL61&gt;Lists!C$22)*($AL61&lt;=Lists!C$21),MAX(0,MIN(Lists!C$21,$AM61)-MAX(Lists!C$22,$AL61))/($AM61-$AL61))))))))</f>
        <v>0</v>
      </c>
      <c r="N61" s="53" t="n">
        <f aca="false">IF($H61=0,0,IF($AP61="X",0,IF($AP61="S",$H61/$AO61*(MIN($AO61,MAX(0,INT((Lists!D$21-N($J61))/7)+1))-MIN($AO61,MAX(0,INT((Lists!D$22-N($J61))/7)+1))),IF($AP61="D",$H61*MAX(0,MIN(Lists!D$21,N($J61)+$AO61)-MAX(Lists!D$22,N($J61)))/$AO61,IF($AP61="M",$H61/$AO61*(IF(Lists!D$21&lt;$J61,0,MIN($AO61,(((YEAR(Lists!D$21)-YEAR($J61))*12+MONTH(Lists!D$21)-MONTH($J61))-(EDATE($J61,((YEAR(Lists!D$21)-YEAR($J61))*12+MONTH(Lists!D$21)-MONTH($J61)))&gt;Lists!D$21)+1)))-IF(Lists!D$22&lt;$J61,0,MIN($AO61,(((YEAR(Lists!D$22)-YEAR($J61))*12+MONTH(Lists!D$22)-MONTH($J61))-(EDATE($J61,((YEAR(Lists!D$22)-YEAR($J61))*12+MONTH(Lists!D$22)-MONTH($J61)))&gt;Lists!D$22)+1)))),IF($AP61="F",IF(N($K61)&lt;=0,0,MIN(MAX(0,$H61),N($K61)*IF(Lists!D$21&lt;$J61,0,(((YEAR(Lists!D$21)-YEAR($J61))*12+MONTH(Lists!D$21)-MONTH($J61))-(EDATE($J61,((YEAR(Lists!D$21)-YEAR($J61))*12+MONTH(Lists!D$21)-MONTH($J61)))&gt;Lists!D$21)+1)))-MIN(MAX(0,$H61),N($K61)*IF(Lists!D$22&lt;$J61,0,(((YEAR(Lists!D$22)-YEAR($J61))*12+MONTH(Lists!D$22)-MONTH($J61))-(EDATE($J61,((YEAR(Lists!D$22)-YEAR($J61))*12+MONTH(Lists!D$22)-MONTH($J61)))&gt;Lists!D$22)+1)))),N($C61)*IF($AE61-$AD61&lt;1,($AD61&gt;Lists!D$22)*($AD61&lt;=Lists!D$21),MAX(0,MIN(Lists!D$21,$AE61)-MAX(Lists!D$22,$AD61))/($AE61-$AD61))+N($D61)*IF($AG61-$AF61&lt;1,($AF61&gt;Lists!D$22)*($AF61&lt;=Lists!D$21),MAX(0,MIN(Lists!D$21,$AG61)-MAX(Lists!D$22,$AF61))/($AG61-$AF61))+N($E61)*IF($AI61-$AH61&lt;1,($AH61&gt;Lists!D$22)*($AH61&lt;=Lists!D$21),MAX(0,MIN(Lists!D$21,$AI61)-MAX(Lists!D$22,$AH61))/($AI61-$AH61))+N($F61)*IF($AK61-$AJ61&lt;1,($AJ61&gt;Lists!D$22)*($AJ61&lt;=Lists!D$21),MAX(0,MIN(Lists!D$21,$AK61)-MAX(Lists!D$22,$AJ61))/($AK61-$AJ61))+N($G61)*IF($AM61-$AL61&lt;1,($AL61&gt;Lists!D$22)*($AL61&lt;=Lists!D$21),MAX(0,MIN(Lists!D$21,$AM61)-MAX(Lists!D$22,$AL61))/($AM61-$AL61))))))))</f>
        <v>0</v>
      </c>
      <c r="O61" s="53" t="n">
        <f aca="false">IF($H61=0,0,IF($AP61="X",0,IF($AP61="S",$H61/$AO61*(MIN($AO61,MAX(0,INT((Lists!E$21-N($J61))/7)+1))-MIN($AO61,MAX(0,INT((Lists!E$22-N($J61))/7)+1))),IF($AP61="D",$H61*MAX(0,MIN(Lists!E$21,N($J61)+$AO61)-MAX(Lists!E$22,N($J61)))/$AO61,IF($AP61="M",$H61/$AO61*(IF(Lists!E$21&lt;$J61,0,MIN($AO61,(((YEAR(Lists!E$21)-YEAR($J61))*12+MONTH(Lists!E$21)-MONTH($J61))-(EDATE($J61,((YEAR(Lists!E$21)-YEAR($J61))*12+MONTH(Lists!E$21)-MONTH($J61)))&gt;Lists!E$21)+1)))-IF(Lists!E$22&lt;$J61,0,MIN($AO61,(((YEAR(Lists!E$22)-YEAR($J61))*12+MONTH(Lists!E$22)-MONTH($J61))-(EDATE($J61,((YEAR(Lists!E$22)-YEAR($J61))*12+MONTH(Lists!E$22)-MONTH($J61)))&gt;Lists!E$22)+1)))),IF($AP61="F",IF(N($K61)&lt;=0,0,MIN(MAX(0,$H61),N($K61)*IF(Lists!E$21&lt;$J61,0,(((YEAR(Lists!E$21)-YEAR($J61))*12+MONTH(Lists!E$21)-MONTH($J61))-(EDATE($J61,((YEAR(Lists!E$21)-YEAR($J61))*12+MONTH(Lists!E$21)-MONTH($J61)))&gt;Lists!E$21)+1)))-MIN(MAX(0,$H61),N($K61)*IF(Lists!E$22&lt;$J61,0,(((YEAR(Lists!E$22)-YEAR($J61))*12+MONTH(Lists!E$22)-MONTH($J61))-(EDATE($J61,((YEAR(Lists!E$22)-YEAR($J61))*12+MONTH(Lists!E$22)-MONTH($J61)))&gt;Lists!E$22)+1)))),N($C61)*IF($AE61-$AD61&lt;1,($AD61&gt;Lists!E$22)*($AD61&lt;=Lists!E$21),MAX(0,MIN(Lists!E$21,$AE61)-MAX(Lists!E$22,$AD61))/($AE61-$AD61))+N($D61)*IF($AG61-$AF61&lt;1,($AF61&gt;Lists!E$22)*($AF61&lt;=Lists!E$21),MAX(0,MIN(Lists!E$21,$AG61)-MAX(Lists!E$22,$AF61))/($AG61-$AF61))+N($E61)*IF($AI61-$AH61&lt;1,($AH61&gt;Lists!E$22)*($AH61&lt;=Lists!E$21),MAX(0,MIN(Lists!E$21,$AI61)-MAX(Lists!E$22,$AH61))/($AI61-$AH61))+N($F61)*IF($AK61-$AJ61&lt;1,($AJ61&gt;Lists!E$22)*($AJ61&lt;=Lists!E$21),MAX(0,MIN(Lists!E$21,$AK61)-MAX(Lists!E$22,$AJ61))/($AK61-$AJ61))+N($G61)*IF($AM61-$AL61&lt;1,($AL61&gt;Lists!E$22)*($AL61&lt;=Lists!E$21),MAX(0,MIN(Lists!E$21,$AM61)-MAX(Lists!E$22,$AL61))/($AM61-$AL61))))))))</f>
        <v>0</v>
      </c>
      <c r="P61" s="53" t="n">
        <f aca="false">IF($H61=0,0,IF($AP61="X",0,IF($AP61="S",$H61/$AO61*(MIN($AO61,MAX(0,INT((Lists!F$21-N($J61))/7)+1))-MIN($AO61,MAX(0,INT((Lists!F$22-N($J61))/7)+1))),IF($AP61="D",$H61*MAX(0,MIN(Lists!F$21,N($J61)+$AO61)-MAX(Lists!F$22,N($J61)))/$AO61,IF($AP61="M",$H61/$AO61*(IF(Lists!F$21&lt;$J61,0,MIN($AO61,(((YEAR(Lists!F$21)-YEAR($J61))*12+MONTH(Lists!F$21)-MONTH($J61))-(EDATE($J61,((YEAR(Lists!F$21)-YEAR($J61))*12+MONTH(Lists!F$21)-MONTH($J61)))&gt;Lists!F$21)+1)))-IF(Lists!F$22&lt;$J61,0,MIN($AO61,(((YEAR(Lists!F$22)-YEAR($J61))*12+MONTH(Lists!F$22)-MONTH($J61))-(EDATE($J61,((YEAR(Lists!F$22)-YEAR($J61))*12+MONTH(Lists!F$22)-MONTH($J61)))&gt;Lists!F$22)+1)))),IF($AP61="F",IF(N($K61)&lt;=0,0,MIN(MAX(0,$H61),N($K61)*IF(Lists!F$21&lt;$J61,0,(((YEAR(Lists!F$21)-YEAR($J61))*12+MONTH(Lists!F$21)-MONTH($J61))-(EDATE($J61,((YEAR(Lists!F$21)-YEAR($J61))*12+MONTH(Lists!F$21)-MONTH($J61)))&gt;Lists!F$21)+1)))-MIN(MAX(0,$H61),N($K61)*IF(Lists!F$22&lt;$J61,0,(((YEAR(Lists!F$22)-YEAR($J61))*12+MONTH(Lists!F$22)-MONTH($J61))-(EDATE($J61,((YEAR(Lists!F$22)-YEAR($J61))*12+MONTH(Lists!F$22)-MONTH($J61)))&gt;Lists!F$22)+1)))),N($C61)*IF($AE61-$AD61&lt;1,($AD61&gt;Lists!F$22)*($AD61&lt;=Lists!F$21),MAX(0,MIN(Lists!F$21,$AE61)-MAX(Lists!F$22,$AD61))/($AE61-$AD61))+N($D61)*IF($AG61-$AF61&lt;1,($AF61&gt;Lists!F$22)*($AF61&lt;=Lists!F$21),MAX(0,MIN(Lists!F$21,$AG61)-MAX(Lists!F$22,$AF61))/($AG61-$AF61))+N($E61)*IF($AI61-$AH61&lt;1,($AH61&gt;Lists!F$22)*($AH61&lt;=Lists!F$21),MAX(0,MIN(Lists!F$21,$AI61)-MAX(Lists!F$22,$AH61))/($AI61-$AH61))+N($F61)*IF($AK61-$AJ61&lt;1,($AJ61&gt;Lists!F$22)*($AJ61&lt;=Lists!F$21),MAX(0,MIN(Lists!F$21,$AK61)-MAX(Lists!F$22,$AJ61))/($AK61-$AJ61))+N($G61)*IF($AM61-$AL61&lt;1,($AL61&gt;Lists!F$22)*($AL61&lt;=Lists!F$21),MAX(0,MIN(Lists!F$21,$AM61)-MAX(Lists!F$22,$AL61))/($AM61-$AL61))))))))</f>
        <v>0</v>
      </c>
      <c r="Q61" s="53" t="n">
        <f aca="false">IF($H61=0,0,IF($AP61="X",0,IF($AP61="S",$H61/$AO61*(MIN($AO61,MAX(0,INT((Lists!G$21-N($J61))/7)+1))-MIN($AO61,MAX(0,INT((Lists!G$22-N($J61))/7)+1))),IF($AP61="D",$H61*MAX(0,MIN(Lists!G$21,N($J61)+$AO61)-MAX(Lists!G$22,N($J61)))/$AO61,IF($AP61="M",$H61/$AO61*(IF(Lists!G$21&lt;$J61,0,MIN($AO61,(((YEAR(Lists!G$21)-YEAR($J61))*12+MONTH(Lists!G$21)-MONTH($J61))-(EDATE($J61,((YEAR(Lists!G$21)-YEAR($J61))*12+MONTH(Lists!G$21)-MONTH($J61)))&gt;Lists!G$21)+1)))-IF(Lists!G$22&lt;$J61,0,MIN($AO61,(((YEAR(Lists!G$22)-YEAR($J61))*12+MONTH(Lists!G$22)-MONTH($J61))-(EDATE($J61,((YEAR(Lists!G$22)-YEAR($J61))*12+MONTH(Lists!G$22)-MONTH($J61)))&gt;Lists!G$22)+1)))),IF($AP61="F",IF(N($K61)&lt;=0,0,MIN(MAX(0,$H61),N($K61)*IF(Lists!G$21&lt;$J61,0,(((YEAR(Lists!G$21)-YEAR($J61))*12+MONTH(Lists!G$21)-MONTH($J61))-(EDATE($J61,((YEAR(Lists!G$21)-YEAR($J61))*12+MONTH(Lists!G$21)-MONTH($J61)))&gt;Lists!G$21)+1)))-MIN(MAX(0,$H61),N($K61)*IF(Lists!G$22&lt;$J61,0,(((YEAR(Lists!G$22)-YEAR($J61))*12+MONTH(Lists!G$22)-MONTH($J61))-(EDATE($J61,((YEAR(Lists!G$22)-YEAR($J61))*12+MONTH(Lists!G$22)-MONTH($J61)))&gt;Lists!G$22)+1)))),N($C61)*IF($AE61-$AD61&lt;1,($AD61&gt;Lists!G$22)*($AD61&lt;=Lists!G$21),MAX(0,MIN(Lists!G$21,$AE61)-MAX(Lists!G$22,$AD61))/($AE61-$AD61))+N($D61)*IF($AG61-$AF61&lt;1,($AF61&gt;Lists!G$22)*($AF61&lt;=Lists!G$21),MAX(0,MIN(Lists!G$21,$AG61)-MAX(Lists!G$22,$AF61))/($AG61-$AF61))+N($E61)*IF($AI61-$AH61&lt;1,($AH61&gt;Lists!G$22)*($AH61&lt;=Lists!G$21),MAX(0,MIN(Lists!G$21,$AI61)-MAX(Lists!G$22,$AH61))/($AI61-$AH61))+N($F61)*IF($AK61-$AJ61&lt;1,($AJ61&gt;Lists!G$22)*($AJ61&lt;=Lists!G$21),MAX(0,MIN(Lists!G$21,$AK61)-MAX(Lists!G$22,$AJ61))/($AK61-$AJ61))+N($G61)*IF($AM61-$AL61&lt;1,($AL61&gt;Lists!G$22)*($AL61&lt;=Lists!G$21),MAX(0,MIN(Lists!G$21,$AM61)-MAX(Lists!G$22,$AL61))/($AM61-$AL61))))))))</f>
        <v>0</v>
      </c>
      <c r="R61" s="53" t="n">
        <f aca="false">IF($H61=0,0,IF($AP61="X",0,IF($AP61="S",$H61/$AO61*(MIN($AO61,MAX(0,INT((Lists!H$21-N($J61))/7)+1))-MIN($AO61,MAX(0,INT((Lists!H$22-N($J61))/7)+1))),IF($AP61="D",$H61*MAX(0,MIN(Lists!H$21,N($J61)+$AO61)-MAX(Lists!H$22,N($J61)))/$AO61,IF($AP61="M",$H61/$AO61*(IF(Lists!H$21&lt;$J61,0,MIN($AO61,(((YEAR(Lists!H$21)-YEAR($J61))*12+MONTH(Lists!H$21)-MONTH($J61))-(EDATE($J61,((YEAR(Lists!H$21)-YEAR($J61))*12+MONTH(Lists!H$21)-MONTH($J61)))&gt;Lists!H$21)+1)))-IF(Lists!H$22&lt;$J61,0,MIN($AO61,(((YEAR(Lists!H$22)-YEAR($J61))*12+MONTH(Lists!H$22)-MONTH($J61))-(EDATE($J61,((YEAR(Lists!H$22)-YEAR($J61))*12+MONTH(Lists!H$22)-MONTH($J61)))&gt;Lists!H$22)+1)))),IF($AP61="F",IF(N($K61)&lt;=0,0,MIN(MAX(0,$H61),N($K61)*IF(Lists!H$21&lt;$J61,0,(((YEAR(Lists!H$21)-YEAR($J61))*12+MONTH(Lists!H$21)-MONTH($J61))-(EDATE($J61,((YEAR(Lists!H$21)-YEAR($J61))*12+MONTH(Lists!H$21)-MONTH($J61)))&gt;Lists!H$21)+1)))-MIN(MAX(0,$H61),N($K61)*IF(Lists!H$22&lt;$J61,0,(((YEAR(Lists!H$22)-YEAR($J61))*12+MONTH(Lists!H$22)-MONTH($J61))-(EDATE($J61,((YEAR(Lists!H$22)-YEAR($J61))*12+MONTH(Lists!H$22)-MONTH($J61)))&gt;Lists!H$22)+1)))),N($C61)*IF($AE61-$AD61&lt;1,($AD61&gt;Lists!H$22)*($AD61&lt;=Lists!H$21),MAX(0,MIN(Lists!H$21,$AE61)-MAX(Lists!H$22,$AD61))/($AE61-$AD61))+N($D61)*IF($AG61-$AF61&lt;1,($AF61&gt;Lists!H$22)*($AF61&lt;=Lists!H$21),MAX(0,MIN(Lists!H$21,$AG61)-MAX(Lists!H$22,$AF61))/($AG61-$AF61))+N($E61)*IF($AI61-$AH61&lt;1,($AH61&gt;Lists!H$22)*($AH61&lt;=Lists!H$21),MAX(0,MIN(Lists!H$21,$AI61)-MAX(Lists!H$22,$AH61))/($AI61-$AH61))+N($F61)*IF($AK61-$AJ61&lt;1,($AJ61&gt;Lists!H$22)*($AJ61&lt;=Lists!H$21),MAX(0,MIN(Lists!H$21,$AK61)-MAX(Lists!H$22,$AJ61))/($AK61-$AJ61))+N($G61)*IF($AM61-$AL61&lt;1,($AL61&gt;Lists!H$22)*($AL61&lt;=Lists!H$21),MAX(0,MIN(Lists!H$21,$AM61)-MAX(Lists!H$22,$AL61))/($AM61-$AL61))))))))</f>
        <v>0</v>
      </c>
      <c r="S61" s="53" t="n">
        <f aca="false">IF($H61=0,0,IF($AP61="X",0,IF($AP61="S",$H61/$AO61*(MIN($AO61,MAX(0,INT((Lists!I$21-N($J61))/7)+1))-MIN($AO61,MAX(0,INT((Lists!I$22-N($J61))/7)+1))),IF($AP61="D",$H61*MAX(0,MIN(Lists!I$21,N($J61)+$AO61)-MAX(Lists!I$22,N($J61)))/$AO61,IF($AP61="M",$H61/$AO61*(IF(Lists!I$21&lt;$J61,0,MIN($AO61,(((YEAR(Lists!I$21)-YEAR($J61))*12+MONTH(Lists!I$21)-MONTH($J61))-(EDATE($J61,((YEAR(Lists!I$21)-YEAR($J61))*12+MONTH(Lists!I$21)-MONTH($J61)))&gt;Lists!I$21)+1)))-IF(Lists!I$22&lt;$J61,0,MIN($AO61,(((YEAR(Lists!I$22)-YEAR($J61))*12+MONTH(Lists!I$22)-MONTH($J61))-(EDATE($J61,((YEAR(Lists!I$22)-YEAR($J61))*12+MONTH(Lists!I$22)-MONTH($J61)))&gt;Lists!I$22)+1)))),IF($AP61="F",IF(N($K61)&lt;=0,0,MIN(MAX(0,$H61),N($K61)*IF(Lists!I$21&lt;$J61,0,(((YEAR(Lists!I$21)-YEAR($J61))*12+MONTH(Lists!I$21)-MONTH($J61))-(EDATE($J61,((YEAR(Lists!I$21)-YEAR($J61))*12+MONTH(Lists!I$21)-MONTH($J61)))&gt;Lists!I$21)+1)))-MIN(MAX(0,$H61),N($K61)*IF(Lists!I$22&lt;$J61,0,(((YEAR(Lists!I$22)-YEAR($J61))*12+MONTH(Lists!I$22)-MONTH($J61))-(EDATE($J61,((YEAR(Lists!I$22)-YEAR($J61))*12+MONTH(Lists!I$22)-MONTH($J61)))&gt;Lists!I$22)+1)))),N($C61)*IF($AE61-$AD61&lt;1,($AD61&gt;Lists!I$22)*($AD61&lt;=Lists!I$21),MAX(0,MIN(Lists!I$21,$AE61)-MAX(Lists!I$22,$AD61))/($AE61-$AD61))+N($D61)*IF($AG61-$AF61&lt;1,($AF61&gt;Lists!I$22)*($AF61&lt;=Lists!I$21),MAX(0,MIN(Lists!I$21,$AG61)-MAX(Lists!I$22,$AF61))/($AG61-$AF61))+N($E61)*IF($AI61-$AH61&lt;1,($AH61&gt;Lists!I$22)*($AH61&lt;=Lists!I$21),MAX(0,MIN(Lists!I$21,$AI61)-MAX(Lists!I$22,$AH61))/($AI61-$AH61))+N($F61)*IF($AK61-$AJ61&lt;1,($AJ61&gt;Lists!I$22)*($AJ61&lt;=Lists!I$21),MAX(0,MIN(Lists!I$21,$AK61)-MAX(Lists!I$22,$AJ61))/($AK61-$AJ61))+N($G61)*IF($AM61-$AL61&lt;1,($AL61&gt;Lists!I$22)*($AL61&lt;=Lists!I$21),MAX(0,MIN(Lists!I$21,$AM61)-MAX(Lists!I$22,$AL61))/($AM61-$AL61))))))))</f>
        <v>0</v>
      </c>
      <c r="T61" s="53" t="n">
        <f aca="false">IF($H61=0,0,IF($AP61="X",0,IF($AP61="S",$H61/$AO61*(MIN($AO61,MAX(0,INT((Lists!J$21-N($J61))/7)+1))-MIN($AO61,MAX(0,INT((Lists!J$22-N($J61))/7)+1))),IF($AP61="D",$H61*MAX(0,MIN(Lists!J$21,N($J61)+$AO61)-MAX(Lists!J$22,N($J61)))/$AO61,IF($AP61="M",$H61/$AO61*(IF(Lists!J$21&lt;$J61,0,MIN($AO61,(((YEAR(Lists!J$21)-YEAR($J61))*12+MONTH(Lists!J$21)-MONTH($J61))-(EDATE($J61,((YEAR(Lists!J$21)-YEAR($J61))*12+MONTH(Lists!J$21)-MONTH($J61)))&gt;Lists!J$21)+1)))-IF(Lists!J$22&lt;$J61,0,MIN($AO61,(((YEAR(Lists!J$22)-YEAR($J61))*12+MONTH(Lists!J$22)-MONTH($J61))-(EDATE($J61,((YEAR(Lists!J$22)-YEAR($J61))*12+MONTH(Lists!J$22)-MONTH($J61)))&gt;Lists!J$22)+1)))),IF($AP61="F",IF(N($K61)&lt;=0,0,MIN(MAX(0,$H61),N($K61)*IF(Lists!J$21&lt;$J61,0,(((YEAR(Lists!J$21)-YEAR($J61))*12+MONTH(Lists!J$21)-MONTH($J61))-(EDATE($J61,((YEAR(Lists!J$21)-YEAR($J61))*12+MONTH(Lists!J$21)-MONTH($J61)))&gt;Lists!J$21)+1)))-MIN(MAX(0,$H61),N($K61)*IF(Lists!J$22&lt;$J61,0,(((YEAR(Lists!J$22)-YEAR($J61))*12+MONTH(Lists!J$22)-MONTH($J61))-(EDATE($J61,((YEAR(Lists!J$22)-YEAR($J61))*12+MONTH(Lists!J$22)-MONTH($J61)))&gt;Lists!J$22)+1)))),N($C61)*IF($AE61-$AD61&lt;1,($AD61&gt;Lists!J$22)*($AD61&lt;=Lists!J$21),MAX(0,MIN(Lists!J$21,$AE61)-MAX(Lists!J$22,$AD61))/($AE61-$AD61))+N($D61)*IF($AG61-$AF61&lt;1,($AF61&gt;Lists!J$22)*($AF61&lt;=Lists!J$21),MAX(0,MIN(Lists!J$21,$AG61)-MAX(Lists!J$22,$AF61))/($AG61-$AF61))+N($E61)*IF($AI61-$AH61&lt;1,($AH61&gt;Lists!J$22)*($AH61&lt;=Lists!J$21),MAX(0,MIN(Lists!J$21,$AI61)-MAX(Lists!J$22,$AH61))/($AI61-$AH61))+N($F61)*IF($AK61-$AJ61&lt;1,($AJ61&gt;Lists!J$22)*($AJ61&lt;=Lists!J$21),MAX(0,MIN(Lists!J$21,$AK61)-MAX(Lists!J$22,$AJ61))/($AK61-$AJ61))+N($G61)*IF($AM61-$AL61&lt;1,($AL61&gt;Lists!J$22)*($AL61&lt;=Lists!J$21),MAX(0,MIN(Lists!J$21,$AM61)-MAX(Lists!J$22,$AL61))/($AM61-$AL61))))))))</f>
        <v>0</v>
      </c>
      <c r="U61" s="53" t="n">
        <f aca="false">IF($H61=0,0,IF($AP61="X",0,IF($AP61="S",$H61/$AO61*(MIN($AO61,MAX(0,INT((Lists!K$21-N($J61))/7)+1))-MIN($AO61,MAX(0,INT((Lists!K$22-N($J61))/7)+1))),IF($AP61="D",$H61*MAX(0,MIN(Lists!K$21,N($J61)+$AO61)-MAX(Lists!K$22,N($J61)))/$AO61,IF($AP61="M",$H61/$AO61*(IF(Lists!K$21&lt;$J61,0,MIN($AO61,(((YEAR(Lists!K$21)-YEAR($J61))*12+MONTH(Lists!K$21)-MONTH($J61))-(EDATE($J61,((YEAR(Lists!K$21)-YEAR($J61))*12+MONTH(Lists!K$21)-MONTH($J61)))&gt;Lists!K$21)+1)))-IF(Lists!K$22&lt;$J61,0,MIN($AO61,(((YEAR(Lists!K$22)-YEAR($J61))*12+MONTH(Lists!K$22)-MONTH($J61))-(EDATE($J61,((YEAR(Lists!K$22)-YEAR($J61))*12+MONTH(Lists!K$22)-MONTH($J61)))&gt;Lists!K$22)+1)))),IF($AP61="F",IF(N($K61)&lt;=0,0,MIN(MAX(0,$H61),N($K61)*IF(Lists!K$21&lt;$J61,0,(((YEAR(Lists!K$21)-YEAR($J61))*12+MONTH(Lists!K$21)-MONTH($J61))-(EDATE($J61,((YEAR(Lists!K$21)-YEAR($J61))*12+MONTH(Lists!K$21)-MONTH($J61)))&gt;Lists!K$21)+1)))-MIN(MAX(0,$H61),N($K61)*IF(Lists!K$22&lt;$J61,0,(((YEAR(Lists!K$22)-YEAR($J61))*12+MONTH(Lists!K$22)-MONTH($J61))-(EDATE($J61,((YEAR(Lists!K$22)-YEAR($J61))*12+MONTH(Lists!K$22)-MONTH($J61)))&gt;Lists!K$22)+1)))),N($C61)*IF($AE61-$AD61&lt;1,($AD61&gt;Lists!K$22)*($AD61&lt;=Lists!K$21),MAX(0,MIN(Lists!K$21,$AE61)-MAX(Lists!K$22,$AD61))/($AE61-$AD61))+N($D61)*IF($AG61-$AF61&lt;1,($AF61&gt;Lists!K$22)*($AF61&lt;=Lists!K$21),MAX(0,MIN(Lists!K$21,$AG61)-MAX(Lists!K$22,$AF61))/($AG61-$AF61))+N($E61)*IF($AI61-$AH61&lt;1,($AH61&gt;Lists!K$22)*($AH61&lt;=Lists!K$21),MAX(0,MIN(Lists!K$21,$AI61)-MAX(Lists!K$22,$AH61))/($AI61-$AH61))+N($F61)*IF($AK61-$AJ61&lt;1,($AJ61&gt;Lists!K$22)*($AJ61&lt;=Lists!K$21),MAX(0,MIN(Lists!K$21,$AK61)-MAX(Lists!K$22,$AJ61))/($AK61-$AJ61))+N($G61)*IF($AM61-$AL61&lt;1,($AL61&gt;Lists!K$22)*($AL61&lt;=Lists!K$21),MAX(0,MIN(Lists!K$21,$AM61)-MAX(Lists!K$22,$AL61))/($AM61-$AL61))))))))</f>
        <v>0</v>
      </c>
      <c r="V61" s="53" t="n">
        <f aca="false">IF($H61=0,0,IF($AP61="X",0,IF($AP61="S",$H61/$AO61*(MIN($AO61,MAX(0,INT((Lists!L$21-N($J61))/7)+1))-MIN($AO61,MAX(0,INT((Lists!L$22-N($J61))/7)+1))),IF($AP61="D",$H61*MAX(0,MIN(Lists!L$21,N($J61)+$AO61)-MAX(Lists!L$22,N($J61)))/$AO61,IF($AP61="M",$H61/$AO61*(IF(Lists!L$21&lt;$J61,0,MIN($AO61,(((YEAR(Lists!L$21)-YEAR($J61))*12+MONTH(Lists!L$21)-MONTH($J61))-(EDATE($J61,((YEAR(Lists!L$21)-YEAR($J61))*12+MONTH(Lists!L$21)-MONTH($J61)))&gt;Lists!L$21)+1)))-IF(Lists!L$22&lt;$J61,0,MIN($AO61,(((YEAR(Lists!L$22)-YEAR($J61))*12+MONTH(Lists!L$22)-MONTH($J61))-(EDATE($J61,((YEAR(Lists!L$22)-YEAR($J61))*12+MONTH(Lists!L$22)-MONTH($J61)))&gt;Lists!L$22)+1)))),IF($AP61="F",IF(N($K61)&lt;=0,0,MIN(MAX(0,$H61),N($K61)*IF(Lists!L$21&lt;$J61,0,(((YEAR(Lists!L$21)-YEAR($J61))*12+MONTH(Lists!L$21)-MONTH($J61))-(EDATE($J61,((YEAR(Lists!L$21)-YEAR($J61))*12+MONTH(Lists!L$21)-MONTH($J61)))&gt;Lists!L$21)+1)))-MIN(MAX(0,$H61),N($K61)*IF(Lists!L$22&lt;$J61,0,(((YEAR(Lists!L$22)-YEAR($J61))*12+MONTH(Lists!L$22)-MONTH($J61))-(EDATE($J61,((YEAR(Lists!L$22)-YEAR($J61))*12+MONTH(Lists!L$22)-MONTH($J61)))&gt;Lists!L$22)+1)))),N($C61)*IF($AE61-$AD61&lt;1,($AD61&gt;Lists!L$22)*($AD61&lt;=Lists!L$21),MAX(0,MIN(Lists!L$21,$AE61)-MAX(Lists!L$22,$AD61))/($AE61-$AD61))+N($D61)*IF($AG61-$AF61&lt;1,($AF61&gt;Lists!L$22)*($AF61&lt;=Lists!L$21),MAX(0,MIN(Lists!L$21,$AG61)-MAX(Lists!L$22,$AF61))/($AG61-$AF61))+N($E61)*IF($AI61-$AH61&lt;1,($AH61&gt;Lists!L$22)*($AH61&lt;=Lists!L$21),MAX(0,MIN(Lists!L$21,$AI61)-MAX(Lists!L$22,$AH61))/($AI61-$AH61))+N($F61)*IF($AK61-$AJ61&lt;1,($AJ61&gt;Lists!L$22)*($AJ61&lt;=Lists!L$21),MAX(0,MIN(Lists!L$21,$AK61)-MAX(Lists!L$22,$AJ61))/($AK61-$AJ61))+N($G61)*IF($AM61-$AL61&lt;1,($AL61&gt;Lists!L$22)*($AL61&lt;=Lists!L$21),MAX(0,MIN(Lists!L$21,$AM61)-MAX(Lists!L$22,$AL61))/($AM61-$AL61))))))))</f>
        <v>0</v>
      </c>
      <c r="W61" s="53" t="n">
        <f aca="false">IF($H61=0,0,IF($AP61="X",0,IF($AP61="S",$H61/$AO61*(MIN($AO61,MAX(0,INT((Lists!M$21-N($J61))/7)+1))-MIN($AO61,MAX(0,INT((Lists!M$22-N($J61))/7)+1))),IF($AP61="D",$H61*MAX(0,MIN(Lists!M$21,N($J61)+$AO61)-MAX(Lists!M$22,N($J61)))/$AO61,IF($AP61="M",$H61/$AO61*(IF(Lists!M$21&lt;$J61,0,MIN($AO61,(((YEAR(Lists!M$21)-YEAR($J61))*12+MONTH(Lists!M$21)-MONTH($J61))-(EDATE($J61,((YEAR(Lists!M$21)-YEAR($J61))*12+MONTH(Lists!M$21)-MONTH($J61)))&gt;Lists!M$21)+1)))-IF(Lists!M$22&lt;$J61,0,MIN($AO61,(((YEAR(Lists!M$22)-YEAR($J61))*12+MONTH(Lists!M$22)-MONTH($J61))-(EDATE($J61,((YEAR(Lists!M$22)-YEAR($J61))*12+MONTH(Lists!M$22)-MONTH($J61)))&gt;Lists!M$22)+1)))),IF($AP61="F",IF(N($K61)&lt;=0,0,MIN(MAX(0,$H61),N($K61)*IF(Lists!M$21&lt;$J61,0,(((YEAR(Lists!M$21)-YEAR($J61))*12+MONTH(Lists!M$21)-MONTH($J61))-(EDATE($J61,((YEAR(Lists!M$21)-YEAR($J61))*12+MONTH(Lists!M$21)-MONTH($J61)))&gt;Lists!M$21)+1)))-MIN(MAX(0,$H61),N($K61)*IF(Lists!M$22&lt;$J61,0,(((YEAR(Lists!M$22)-YEAR($J61))*12+MONTH(Lists!M$22)-MONTH($J61))-(EDATE($J61,((YEAR(Lists!M$22)-YEAR($J61))*12+MONTH(Lists!M$22)-MONTH($J61)))&gt;Lists!M$22)+1)))),N($C61)*IF($AE61-$AD61&lt;1,($AD61&gt;Lists!M$22)*($AD61&lt;=Lists!M$21),MAX(0,MIN(Lists!M$21,$AE61)-MAX(Lists!M$22,$AD61))/($AE61-$AD61))+N($D61)*IF($AG61-$AF61&lt;1,($AF61&gt;Lists!M$22)*($AF61&lt;=Lists!M$21),MAX(0,MIN(Lists!M$21,$AG61)-MAX(Lists!M$22,$AF61))/($AG61-$AF61))+N($E61)*IF($AI61-$AH61&lt;1,($AH61&gt;Lists!M$22)*($AH61&lt;=Lists!M$21),MAX(0,MIN(Lists!M$21,$AI61)-MAX(Lists!M$22,$AH61))/($AI61-$AH61))+N($F61)*IF($AK61-$AJ61&lt;1,($AJ61&gt;Lists!M$22)*($AJ61&lt;=Lists!M$21),MAX(0,MIN(Lists!M$21,$AK61)-MAX(Lists!M$22,$AJ61))/($AK61-$AJ61))+N($G61)*IF($AM61-$AL61&lt;1,($AL61&gt;Lists!M$22)*($AL61&lt;=Lists!M$21),MAX(0,MIN(Lists!M$21,$AM61)-MAX(Lists!M$22,$AL61))/($AM61-$AL61))))))))</f>
        <v>0</v>
      </c>
      <c r="X61" s="53" t="n">
        <f aca="false">IF($H61=0,0,IF($AP61="X",0,IF($AP61="S",$H61/$AO61*(MIN($AO61,MAX(0,INT((Lists!N$21-N($J61))/7)+1))-MIN($AO61,MAX(0,INT((Lists!N$22-N($J61))/7)+1))),IF($AP61="D",$H61*MAX(0,MIN(Lists!N$21,N($J61)+$AO61)-MAX(Lists!N$22,N($J61)))/$AO61,IF($AP61="M",$H61/$AO61*(IF(Lists!N$21&lt;$J61,0,MIN($AO61,(((YEAR(Lists!N$21)-YEAR($J61))*12+MONTH(Lists!N$21)-MONTH($J61))-(EDATE($J61,((YEAR(Lists!N$21)-YEAR($J61))*12+MONTH(Lists!N$21)-MONTH($J61)))&gt;Lists!N$21)+1)))-IF(Lists!N$22&lt;$J61,0,MIN($AO61,(((YEAR(Lists!N$22)-YEAR($J61))*12+MONTH(Lists!N$22)-MONTH($J61))-(EDATE($J61,((YEAR(Lists!N$22)-YEAR($J61))*12+MONTH(Lists!N$22)-MONTH($J61)))&gt;Lists!N$22)+1)))),IF($AP61="F",IF(N($K61)&lt;=0,0,MIN(MAX(0,$H61),N($K61)*IF(Lists!N$21&lt;$J61,0,(((YEAR(Lists!N$21)-YEAR($J61))*12+MONTH(Lists!N$21)-MONTH($J61))-(EDATE($J61,((YEAR(Lists!N$21)-YEAR($J61))*12+MONTH(Lists!N$21)-MONTH($J61)))&gt;Lists!N$21)+1)))-MIN(MAX(0,$H61),N($K61)*IF(Lists!N$22&lt;$J61,0,(((YEAR(Lists!N$22)-YEAR($J61))*12+MONTH(Lists!N$22)-MONTH($J61))-(EDATE($J61,((YEAR(Lists!N$22)-YEAR($J61))*12+MONTH(Lists!N$22)-MONTH($J61)))&gt;Lists!N$22)+1)))),N($C61)*IF($AE61-$AD61&lt;1,($AD61&gt;Lists!N$22)*($AD61&lt;=Lists!N$21),MAX(0,MIN(Lists!N$21,$AE61)-MAX(Lists!N$22,$AD61))/($AE61-$AD61))+N($D61)*IF($AG61-$AF61&lt;1,($AF61&gt;Lists!N$22)*($AF61&lt;=Lists!N$21),MAX(0,MIN(Lists!N$21,$AG61)-MAX(Lists!N$22,$AF61))/($AG61-$AF61))+N($E61)*IF($AI61-$AH61&lt;1,($AH61&gt;Lists!N$22)*($AH61&lt;=Lists!N$21),MAX(0,MIN(Lists!N$21,$AI61)-MAX(Lists!N$22,$AH61))/($AI61-$AH61))+N($F61)*IF($AK61-$AJ61&lt;1,($AJ61&gt;Lists!N$22)*($AJ61&lt;=Lists!N$21),MAX(0,MIN(Lists!N$21,$AK61)-MAX(Lists!N$22,$AJ61))/($AK61-$AJ61))+N($G61)*IF($AM61-$AL61&lt;1,($AL61&gt;Lists!N$22)*($AL61&lt;=Lists!N$21),MAX(0,MIN(Lists!N$21,$AM61)-MAX(Lists!N$22,$AL61))/($AM61-$AL61))))))))</f>
        <v>0</v>
      </c>
      <c r="Y61" s="53" t="n">
        <f aca="false">IF($H61=0,0,IF($AP61="X",0,IF($AP61="S",$H61/$AO61*(MIN($AO61,MAX(0,INT((Lists!O$21-N($J61))/7)+1))-MIN($AO61,MAX(0,INT((Lists!O$22-N($J61))/7)+1))),IF($AP61="D",$H61*MAX(0,MIN(Lists!O$21,N($J61)+$AO61)-MAX(Lists!O$22,N($J61)))/$AO61,IF($AP61="M",$H61/$AO61*(IF(Lists!O$21&lt;$J61,0,MIN($AO61,(((YEAR(Lists!O$21)-YEAR($J61))*12+MONTH(Lists!O$21)-MONTH($J61))-(EDATE($J61,((YEAR(Lists!O$21)-YEAR($J61))*12+MONTH(Lists!O$21)-MONTH($J61)))&gt;Lists!O$21)+1)))-IF(Lists!O$22&lt;$J61,0,MIN($AO61,(((YEAR(Lists!O$22)-YEAR($J61))*12+MONTH(Lists!O$22)-MONTH($J61))-(EDATE($J61,((YEAR(Lists!O$22)-YEAR($J61))*12+MONTH(Lists!O$22)-MONTH($J61)))&gt;Lists!O$22)+1)))),IF($AP61="F",IF(N($K61)&lt;=0,0,MIN(MAX(0,$H61),N($K61)*IF(Lists!O$21&lt;$J61,0,(((YEAR(Lists!O$21)-YEAR($J61))*12+MONTH(Lists!O$21)-MONTH($J61))-(EDATE($J61,((YEAR(Lists!O$21)-YEAR($J61))*12+MONTH(Lists!O$21)-MONTH($J61)))&gt;Lists!O$21)+1)))-MIN(MAX(0,$H61),N($K61)*IF(Lists!O$22&lt;$J61,0,(((YEAR(Lists!O$22)-YEAR($J61))*12+MONTH(Lists!O$22)-MONTH($J61))-(EDATE($J61,((YEAR(Lists!O$22)-YEAR($J61))*12+MONTH(Lists!O$22)-MONTH($J61)))&gt;Lists!O$22)+1)))),N($C61)*IF($AE61-$AD61&lt;1,($AD61&gt;Lists!O$22)*($AD61&lt;=Lists!O$21),MAX(0,MIN(Lists!O$21,$AE61)-MAX(Lists!O$22,$AD61))/($AE61-$AD61))+N($D61)*IF($AG61-$AF61&lt;1,($AF61&gt;Lists!O$22)*($AF61&lt;=Lists!O$21),MAX(0,MIN(Lists!O$21,$AG61)-MAX(Lists!O$22,$AF61))/($AG61-$AF61))+N($E61)*IF($AI61-$AH61&lt;1,($AH61&gt;Lists!O$22)*($AH61&lt;=Lists!O$21),MAX(0,MIN(Lists!O$21,$AI61)-MAX(Lists!O$22,$AH61))/($AI61-$AH61))+N($F61)*IF($AK61-$AJ61&lt;1,($AJ61&gt;Lists!O$22)*($AJ61&lt;=Lists!O$21),MAX(0,MIN(Lists!O$21,$AK61)-MAX(Lists!O$22,$AJ61))/($AK61-$AJ61))+N($G61)*IF($AM61-$AL61&lt;1,($AL61&gt;Lists!O$22)*($AL61&lt;=Lists!O$21),MAX(0,MIN(Lists!O$21,$AM61)-MAX(Lists!O$22,$AL61))/($AM61-$AL61))))))))</f>
        <v>0</v>
      </c>
      <c r="Z61" s="46" t="n">
        <f aca="false">SUM(M61:Y61)</f>
        <v>0</v>
      </c>
      <c r="AA61" s="92" t="n">
        <f aca="false">H61-Z61</f>
        <v>0</v>
      </c>
      <c r="AB61" s="55"/>
      <c r="AC61" s="2"/>
      <c r="AD61" s="93" t="n">
        <f aca="false">Setup!$D$10+MAX(0,$AN61-30)</f>
        <v>46365</v>
      </c>
      <c r="AE61" s="93" t="n">
        <f aca="false">Setup!$D$10+IF($AN61-30&lt;0,MAX(Setup!$D$22,$AN61-0),$AN61-0)</f>
        <v>46395</v>
      </c>
      <c r="AF61" s="93" t="n">
        <f aca="false">Setup!$D$10+MAX(0,$AN61-60)</f>
        <v>46335</v>
      </c>
      <c r="AG61" s="93" t="n">
        <f aca="false">Setup!$D$10+IF($AN61-60&lt;0,MAX(Setup!$D$22,$AN61-31),$AN61-31)</f>
        <v>46364</v>
      </c>
      <c r="AH61" s="93" t="n">
        <f aca="false">Setup!$D$10+MAX(0,$AN61-90)</f>
        <v>46335</v>
      </c>
      <c r="AI61" s="93" t="n">
        <f aca="false">Setup!$D$10+IF($AN61-90&lt;0,MAX(Setup!$D$22,$AN61-61),$AN61-61)</f>
        <v>46363</v>
      </c>
      <c r="AJ61" s="93" t="n">
        <f aca="false">Setup!$D$10+MAX(0,$AN61-120)</f>
        <v>46335</v>
      </c>
      <c r="AK61" s="93" t="n">
        <f aca="false">Setup!$D$10+IF($AN61-120&lt;0,MAX(Setup!$D$22,$AN61-91),$AN61-91)</f>
        <v>46363</v>
      </c>
      <c r="AL61" s="93" t="n">
        <f aca="false">IF(Setup!$D$23="Yes",2958465,Setup!$D$10)</f>
        <v>2958465</v>
      </c>
      <c r="AM61" s="93" t="n">
        <f aca="false">IF(AL61=2958465,AL61,Setup!$D$10+Setup!$D$22)</f>
        <v>2958465</v>
      </c>
      <c r="AN61" s="94" t="n">
        <f aca="false">IF(N(L61)=0,Setup!$D$20,L61)</f>
        <v>60</v>
      </c>
      <c r="AO61" s="94" t="n">
        <f aca="false">MAX(1,ROUND(N(K61),0))</f>
        <v>1</v>
      </c>
      <c r="AP61" s="95" t="str">
        <f aca="false">IF(I61="Doubtful","X",IF(N(J61)=0,"A",IF(I61="Specific date","S",IF(I61="Spread over days","D",IF(I61="Monthly on set day","M",IF(I61="Monthly fixed amount","F","A"))))))</f>
        <v>A</v>
      </c>
    </row>
    <row r="62" customFormat="false" ht="15" hidden="false" customHeight="false" outlineLevel="0" collapsed="false">
      <c r="A62" s="87" t="n">
        <v>54</v>
      </c>
      <c r="B62" s="55"/>
      <c r="C62" s="88"/>
      <c r="D62" s="88"/>
      <c r="E62" s="88"/>
      <c r="F62" s="88"/>
      <c r="G62" s="88"/>
      <c r="H62" s="89" t="n">
        <f aca="false">SUM(C62:G62)</f>
        <v>0</v>
      </c>
      <c r="I62" s="58"/>
      <c r="J62" s="90"/>
      <c r="K62" s="91"/>
      <c r="L62" s="80"/>
      <c r="M62" s="53" t="n">
        <f aca="false">IF($H62=0,0,IF($AP62="X",0,IF($AP62="S",$H62/$AO62*(MIN($AO62,MAX(0,INT((Lists!C$21-N($J62))/7)+1))-MIN($AO62,MAX(0,INT((Lists!C$22-N($J62))/7)+1))),IF($AP62="D",$H62*MAX(0,MIN(Lists!C$21,N($J62)+$AO62)-MAX(Lists!C$22,N($J62)))/$AO62,IF($AP62="M",$H62/$AO62*(IF(Lists!C$21&lt;$J62,0,MIN($AO62,(((YEAR(Lists!C$21)-YEAR($J62))*12+MONTH(Lists!C$21)-MONTH($J62))-(EDATE($J62,((YEAR(Lists!C$21)-YEAR($J62))*12+MONTH(Lists!C$21)-MONTH($J62)))&gt;Lists!C$21)+1)))-IF(Lists!C$22&lt;$J62,0,MIN($AO62,(((YEAR(Lists!C$22)-YEAR($J62))*12+MONTH(Lists!C$22)-MONTH($J62))-(EDATE($J62,((YEAR(Lists!C$22)-YEAR($J62))*12+MONTH(Lists!C$22)-MONTH($J62)))&gt;Lists!C$22)+1)))),IF($AP62="F",IF(N($K62)&lt;=0,0,MIN(MAX(0,$H62),N($K62)*IF(Lists!C$21&lt;$J62,0,(((YEAR(Lists!C$21)-YEAR($J62))*12+MONTH(Lists!C$21)-MONTH($J62))-(EDATE($J62,((YEAR(Lists!C$21)-YEAR($J62))*12+MONTH(Lists!C$21)-MONTH($J62)))&gt;Lists!C$21)+1)))-MIN(MAX(0,$H62),N($K62)*IF(Lists!C$22&lt;$J62,0,(((YEAR(Lists!C$22)-YEAR($J62))*12+MONTH(Lists!C$22)-MONTH($J62))-(EDATE($J62,((YEAR(Lists!C$22)-YEAR($J62))*12+MONTH(Lists!C$22)-MONTH($J62)))&gt;Lists!C$22)+1)))),N($C62)*IF($AE62-$AD62&lt;1,($AD62&gt;Lists!C$22)*($AD62&lt;=Lists!C$21),MAX(0,MIN(Lists!C$21,$AE62)-MAX(Lists!C$22,$AD62))/($AE62-$AD62))+N($D62)*IF($AG62-$AF62&lt;1,($AF62&gt;Lists!C$22)*($AF62&lt;=Lists!C$21),MAX(0,MIN(Lists!C$21,$AG62)-MAX(Lists!C$22,$AF62))/($AG62-$AF62))+N($E62)*IF($AI62-$AH62&lt;1,($AH62&gt;Lists!C$22)*($AH62&lt;=Lists!C$21),MAX(0,MIN(Lists!C$21,$AI62)-MAX(Lists!C$22,$AH62))/($AI62-$AH62))+N($F62)*IF($AK62-$AJ62&lt;1,($AJ62&gt;Lists!C$22)*($AJ62&lt;=Lists!C$21),MAX(0,MIN(Lists!C$21,$AK62)-MAX(Lists!C$22,$AJ62))/($AK62-$AJ62))+N($G62)*IF($AM62-$AL62&lt;1,($AL62&gt;Lists!C$22)*($AL62&lt;=Lists!C$21),MAX(0,MIN(Lists!C$21,$AM62)-MAX(Lists!C$22,$AL62))/($AM62-$AL62))))))))</f>
        <v>0</v>
      </c>
      <c r="N62" s="53" t="n">
        <f aca="false">IF($H62=0,0,IF($AP62="X",0,IF($AP62="S",$H62/$AO62*(MIN($AO62,MAX(0,INT((Lists!D$21-N($J62))/7)+1))-MIN($AO62,MAX(0,INT((Lists!D$22-N($J62))/7)+1))),IF($AP62="D",$H62*MAX(0,MIN(Lists!D$21,N($J62)+$AO62)-MAX(Lists!D$22,N($J62)))/$AO62,IF($AP62="M",$H62/$AO62*(IF(Lists!D$21&lt;$J62,0,MIN($AO62,(((YEAR(Lists!D$21)-YEAR($J62))*12+MONTH(Lists!D$21)-MONTH($J62))-(EDATE($J62,((YEAR(Lists!D$21)-YEAR($J62))*12+MONTH(Lists!D$21)-MONTH($J62)))&gt;Lists!D$21)+1)))-IF(Lists!D$22&lt;$J62,0,MIN($AO62,(((YEAR(Lists!D$22)-YEAR($J62))*12+MONTH(Lists!D$22)-MONTH($J62))-(EDATE($J62,((YEAR(Lists!D$22)-YEAR($J62))*12+MONTH(Lists!D$22)-MONTH($J62)))&gt;Lists!D$22)+1)))),IF($AP62="F",IF(N($K62)&lt;=0,0,MIN(MAX(0,$H62),N($K62)*IF(Lists!D$21&lt;$J62,0,(((YEAR(Lists!D$21)-YEAR($J62))*12+MONTH(Lists!D$21)-MONTH($J62))-(EDATE($J62,((YEAR(Lists!D$21)-YEAR($J62))*12+MONTH(Lists!D$21)-MONTH($J62)))&gt;Lists!D$21)+1)))-MIN(MAX(0,$H62),N($K62)*IF(Lists!D$22&lt;$J62,0,(((YEAR(Lists!D$22)-YEAR($J62))*12+MONTH(Lists!D$22)-MONTH($J62))-(EDATE($J62,((YEAR(Lists!D$22)-YEAR($J62))*12+MONTH(Lists!D$22)-MONTH($J62)))&gt;Lists!D$22)+1)))),N($C62)*IF($AE62-$AD62&lt;1,($AD62&gt;Lists!D$22)*($AD62&lt;=Lists!D$21),MAX(0,MIN(Lists!D$21,$AE62)-MAX(Lists!D$22,$AD62))/($AE62-$AD62))+N($D62)*IF($AG62-$AF62&lt;1,($AF62&gt;Lists!D$22)*($AF62&lt;=Lists!D$21),MAX(0,MIN(Lists!D$21,$AG62)-MAX(Lists!D$22,$AF62))/($AG62-$AF62))+N($E62)*IF($AI62-$AH62&lt;1,($AH62&gt;Lists!D$22)*($AH62&lt;=Lists!D$21),MAX(0,MIN(Lists!D$21,$AI62)-MAX(Lists!D$22,$AH62))/($AI62-$AH62))+N($F62)*IF($AK62-$AJ62&lt;1,($AJ62&gt;Lists!D$22)*($AJ62&lt;=Lists!D$21),MAX(0,MIN(Lists!D$21,$AK62)-MAX(Lists!D$22,$AJ62))/($AK62-$AJ62))+N($G62)*IF($AM62-$AL62&lt;1,($AL62&gt;Lists!D$22)*($AL62&lt;=Lists!D$21),MAX(0,MIN(Lists!D$21,$AM62)-MAX(Lists!D$22,$AL62))/($AM62-$AL62))))))))</f>
        <v>0</v>
      </c>
      <c r="O62" s="53" t="n">
        <f aca="false">IF($H62=0,0,IF($AP62="X",0,IF($AP62="S",$H62/$AO62*(MIN($AO62,MAX(0,INT((Lists!E$21-N($J62))/7)+1))-MIN($AO62,MAX(0,INT((Lists!E$22-N($J62))/7)+1))),IF($AP62="D",$H62*MAX(0,MIN(Lists!E$21,N($J62)+$AO62)-MAX(Lists!E$22,N($J62)))/$AO62,IF($AP62="M",$H62/$AO62*(IF(Lists!E$21&lt;$J62,0,MIN($AO62,(((YEAR(Lists!E$21)-YEAR($J62))*12+MONTH(Lists!E$21)-MONTH($J62))-(EDATE($J62,((YEAR(Lists!E$21)-YEAR($J62))*12+MONTH(Lists!E$21)-MONTH($J62)))&gt;Lists!E$21)+1)))-IF(Lists!E$22&lt;$J62,0,MIN($AO62,(((YEAR(Lists!E$22)-YEAR($J62))*12+MONTH(Lists!E$22)-MONTH($J62))-(EDATE($J62,((YEAR(Lists!E$22)-YEAR($J62))*12+MONTH(Lists!E$22)-MONTH($J62)))&gt;Lists!E$22)+1)))),IF($AP62="F",IF(N($K62)&lt;=0,0,MIN(MAX(0,$H62),N($K62)*IF(Lists!E$21&lt;$J62,0,(((YEAR(Lists!E$21)-YEAR($J62))*12+MONTH(Lists!E$21)-MONTH($J62))-(EDATE($J62,((YEAR(Lists!E$21)-YEAR($J62))*12+MONTH(Lists!E$21)-MONTH($J62)))&gt;Lists!E$21)+1)))-MIN(MAX(0,$H62),N($K62)*IF(Lists!E$22&lt;$J62,0,(((YEAR(Lists!E$22)-YEAR($J62))*12+MONTH(Lists!E$22)-MONTH($J62))-(EDATE($J62,((YEAR(Lists!E$22)-YEAR($J62))*12+MONTH(Lists!E$22)-MONTH($J62)))&gt;Lists!E$22)+1)))),N($C62)*IF($AE62-$AD62&lt;1,($AD62&gt;Lists!E$22)*($AD62&lt;=Lists!E$21),MAX(0,MIN(Lists!E$21,$AE62)-MAX(Lists!E$22,$AD62))/($AE62-$AD62))+N($D62)*IF($AG62-$AF62&lt;1,($AF62&gt;Lists!E$22)*($AF62&lt;=Lists!E$21),MAX(0,MIN(Lists!E$21,$AG62)-MAX(Lists!E$22,$AF62))/($AG62-$AF62))+N($E62)*IF($AI62-$AH62&lt;1,($AH62&gt;Lists!E$22)*($AH62&lt;=Lists!E$21),MAX(0,MIN(Lists!E$21,$AI62)-MAX(Lists!E$22,$AH62))/($AI62-$AH62))+N($F62)*IF($AK62-$AJ62&lt;1,($AJ62&gt;Lists!E$22)*($AJ62&lt;=Lists!E$21),MAX(0,MIN(Lists!E$21,$AK62)-MAX(Lists!E$22,$AJ62))/($AK62-$AJ62))+N($G62)*IF($AM62-$AL62&lt;1,($AL62&gt;Lists!E$22)*($AL62&lt;=Lists!E$21),MAX(0,MIN(Lists!E$21,$AM62)-MAX(Lists!E$22,$AL62))/($AM62-$AL62))))))))</f>
        <v>0</v>
      </c>
      <c r="P62" s="53" t="n">
        <f aca="false">IF($H62=0,0,IF($AP62="X",0,IF($AP62="S",$H62/$AO62*(MIN($AO62,MAX(0,INT((Lists!F$21-N($J62))/7)+1))-MIN($AO62,MAX(0,INT((Lists!F$22-N($J62))/7)+1))),IF($AP62="D",$H62*MAX(0,MIN(Lists!F$21,N($J62)+$AO62)-MAX(Lists!F$22,N($J62)))/$AO62,IF($AP62="M",$H62/$AO62*(IF(Lists!F$21&lt;$J62,0,MIN($AO62,(((YEAR(Lists!F$21)-YEAR($J62))*12+MONTH(Lists!F$21)-MONTH($J62))-(EDATE($J62,((YEAR(Lists!F$21)-YEAR($J62))*12+MONTH(Lists!F$21)-MONTH($J62)))&gt;Lists!F$21)+1)))-IF(Lists!F$22&lt;$J62,0,MIN($AO62,(((YEAR(Lists!F$22)-YEAR($J62))*12+MONTH(Lists!F$22)-MONTH($J62))-(EDATE($J62,((YEAR(Lists!F$22)-YEAR($J62))*12+MONTH(Lists!F$22)-MONTH($J62)))&gt;Lists!F$22)+1)))),IF($AP62="F",IF(N($K62)&lt;=0,0,MIN(MAX(0,$H62),N($K62)*IF(Lists!F$21&lt;$J62,0,(((YEAR(Lists!F$21)-YEAR($J62))*12+MONTH(Lists!F$21)-MONTH($J62))-(EDATE($J62,((YEAR(Lists!F$21)-YEAR($J62))*12+MONTH(Lists!F$21)-MONTH($J62)))&gt;Lists!F$21)+1)))-MIN(MAX(0,$H62),N($K62)*IF(Lists!F$22&lt;$J62,0,(((YEAR(Lists!F$22)-YEAR($J62))*12+MONTH(Lists!F$22)-MONTH($J62))-(EDATE($J62,((YEAR(Lists!F$22)-YEAR($J62))*12+MONTH(Lists!F$22)-MONTH($J62)))&gt;Lists!F$22)+1)))),N($C62)*IF($AE62-$AD62&lt;1,($AD62&gt;Lists!F$22)*($AD62&lt;=Lists!F$21),MAX(0,MIN(Lists!F$21,$AE62)-MAX(Lists!F$22,$AD62))/($AE62-$AD62))+N($D62)*IF($AG62-$AF62&lt;1,($AF62&gt;Lists!F$22)*($AF62&lt;=Lists!F$21),MAX(0,MIN(Lists!F$21,$AG62)-MAX(Lists!F$22,$AF62))/($AG62-$AF62))+N($E62)*IF($AI62-$AH62&lt;1,($AH62&gt;Lists!F$22)*($AH62&lt;=Lists!F$21),MAX(0,MIN(Lists!F$21,$AI62)-MAX(Lists!F$22,$AH62))/($AI62-$AH62))+N($F62)*IF($AK62-$AJ62&lt;1,($AJ62&gt;Lists!F$22)*($AJ62&lt;=Lists!F$21),MAX(0,MIN(Lists!F$21,$AK62)-MAX(Lists!F$22,$AJ62))/($AK62-$AJ62))+N($G62)*IF($AM62-$AL62&lt;1,($AL62&gt;Lists!F$22)*($AL62&lt;=Lists!F$21),MAX(0,MIN(Lists!F$21,$AM62)-MAX(Lists!F$22,$AL62))/($AM62-$AL62))))))))</f>
        <v>0</v>
      </c>
      <c r="Q62" s="53" t="n">
        <f aca="false">IF($H62=0,0,IF($AP62="X",0,IF($AP62="S",$H62/$AO62*(MIN($AO62,MAX(0,INT((Lists!G$21-N($J62))/7)+1))-MIN($AO62,MAX(0,INT((Lists!G$22-N($J62))/7)+1))),IF($AP62="D",$H62*MAX(0,MIN(Lists!G$21,N($J62)+$AO62)-MAX(Lists!G$22,N($J62)))/$AO62,IF($AP62="M",$H62/$AO62*(IF(Lists!G$21&lt;$J62,0,MIN($AO62,(((YEAR(Lists!G$21)-YEAR($J62))*12+MONTH(Lists!G$21)-MONTH($J62))-(EDATE($J62,((YEAR(Lists!G$21)-YEAR($J62))*12+MONTH(Lists!G$21)-MONTH($J62)))&gt;Lists!G$21)+1)))-IF(Lists!G$22&lt;$J62,0,MIN($AO62,(((YEAR(Lists!G$22)-YEAR($J62))*12+MONTH(Lists!G$22)-MONTH($J62))-(EDATE($J62,((YEAR(Lists!G$22)-YEAR($J62))*12+MONTH(Lists!G$22)-MONTH($J62)))&gt;Lists!G$22)+1)))),IF($AP62="F",IF(N($K62)&lt;=0,0,MIN(MAX(0,$H62),N($K62)*IF(Lists!G$21&lt;$J62,0,(((YEAR(Lists!G$21)-YEAR($J62))*12+MONTH(Lists!G$21)-MONTH($J62))-(EDATE($J62,((YEAR(Lists!G$21)-YEAR($J62))*12+MONTH(Lists!G$21)-MONTH($J62)))&gt;Lists!G$21)+1)))-MIN(MAX(0,$H62),N($K62)*IF(Lists!G$22&lt;$J62,0,(((YEAR(Lists!G$22)-YEAR($J62))*12+MONTH(Lists!G$22)-MONTH($J62))-(EDATE($J62,((YEAR(Lists!G$22)-YEAR($J62))*12+MONTH(Lists!G$22)-MONTH($J62)))&gt;Lists!G$22)+1)))),N($C62)*IF($AE62-$AD62&lt;1,($AD62&gt;Lists!G$22)*($AD62&lt;=Lists!G$21),MAX(0,MIN(Lists!G$21,$AE62)-MAX(Lists!G$22,$AD62))/($AE62-$AD62))+N($D62)*IF($AG62-$AF62&lt;1,($AF62&gt;Lists!G$22)*($AF62&lt;=Lists!G$21),MAX(0,MIN(Lists!G$21,$AG62)-MAX(Lists!G$22,$AF62))/($AG62-$AF62))+N($E62)*IF($AI62-$AH62&lt;1,($AH62&gt;Lists!G$22)*($AH62&lt;=Lists!G$21),MAX(0,MIN(Lists!G$21,$AI62)-MAX(Lists!G$22,$AH62))/($AI62-$AH62))+N($F62)*IF($AK62-$AJ62&lt;1,($AJ62&gt;Lists!G$22)*($AJ62&lt;=Lists!G$21),MAX(0,MIN(Lists!G$21,$AK62)-MAX(Lists!G$22,$AJ62))/($AK62-$AJ62))+N($G62)*IF($AM62-$AL62&lt;1,($AL62&gt;Lists!G$22)*($AL62&lt;=Lists!G$21),MAX(0,MIN(Lists!G$21,$AM62)-MAX(Lists!G$22,$AL62))/($AM62-$AL62))))))))</f>
        <v>0</v>
      </c>
      <c r="R62" s="53" t="n">
        <f aca="false">IF($H62=0,0,IF($AP62="X",0,IF($AP62="S",$H62/$AO62*(MIN($AO62,MAX(0,INT((Lists!H$21-N($J62))/7)+1))-MIN($AO62,MAX(0,INT((Lists!H$22-N($J62))/7)+1))),IF($AP62="D",$H62*MAX(0,MIN(Lists!H$21,N($J62)+$AO62)-MAX(Lists!H$22,N($J62)))/$AO62,IF($AP62="M",$H62/$AO62*(IF(Lists!H$21&lt;$J62,0,MIN($AO62,(((YEAR(Lists!H$21)-YEAR($J62))*12+MONTH(Lists!H$21)-MONTH($J62))-(EDATE($J62,((YEAR(Lists!H$21)-YEAR($J62))*12+MONTH(Lists!H$21)-MONTH($J62)))&gt;Lists!H$21)+1)))-IF(Lists!H$22&lt;$J62,0,MIN($AO62,(((YEAR(Lists!H$22)-YEAR($J62))*12+MONTH(Lists!H$22)-MONTH($J62))-(EDATE($J62,((YEAR(Lists!H$22)-YEAR($J62))*12+MONTH(Lists!H$22)-MONTH($J62)))&gt;Lists!H$22)+1)))),IF($AP62="F",IF(N($K62)&lt;=0,0,MIN(MAX(0,$H62),N($K62)*IF(Lists!H$21&lt;$J62,0,(((YEAR(Lists!H$21)-YEAR($J62))*12+MONTH(Lists!H$21)-MONTH($J62))-(EDATE($J62,((YEAR(Lists!H$21)-YEAR($J62))*12+MONTH(Lists!H$21)-MONTH($J62)))&gt;Lists!H$21)+1)))-MIN(MAX(0,$H62),N($K62)*IF(Lists!H$22&lt;$J62,0,(((YEAR(Lists!H$22)-YEAR($J62))*12+MONTH(Lists!H$22)-MONTH($J62))-(EDATE($J62,((YEAR(Lists!H$22)-YEAR($J62))*12+MONTH(Lists!H$22)-MONTH($J62)))&gt;Lists!H$22)+1)))),N($C62)*IF($AE62-$AD62&lt;1,($AD62&gt;Lists!H$22)*($AD62&lt;=Lists!H$21),MAX(0,MIN(Lists!H$21,$AE62)-MAX(Lists!H$22,$AD62))/($AE62-$AD62))+N($D62)*IF($AG62-$AF62&lt;1,($AF62&gt;Lists!H$22)*($AF62&lt;=Lists!H$21),MAX(0,MIN(Lists!H$21,$AG62)-MAX(Lists!H$22,$AF62))/($AG62-$AF62))+N($E62)*IF($AI62-$AH62&lt;1,($AH62&gt;Lists!H$22)*($AH62&lt;=Lists!H$21),MAX(0,MIN(Lists!H$21,$AI62)-MAX(Lists!H$22,$AH62))/($AI62-$AH62))+N($F62)*IF($AK62-$AJ62&lt;1,($AJ62&gt;Lists!H$22)*($AJ62&lt;=Lists!H$21),MAX(0,MIN(Lists!H$21,$AK62)-MAX(Lists!H$22,$AJ62))/($AK62-$AJ62))+N($G62)*IF($AM62-$AL62&lt;1,($AL62&gt;Lists!H$22)*($AL62&lt;=Lists!H$21),MAX(0,MIN(Lists!H$21,$AM62)-MAX(Lists!H$22,$AL62))/($AM62-$AL62))))))))</f>
        <v>0</v>
      </c>
      <c r="S62" s="53" t="n">
        <f aca="false">IF($H62=0,0,IF($AP62="X",0,IF($AP62="S",$H62/$AO62*(MIN($AO62,MAX(0,INT((Lists!I$21-N($J62))/7)+1))-MIN($AO62,MAX(0,INT((Lists!I$22-N($J62))/7)+1))),IF($AP62="D",$H62*MAX(0,MIN(Lists!I$21,N($J62)+$AO62)-MAX(Lists!I$22,N($J62)))/$AO62,IF($AP62="M",$H62/$AO62*(IF(Lists!I$21&lt;$J62,0,MIN($AO62,(((YEAR(Lists!I$21)-YEAR($J62))*12+MONTH(Lists!I$21)-MONTH($J62))-(EDATE($J62,((YEAR(Lists!I$21)-YEAR($J62))*12+MONTH(Lists!I$21)-MONTH($J62)))&gt;Lists!I$21)+1)))-IF(Lists!I$22&lt;$J62,0,MIN($AO62,(((YEAR(Lists!I$22)-YEAR($J62))*12+MONTH(Lists!I$22)-MONTH($J62))-(EDATE($J62,((YEAR(Lists!I$22)-YEAR($J62))*12+MONTH(Lists!I$22)-MONTH($J62)))&gt;Lists!I$22)+1)))),IF($AP62="F",IF(N($K62)&lt;=0,0,MIN(MAX(0,$H62),N($K62)*IF(Lists!I$21&lt;$J62,0,(((YEAR(Lists!I$21)-YEAR($J62))*12+MONTH(Lists!I$21)-MONTH($J62))-(EDATE($J62,((YEAR(Lists!I$21)-YEAR($J62))*12+MONTH(Lists!I$21)-MONTH($J62)))&gt;Lists!I$21)+1)))-MIN(MAX(0,$H62),N($K62)*IF(Lists!I$22&lt;$J62,0,(((YEAR(Lists!I$22)-YEAR($J62))*12+MONTH(Lists!I$22)-MONTH($J62))-(EDATE($J62,((YEAR(Lists!I$22)-YEAR($J62))*12+MONTH(Lists!I$22)-MONTH($J62)))&gt;Lists!I$22)+1)))),N($C62)*IF($AE62-$AD62&lt;1,($AD62&gt;Lists!I$22)*($AD62&lt;=Lists!I$21),MAX(0,MIN(Lists!I$21,$AE62)-MAX(Lists!I$22,$AD62))/($AE62-$AD62))+N($D62)*IF($AG62-$AF62&lt;1,($AF62&gt;Lists!I$22)*($AF62&lt;=Lists!I$21),MAX(0,MIN(Lists!I$21,$AG62)-MAX(Lists!I$22,$AF62))/($AG62-$AF62))+N($E62)*IF($AI62-$AH62&lt;1,($AH62&gt;Lists!I$22)*($AH62&lt;=Lists!I$21),MAX(0,MIN(Lists!I$21,$AI62)-MAX(Lists!I$22,$AH62))/($AI62-$AH62))+N($F62)*IF($AK62-$AJ62&lt;1,($AJ62&gt;Lists!I$22)*($AJ62&lt;=Lists!I$21),MAX(0,MIN(Lists!I$21,$AK62)-MAX(Lists!I$22,$AJ62))/($AK62-$AJ62))+N($G62)*IF($AM62-$AL62&lt;1,($AL62&gt;Lists!I$22)*($AL62&lt;=Lists!I$21),MAX(0,MIN(Lists!I$21,$AM62)-MAX(Lists!I$22,$AL62))/($AM62-$AL62))))))))</f>
        <v>0</v>
      </c>
      <c r="T62" s="53" t="n">
        <f aca="false">IF($H62=0,0,IF($AP62="X",0,IF($AP62="S",$H62/$AO62*(MIN($AO62,MAX(0,INT((Lists!J$21-N($J62))/7)+1))-MIN($AO62,MAX(0,INT((Lists!J$22-N($J62))/7)+1))),IF($AP62="D",$H62*MAX(0,MIN(Lists!J$21,N($J62)+$AO62)-MAX(Lists!J$22,N($J62)))/$AO62,IF($AP62="M",$H62/$AO62*(IF(Lists!J$21&lt;$J62,0,MIN($AO62,(((YEAR(Lists!J$21)-YEAR($J62))*12+MONTH(Lists!J$21)-MONTH($J62))-(EDATE($J62,((YEAR(Lists!J$21)-YEAR($J62))*12+MONTH(Lists!J$21)-MONTH($J62)))&gt;Lists!J$21)+1)))-IF(Lists!J$22&lt;$J62,0,MIN($AO62,(((YEAR(Lists!J$22)-YEAR($J62))*12+MONTH(Lists!J$22)-MONTH($J62))-(EDATE($J62,((YEAR(Lists!J$22)-YEAR($J62))*12+MONTH(Lists!J$22)-MONTH($J62)))&gt;Lists!J$22)+1)))),IF($AP62="F",IF(N($K62)&lt;=0,0,MIN(MAX(0,$H62),N($K62)*IF(Lists!J$21&lt;$J62,0,(((YEAR(Lists!J$21)-YEAR($J62))*12+MONTH(Lists!J$21)-MONTH($J62))-(EDATE($J62,((YEAR(Lists!J$21)-YEAR($J62))*12+MONTH(Lists!J$21)-MONTH($J62)))&gt;Lists!J$21)+1)))-MIN(MAX(0,$H62),N($K62)*IF(Lists!J$22&lt;$J62,0,(((YEAR(Lists!J$22)-YEAR($J62))*12+MONTH(Lists!J$22)-MONTH($J62))-(EDATE($J62,((YEAR(Lists!J$22)-YEAR($J62))*12+MONTH(Lists!J$22)-MONTH($J62)))&gt;Lists!J$22)+1)))),N($C62)*IF($AE62-$AD62&lt;1,($AD62&gt;Lists!J$22)*($AD62&lt;=Lists!J$21),MAX(0,MIN(Lists!J$21,$AE62)-MAX(Lists!J$22,$AD62))/($AE62-$AD62))+N($D62)*IF($AG62-$AF62&lt;1,($AF62&gt;Lists!J$22)*($AF62&lt;=Lists!J$21),MAX(0,MIN(Lists!J$21,$AG62)-MAX(Lists!J$22,$AF62))/($AG62-$AF62))+N($E62)*IF($AI62-$AH62&lt;1,($AH62&gt;Lists!J$22)*($AH62&lt;=Lists!J$21),MAX(0,MIN(Lists!J$21,$AI62)-MAX(Lists!J$22,$AH62))/($AI62-$AH62))+N($F62)*IF($AK62-$AJ62&lt;1,($AJ62&gt;Lists!J$22)*($AJ62&lt;=Lists!J$21),MAX(0,MIN(Lists!J$21,$AK62)-MAX(Lists!J$22,$AJ62))/($AK62-$AJ62))+N($G62)*IF($AM62-$AL62&lt;1,($AL62&gt;Lists!J$22)*($AL62&lt;=Lists!J$21),MAX(0,MIN(Lists!J$21,$AM62)-MAX(Lists!J$22,$AL62))/($AM62-$AL62))))))))</f>
        <v>0</v>
      </c>
      <c r="U62" s="53" t="n">
        <f aca="false">IF($H62=0,0,IF($AP62="X",0,IF($AP62="S",$H62/$AO62*(MIN($AO62,MAX(0,INT((Lists!K$21-N($J62))/7)+1))-MIN($AO62,MAX(0,INT((Lists!K$22-N($J62))/7)+1))),IF($AP62="D",$H62*MAX(0,MIN(Lists!K$21,N($J62)+$AO62)-MAX(Lists!K$22,N($J62)))/$AO62,IF($AP62="M",$H62/$AO62*(IF(Lists!K$21&lt;$J62,0,MIN($AO62,(((YEAR(Lists!K$21)-YEAR($J62))*12+MONTH(Lists!K$21)-MONTH($J62))-(EDATE($J62,((YEAR(Lists!K$21)-YEAR($J62))*12+MONTH(Lists!K$21)-MONTH($J62)))&gt;Lists!K$21)+1)))-IF(Lists!K$22&lt;$J62,0,MIN($AO62,(((YEAR(Lists!K$22)-YEAR($J62))*12+MONTH(Lists!K$22)-MONTH($J62))-(EDATE($J62,((YEAR(Lists!K$22)-YEAR($J62))*12+MONTH(Lists!K$22)-MONTH($J62)))&gt;Lists!K$22)+1)))),IF($AP62="F",IF(N($K62)&lt;=0,0,MIN(MAX(0,$H62),N($K62)*IF(Lists!K$21&lt;$J62,0,(((YEAR(Lists!K$21)-YEAR($J62))*12+MONTH(Lists!K$21)-MONTH($J62))-(EDATE($J62,((YEAR(Lists!K$21)-YEAR($J62))*12+MONTH(Lists!K$21)-MONTH($J62)))&gt;Lists!K$21)+1)))-MIN(MAX(0,$H62),N($K62)*IF(Lists!K$22&lt;$J62,0,(((YEAR(Lists!K$22)-YEAR($J62))*12+MONTH(Lists!K$22)-MONTH($J62))-(EDATE($J62,((YEAR(Lists!K$22)-YEAR($J62))*12+MONTH(Lists!K$22)-MONTH($J62)))&gt;Lists!K$22)+1)))),N($C62)*IF($AE62-$AD62&lt;1,($AD62&gt;Lists!K$22)*($AD62&lt;=Lists!K$21),MAX(0,MIN(Lists!K$21,$AE62)-MAX(Lists!K$22,$AD62))/($AE62-$AD62))+N($D62)*IF($AG62-$AF62&lt;1,($AF62&gt;Lists!K$22)*($AF62&lt;=Lists!K$21),MAX(0,MIN(Lists!K$21,$AG62)-MAX(Lists!K$22,$AF62))/($AG62-$AF62))+N($E62)*IF($AI62-$AH62&lt;1,($AH62&gt;Lists!K$22)*($AH62&lt;=Lists!K$21),MAX(0,MIN(Lists!K$21,$AI62)-MAX(Lists!K$22,$AH62))/($AI62-$AH62))+N($F62)*IF($AK62-$AJ62&lt;1,($AJ62&gt;Lists!K$22)*($AJ62&lt;=Lists!K$21),MAX(0,MIN(Lists!K$21,$AK62)-MAX(Lists!K$22,$AJ62))/($AK62-$AJ62))+N($G62)*IF($AM62-$AL62&lt;1,($AL62&gt;Lists!K$22)*($AL62&lt;=Lists!K$21),MAX(0,MIN(Lists!K$21,$AM62)-MAX(Lists!K$22,$AL62))/($AM62-$AL62))))))))</f>
        <v>0</v>
      </c>
      <c r="V62" s="53" t="n">
        <f aca="false">IF($H62=0,0,IF($AP62="X",0,IF($AP62="S",$H62/$AO62*(MIN($AO62,MAX(0,INT((Lists!L$21-N($J62))/7)+1))-MIN($AO62,MAX(0,INT((Lists!L$22-N($J62))/7)+1))),IF($AP62="D",$H62*MAX(0,MIN(Lists!L$21,N($J62)+$AO62)-MAX(Lists!L$22,N($J62)))/$AO62,IF($AP62="M",$H62/$AO62*(IF(Lists!L$21&lt;$J62,0,MIN($AO62,(((YEAR(Lists!L$21)-YEAR($J62))*12+MONTH(Lists!L$21)-MONTH($J62))-(EDATE($J62,((YEAR(Lists!L$21)-YEAR($J62))*12+MONTH(Lists!L$21)-MONTH($J62)))&gt;Lists!L$21)+1)))-IF(Lists!L$22&lt;$J62,0,MIN($AO62,(((YEAR(Lists!L$22)-YEAR($J62))*12+MONTH(Lists!L$22)-MONTH($J62))-(EDATE($J62,((YEAR(Lists!L$22)-YEAR($J62))*12+MONTH(Lists!L$22)-MONTH($J62)))&gt;Lists!L$22)+1)))),IF($AP62="F",IF(N($K62)&lt;=0,0,MIN(MAX(0,$H62),N($K62)*IF(Lists!L$21&lt;$J62,0,(((YEAR(Lists!L$21)-YEAR($J62))*12+MONTH(Lists!L$21)-MONTH($J62))-(EDATE($J62,((YEAR(Lists!L$21)-YEAR($J62))*12+MONTH(Lists!L$21)-MONTH($J62)))&gt;Lists!L$21)+1)))-MIN(MAX(0,$H62),N($K62)*IF(Lists!L$22&lt;$J62,0,(((YEAR(Lists!L$22)-YEAR($J62))*12+MONTH(Lists!L$22)-MONTH($J62))-(EDATE($J62,((YEAR(Lists!L$22)-YEAR($J62))*12+MONTH(Lists!L$22)-MONTH($J62)))&gt;Lists!L$22)+1)))),N($C62)*IF($AE62-$AD62&lt;1,($AD62&gt;Lists!L$22)*($AD62&lt;=Lists!L$21),MAX(0,MIN(Lists!L$21,$AE62)-MAX(Lists!L$22,$AD62))/($AE62-$AD62))+N($D62)*IF($AG62-$AF62&lt;1,($AF62&gt;Lists!L$22)*($AF62&lt;=Lists!L$21),MAX(0,MIN(Lists!L$21,$AG62)-MAX(Lists!L$22,$AF62))/($AG62-$AF62))+N($E62)*IF($AI62-$AH62&lt;1,($AH62&gt;Lists!L$22)*($AH62&lt;=Lists!L$21),MAX(0,MIN(Lists!L$21,$AI62)-MAX(Lists!L$22,$AH62))/($AI62-$AH62))+N($F62)*IF($AK62-$AJ62&lt;1,($AJ62&gt;Lists!L$22)*($AJ62&lt;=Lists!L$21),MAX(0,MIN(Lists!L$21,$AK62)-MAX(Lists!L$22,$AJ62))/($AK62-$AJ62))+N($G62)*IF($AM62-$AL62&lt;1,($AL62&gt;Lists!L$22)*($AL62&lt;=Lists!L$21),MAX(0,MIN(Lists!L$21,$AM62)-MAX(Lists!L$22,$AL62))/($AM62-$AL62))))))))</f>
        <v>0</v>
      </c>
      <c r="W62" s="53" t="n">
        <f aca="false">IF($H62=0,0,IF($AP62="X",0,IF($AP62="S",$H62/$AO62*(MIN($AO62,MAX(0,INT((Lists!M$21-N($J62))/7)+1))-MIN($AO62,MAX(0,INT((Lists!M$22-N($J62))/7)+1))),IF($AP62="D",$H62*MAX(0,MIN(Lists!M$21,N($J62)+$AO62)-MAX(Lists!M$22,N($J62)))/$AO62,IF($AP62="M",$H62/$AO62*(IF(Lists!M$21&lt;$J62,0,MIN($AO62,(((YEAR(Lists!M$21)-YEAR($J62))*12+MONTH(Lists!M$21)-MONTH($J62))-(EDATE($J62,((YEAR(Lists!M$21)-YEAR($J62))*12+MONTH(Lists!M$21)-MONTH($J62)))&gt;Lists!M$21)+1)))-IF(Lists!M$22&lt;$J62,0,MIN($AO62,(((YEAR(Lists!M$22)-YEAR($J62))*12+MONTH(Lists!M$22)-MONTH($J62))-(EDATE($J62,((YEAR(Lists!M$22)-YEAR($J62))*12+MONTH(Lists!M$22)-MONTH($J62)))&gt;Lists!M$22)+1)))),IF($AP62="F",IF(N($K62)&lt;=0,0,MIN(MAX(0,$H62),N($K62)*IF(Lists!M$21&lt;$J62,0,(((YEAR(Lists!M$21)-YEAR($J62))*12+MONTH(Lists!M$21)-MONTH($J62))-(EDATE($J62,((YEAR(Lists!M$21)-YEAR($J62))*12+MONTH(Lists!M$21)-MONTH($J62)))&gt;Lists!M$21)+1)))-MIN(MAX(0,$H62),N($K62)*IF(Lists!M$22&lt;$J62,0,(((YEAR(Lists!M$22)-YEAR($J62))*12+MONTH(Lists!M$22)-MONTH($J62))-(EDATE($J62,((YEAR(Lists!M$22)-YEAR($J62))*12+MONTH(Lists!M$22)-MONTH($J62)))&gt;Lists!M$22)+1)))),N($C62)*IF($AE62-$AD62&lt;1,($AD62&gt;Lists!M$22)*($AD62&lt;=Lists!M$21),MAX(0,MIN(Lists!M$21,$AE62)-MAX(Lists!M$22,$AD62))/($AE62-$AD62))+N($D62)*IF($AG62-$AF62&lt;1,($AF62&gt;Lists!M$22)*($AF62&lt;=Lists!M$21),MAX(0,MIN(Lists!M$21,$AG62)-MAX(Lists!M$22,$AF62))/($AG62-$AF62))+N($E62)*IF($AI62-$AH62&lt;1,($AH62&gt;Lists!M$22)*($AH62&lt;=Lists!M$21),MAX(0,MIN(Lists!M$21,$AI62)-MAX(Lists!M$22,$AH62))/($AI62-$AH62))+N($F62)*IF($AK62-$AJ62&lt;1,($AJ62&gt;Lists!M$22)*($AJ62&lt;=Lists!M$21),MAX(0,MIN(Lists!M$21,$AK62)-MAX(Lists!M$22,$AJ62))/($AK62-$AJ62))+N($G62)*IF($AM62-$AL62&lt;1,($AL62&gt;Lists!M$22)*($AL62&lt;=Lists!M$21),MAX(0,MIN(Lists!M$21,$AM62)-MAX(Lists!M$22,$AL62))/($AM62-$AL62))))))))</f>
        <v>0</v>
      </c>
      <c r="X62" s="53" t="n">
        <f aca="false">IF($H62=0,0,IF($AP62="X",0,IF($AP62="S",$H62/$AO62*(MIN($AO62,MAX(0,INT((Lists!N$21-N($J62))/7)+1))-MIN($AO62,MAX(0,INT((Lists!N$22-N($J62))/7)+1))),IF($AP62="D",$H62*MAX(0,MIN(Lists!N$21,N($J62)+$AO62)-MAX(Lists!N$22,N($J62)))/$AO62,IF($AP62="M",$H62/$AO62*(IF(Lists!N$21&lt;$J62,0,MIN($AO62,(((YEAR(Lists!N$21)-YEAR($J62))*12+MONTH(Lists!N$21)-MONTH($J62))-(EDATE($J62,((YEAR(Lists!N$21)-YEAR($J62))*12+MONTH(Lists!N$21)-MONTH($J62)))&gt;Lists!N$21)+1)))-IF(Lists!N$22&lt;$J62,0,MIN($AO62,(((YEAR(Lists!N$22)-YEAR($J62))*12+MONTH(Lists!N$22)-MONTH($J62))-(EDATE($J62,((YEAR(Lists!N$22)-YEAR($J62))*12+MONTH(Lists!N$22)-MONTH($J62)))&gt;Lists!N$22)+1)))),IF($AP62="F",IF(N($K62)&lt;=0,0,MIN(MAX(0,$H62),N($K62)*IF(Lists!N$21&lt;$J62,0,(((YEAR(Lists!N$21)-YEAR($J62))*12+MONTH(Lists!N$21)-MONTH($J62))-(EDATE($J62,((YEAR(Lists!N$21)-YEAR($J62))*12+MONTH(Lists!N$21)-MONTH($J62)))&gt;Lists!N$21)+1)))-MIN(MAX(0,$H62),N($K62)*IF(Lists!N$22&lt;$J62,0,(((YEAR(Lists!N$22)-YEAR($J62))*12+MONTH(Lists!N$22)-MONTH($J62))-(EDATE($J62,((YEAR(Lists!N$22)-YEAR($J62))*12+MONTH(Lists!N$22)-MONTH($J62)))&gt;Lists!N$22)+1)))),N($C62)*IF($AE62-$AD62&lt;1,($AD62&gt;Lists!N$22)*($AD62&lt;=Lists!N$21),MAX(0,MIN(Lists!N$21,$AE62)-MAX(Lists!N$22,$AD62))/($AE62-$AD62))+N($D62)*IF($AG62-$AF62&lt;1,($AF62&gt;Lists!N$22)*($AF62&lt;=Lists!N$21),MAX(0,MIN(Lists!N$21,$AG62)-MAX(Lists!N$22,$AF62))/($AG62-$AF62))+N($E62)*IF($AI62-$AH62&lt;1,($AH62&gt;Lists!N$22)*($AH62&lt;=Lists!N$21),MAX(0,MIN(Lists!N$21,$AI62)-MAX(Lists!N$22,$AH62))/($AI62-$AH62))+N($F62)*IF($AK62-$AJ62&lt;1,($AJ62&gt;Lists!N$22)*($AJ62&lt;=Lists!N$21),MAX(0,MIN(Lists!N$21,$AK62)-MAX(Lists!N$22,$AJ62))/($AK62-$AJ62))+N($G62)*IF($AM62-$AL62&lt;1,($AL62&gt;Lists!N$22)*($AL62&lt;=Lists!N$21),MAX(0,MIN(Lists!N$21,$AM62)-MAX(Lists!N$22,$AL62))/($AM62-$AL62))))))))</f>
        <v>0</v>
      </c>
      <c r="Y62" s="53" t="n">
        <f aca="false">IF($H62=0,0,IF($AP62="X",0,IF($AP62="S",$H62/$AO62*(MIN($AO62,MAX(0,INT((Lists!O$21-N($J62))/7)+1))-MIN($AO62,MAX(0,INT((Lists!O$22-N($J62))/7)+1))),IF($AP62="D",$H62*MAX(0,MIN(Lists!O$21,N($J62)+$AO62)-MAX(Lists!O$22,N($J62)))/$AO62,IF($AP62="M",$H62/$AO62*(IF(Lists!O$21&lt;$J62,0,MIN($AO62,(((YEAR(Lists!O$21)-YEAR($J62))*12+MONTH(Lists!O$21)-MONTH($J62))-(EDATE($J62,((YEAR(Lists!O$21)-YEAR($J62))*12+MONTH(Lists!O$21)-MONTH($J62)))&gt;Lists!O$21)+1)))-IF(Lists!O$22&lt;$J62,0,MIN($AO62,(((YEAR(Lists!O$22)-YEAR($J62))*12+MONTH(Lists!O$22)-MONTH($J62))-(EDATE($J62,((YEAR(Lists!O$22)-YEAR($J62))*12+MONTH(Lists!O$22)-MONTH($J62)))&gt;Lists!O$22)+1)))),IF($AP62="F",IF(N($K62)&lt;=0,0,MIN(MAX(0,$H62),N($K62)*IF(Lists!O$21&lt;$J62,0,(((YEAR(Lists!O$21)-YEAR($J62))*12+MONTH(Lists!O$21)-MONTH($J62))-(EDATE($J62,((YEAR(Lists!O$21)-YEAR($J62))*12+MONTH(Lists!O$21)-MONTH($J62)))&gt;Lists!O$21)+1)))-MIN(MAX(0,$H62),N($K62)*IF(Lists!O$22&lt;$J62,0,(((YEAR(Lists!O$22)-YEAR($J62))*12+MONTH(Lists!O$22)-MONTH($J62))-(EDATE($J62,((YEAR(Lists!O$22)-YEAR($J62))*12+MONTH(Lists!O$22)-MONTH($J62)))&gt;Lists!O$22)+1)))),N($C62)*IF($AE62-$AD62&lt;1,($AD62&gt;Lists!O$22)*($AD62&lt;=Lists!O$21),MAX(0,MIN(Lists!O$21,$AE62)-MAX(Lists!O$22,$AD62))/($AE62-$AD62))+N($D62)*IF($AG62-$AF62&lt;1,($AF62&gt;Lists!O$22)*($AF62&lt;=Lists!O$21),MAX(0,MIN(Lists!O$21,$AG62)-MAX(Lists!O$22,$AF62))/($AG62-$AF62))+N($E62)*IF($AI62-$AH62&lt;1,($AH62&gt;Lists!O$22)*($AH62&lt;=Lists!O$21),MAX(0,MIN(Lists!O$21,$AI62)-MAX(Lists!O$22,$AH62))/($AI62-$AH62))+N($F62)*IF($AK62-$AJ62&lt;1,($AJ62&gt;Lists!O$22)*($AJ62&lt;=Lists!O$21),MAX(0,MIN(Lists!O$21,$AK62)-MAX(Lists!O$22,$AJ62))/($AK62-$AJ62))+N($G62)*IF($AM62-$AL62&lt;1,($AL62&gt;Lists!O$22)*($AL62&lt;=Lists!O$21),MAX(0,MIN(Lists!O$21,$AM62)-MAX(Lists!O$22,$AL62))/($AM62-$AL62))))))))</f>
        <v>0</v>
      </c>
      <c r="Z62" s="46" t="n">
        <f aca="false">SUM(M62:Y62)</f>
        <v>0</v>
      </c>
      <c r="AA62" s="92" t="n">
        <f aca="false">H62-Z62</f>
        <v>0</v>
      </c>
      <c r="AB62" s="55"/>
      <c r="AC62" s="2"/>
      <c r="AD62" s="93" t="n">
        <f aca="false">Setup!$D$10+MAX(0,$AN62-30)</f>
        <v>46365</v>
      </c>
      <c r="AE62" s="93" t="n">
        <f aca="false">Setup!$D$10+IF($AN62-30&lt;0,MAX(Setup!$D$22,$AN62-0),$AN62-0)</f>
        <v>46395</v>
      </c>
      <c r="AF62" s="93" t="n">
        <f aca="false">Setup!$D$10+MAX(0,$AN62-60)</f>
        <v>46335</v>
      </c>
      <c r="AG62" s="93" t="n">
        <f aca="false">Setup!$D$10+IF($AN62-60&lt;0,MAX(Setup!$D$22,$AN62-31),$AN62-31)</f>
        <v>46364</v>
      </c>
      <c r="AH62" s="93" t="n">
        <f aca="false">Setup!$D$10+MAX(0,$AN62-90)</f>
        <v>46335</v>
      </c>
      <c r="AI62" s="93" t="n">
        <f aca="false">Setup!$D$10+IF($AN62-90&lt;0,MAX(Setup!$D$22,$AN62-61),$AN62-61)</f>
        <v>46363</v>
      </c>
      <c r="AJ62" s="93" t="n">
        <f aca="false">Setup!$D$10+MAX(0,$AN62-120)</f>
        <v>46335</v>
      </c>
      <c r="AK62" s="93" t="n">
        <f aca="false">Setup!$D$10+IF($AN62-120&lt;0,MAX(Setup!$D$22,$AN62-91),$AN62-91)</f>
        <v>46363</v>
      </c>
      <c r="AL62" s="93" t="n">
        <f aca="false">IF(Setup!$D$23="Yes",2958465,Setup!$D$10)</f>
        <v>2958465</v>
      </c>
      <c r="AM62" s="93" t="n">
        <f aca="false">IF(AL62=2958465,AL62,Setup!$D$10+Setup!$D$22)</f>
        <v>2958465</v>
      </c>
      <c r="AN62" s="94" t="n">
        <f aca="false">IF(N(L62)=0,Setup!$D$20,L62)</f>
        <v>60</v>
      </c>
      <c r="AO62" s="94" t="n">
        <f aca="false">MAX(1,ROUND(N(K62),0))</f>
        <v>1</v>
      </c>
      <c r="AP62" s="95" t="str">
        <f aca="false">IF(I62="Doubtful","X",IF(N(J62)=0,"A",IF(I62="Specific date","S",IF(I62="Spread over days","D",IF(I62="Monthly on set day","M",IF(I62="Monthly fixed amount","F","A"))))))</f>
        <v>A</v>
      </c>
    </row>
    <row r="63" customFormat="false" ht="15" hidden="false" customHeight="false" outlineLevel="0" collapsed="false">
      <c r="A63" s="87" t="n">
        <v>55</v>
      </c>
      <c r="B63" s="55"/>
      <c r="C63" s="88"/>
      <c r="D63" s="88"/>
      <c r="E63" s="88"/>
      <c r="F63" s="88"/>
      <c r="G63" s="88"/>
      <c r="H63" s="89" t="n">
        <f aca="false">SUM(C63:G63)</f>
        <v>0</v>
      </c>
      <c r="I63" s="58"/>
      <c r="J63" s="90"/>
      <c r="K63" s="91"/>
      <c r="L63" s="80"/>
      <c r="M63" s="53" t="n">
        <f aca="false">IF($H63=0,0,IF($AP63="X",0,IF($AP63="S",$H63/$AO63*(MIN($AO63,MAX(0,INT((Lists!C$21-N($J63))/7)+1))-MIN($AO63,MAX(0,INT((Lists!C$22-N($J63))/7)+1))),IF($AP63="D",$H63*MAX(0,MIN(Lists!C$21,N($J63)+$AO63)-MAX(Lists!C$22,N($J63)))/$AO63,IF($AP63="M",$H63/$AO63*(IF(Lists!C$21&lt;$J63,0,MIN($AO63,(((YEAR(Lists!C$21)-YEAR($J63))*12+MONTH(Lists!C$21)-MONTH($J63))-(EDATE($J63,((YEAR(Lists!C$21)-YEAR($J63))*12+MONTH(Lists!C$21)-MONTH($J63)))&gt;Lists!C$21)+1)))-IF(Lists!C$22&lt;$J63,0,MIN($AO63,(((YEAR(Lists!C$22)-YEAR($J63))*12+MONTH(Lists!C$22)-MONTH($J63))-(EDATE($J63,((YEAR(Lists!C$22)-YEAR($J63))*12+MONTH(Lists!C$22)-MONTH($J63)))&gt;Lists!C$22)+1)))),IF($AP63="F",IF(N($K63)&lt;=0,0,MIN(MAX(0,$H63),N($K63)*IF(Lists!C$21&lt;$J63,0,(((YEAR(Lists!C$21)-YEAR($J63))*12+MONTH(Lists!C$21)-MONTH($J63))-(EDATE($J63,((YEAR(Lists!C$21)-YEAR($J63))*12+MONTH(Lists!C$21)-MONTH($J63)))&gt;Lists!C$21)+1)))-MIN(MAX(0,$H63),N($K63)*IF(Lists!C$22&lt;$J63,0,(((YEAR(Lists!C$22)-YEAR($J63))*12+MONTH(Lists!C$22)-MONTH($J63))-(EDATE($J63,((YEAR(Lists!C$22)-YEAR($J63))*12+MONTH(Lists!C$22)-MONTH($J63)))&gt;Lists!C$22)+1)))),N($C63)*IF($AE63-$AD63&lt;1,($AD63&gt;Lists!C$22)*($AD63&lt;=Lists!C$21),MAX(0,MIN(Lists!C$21,$AE63)-MAX(Lists!C$22,$AD63))/($AE63-$AD63))+N($D63)*IF($AG63-$AF63&lt;1,($AF63&gt;Lists!C$22)*($AF63&lt;=Lists!C$21),MAX(0,MIN(Lists!C$21,$AG63)-MAX(Lists!C$22,$AF63))/($AG63-$AF63))+N($E63)*IF($AI63-$AH63&lt;1,($AH63&gt;Lists!C$22)*($AH63&lt;=Lists!C$21),MAX(0,MIN(Lists!C$21,$AI63)-MAX(Lists!C$22,$AH63))/($AI63-$AH63))+N($F63)*IF($AK63-$AJ63&lt;1,($AJ63&gt;Lists!C$22)*($AJ63&lt;=Lists!C$21),MAX(0,MIN(Lists!C$21,$AK63)-MAX(Lists!C$22,$AJ63))/($AK63-$AJ63))+N($G63)*IF($AM63-$AL63&lt;1,($AL63&gt;Lists!C$22)*($AL63&lt;=Lists!C$21),MAX(0,MIN(Lists!C$21,$AM63)-MAX(Lists!C$22,$AL63))/($AM63-$AL63))))))))</f>
        <v>0</v>
      </c>
      <c r="N63" s="53" t="n">
        <f aca="false">IF($H63=0,0,IF($AP63="X",0,IF($AP63="S",$H63/$AO63*(MIN($AO63,MAX(0,INT((Lists!D$21-N($J63))/7)+1))-MIN($AO63,MAX(0,INT((Lists!D$22-N($J63))/7)+1))),IF($AP63="D",$H63*MAX(0,MIN(Lists!D$21,N($J63)+$AO63)-MAX(Lists!D$22,N($J63)))/$AO63,IF($AP63="M",$H63/$AO63*(IF(Lists!D$21&lt;$J63,0,MIN($AO63,(((YEAR(Lists!D$21)-YEAR($J63))*12+MONTH(Lists!D$21)-MONTH($J63))-(EDATE($J63,((YEAR(Lists!D$21)-YEAR($J63))*12+MONTH(Lists!D$21)-MONTH($J63)))&gt;Lists!D$21)+1)))-IF(Lists!D$22&lt;$J63,0,MIN($AO63,(((YEAR(Lists!D$22)-YEAR($J63))*12+MONTH(Lists!D$22)-MONTH($J63))-(EDATE($J63,((YEAR(Lists!D$22)-YEAR($J63))*12+MONTH(Lists!D$22)-MONTH($J63)))&gt;Lists!D$22)+1)))),IF($AP63="F",IF(N($K63)&lt;=0,0,MIN(MAX(0,$H63),N($K63)*IF(Lists!D$21&lt;$J63,0,(((YEAR(Lists!D$21)-YEAR($J63))*12+MONTH(Lists!D$21)-MONTH($J63))-(EDATE($J63,((YEAR(Lists!D$21)-YEAR($J63))*12+MONTH(Lists!D$21)-MONTH($J63)))&gt;Lists!D$21)+1)))-MIN(MAX(0,$H63),N($K63)*IF(Lists!D$22&lt;$J63,0,(((YEAR(Lists!D$22)-YEAR($J63))*12+MONTH(Lists!D$22)-MONTH($J63))-(EDATE($J63,((YEAR(Lists!D$22)-YEAR($J63))*12+MONTH(Lists!D$22)-MONTH($J63)))&gt;Lists!D$22)+1)))),N($C63)*IF($AE63-$AD63&lt;1,($AD63&gt;Lists!D$22)*($AD63&lt;=Lists!D$21),MAX(0,MIN(Lists!D$21,$AE63)-MAX(Lists!D$22,$AD63))/($AE63-$AD63))+N($D63)*IF($AG63-$AF63&lt;1,($AF63&gt;Lists!D$22)*($AF63&lt;=Lists!D$21),MAX(0,MIN(Lists!D$21,$AG63)-MAX(Lists!D$22,$AF63))/($AG63-$AF63))+N($E63)*IF($AI63-$AH63&lt;1,($AH63&gt;Lists!D$22)*($AH63&lt;=Lists!D$21),MAX(0,MIN(Lists!D$21,$AI63)-MAX(Lists!D$22,$AH63))/($AI63-$AH63))+N($F63)*IF($AK63-$AJ63&lt;1,($AJ63&gt;Lists!D$22)*($AJ63&lt;=Lists!D$21),MAX(0,MIN(Lists!D$21,$AK63)-MAX(Lists!D$22,$AJ63))/($AK63-$AJ63))+N($G63)*IF($AM63-$AL63&lt;1,($AL63&gt;Lists!D$22)*($AL63&lt;=Lists!D$21),MAX(0,MIN(Lists!D$21,$AM63)-MAX(Lists!D$22,$AL63))/($AM63-$AL63))))))))</f>
        <v>0</v>
      </c>
      <c r="O63" s="53" t="n">
        <f aca="false">IF($H63=0,0,IF($AP63="X",0,IF($AP63="S",$H63/$AO63*(MIN($AO63,MAX(0,INT((Lists!E$21-N($J63))/7)+1))-MIN($AO63,MAX(0,INT((Lists!E$22-N($J63))/7)+1))),IF($AP63="D",$H63*MAX(0,MIN(Lists!E$21,N($J63)+$AO63)-MAX(Lists!E$22,N($J63)))/$AO63,IF($AP63="M",$H63/$AO63*(IF(Lists!E$21&lt;$J63,0,MIN($AO63,(((YEAR(Lists!E$21)-YEAR($J63))*12+MONTH(Lists!E$21)-MONTH($J63))-(EDATE($J63,((YEAR(Lists!E$21)-YEAR($J63))*12+MONTH(Lists!E$21)-MONTH($J63)))&gt;Lists!E$21)+1)))-IF(Lists!E$22&lt;$J63,0,MIN($AO63,(((YEAR(Lists!E$22)-YEAR($J63))*12+MONTH(Lists!E$22)-MONTH($J63))-(EDATE($J63,((YEAR(Lists!E$22)-YEAR($J63))*12+MONTH(Lists!E$22)-MONTH($J63)))&gt;Lists!E$22)+1)))),IF($AP63="F",IF(N($K63)&lt;=0,0,MIN(MAX(0,$H63),N($K63)*IF(Lists!E$21&lt;$J63,0,(((YEAR(Lists!E$21)-YEAR($J63))*12+MONTH(Lists!E$21)-MONTH($J63))-(EDATE($J63,((YEAR(Lists!E$21)-YEAR($J63))*12+MONTH(Lists!E$21)-MONTH($J63)))&gt;Lists!E$21)+1)))-MIN(MAX(0,$H63),N($K63)*IF(Lists!E$22&lt;$J63,0,(((YEAR(Lists!E$22)-YEAR($J63))*12+MONTH(Lists!E$22)-MONTH($J63))-(EDATE($J63,((YEAR(Lists!E$22)-YEAR($J63))*12+MONTH(Lists!E$22)-MONTH($J63)))&gt;Lists!E$22)+1)))),N($C63)*IF($AE63-$AD63&lt;1,($AD63&gt;Lists!E$22)*($AD63&lt;=Lists!E$21),MAX(0,MIN(Lists!E$21,$AE63)-MAX(Lists!E$22,$AD63))/($AE63-$AD63))+N($D63)*IF($AG63-$AF63&lt;1,($AF63&gt;Lists!E$22)*($AF63&lt;=Lists!E$21),MAX(0,MIN(Lists!E$21,$AG63)-MAX(Lists!E$22,$AF63))/($AG63-$AF63))+N($E63)*IF($AI63-$AH63&lt;1,($AH63&gt;Lists!E$22)*($AH63&lt;=Lists!E$21),MAX(0,MIN(Lists!E$21,$AI63)-MAX(Lists!E$22,$AH63))/($AI63-$AH63))+N($F63)*IF($AK63-$AJ63&lt;1,($AJ63&gt;Lists!E$22)*($AJ63&lt;=Lists!E$21),MAX(0,MIN(Lists!E$21,$AK63)-MAX(Lists!E$22,$AJ63))/($AK63-$AJ63))+N($G63)*IF($AM63-$AL63&lt;1,($AL63&gt;Lists!E$22)*($AL63&lt;=Lists!E$21),MAX(0,MIN(Lists!E$21,$AM63)-MAX(Lists!E$22,$AL63))/($AM63-$AL63))))))))</f>
        <v>0</v>
      </c>
      <c r="P63" s="53" t="n">
        <f aca="false">IF($H63=0,0,IF($AP63="X",0,IF($AP63="S",$H63/$AO63*(MIN($AO63,MAX(0,INT((Lists!F$21-N($J63))/7)+1))-MIN($AO63,MAX(0,INT((Lists!F$22-N($J63))/7)+1))),IF($AP63="D",$H63*MAX(0,MIN(Lists!F$21,N($J63)+$AO63)-MAX(Lists!F$22,N($J63)))/$AO63,IF($AP63="M",$H63/$AO63*(IF(Lists!F$21&lt;$J63,0,MIN($AO63,(((YEAR(Lists!F$21)-YEAR($J63))*12+MONTH(Lists!F$21)-MONTH($J63))-(EDATE($J63,((YEAR(Lists!F$21)-YEAR($J63))*12+MONTH(Lists!F$21)-MONTH($J63)))&gt;Lists!F$21)+1)))-IF(Lists!F$22&lt;$J63,0,MIN($AO63,(((YEAR(Lists!F$22)-YEAR($J63))*12+MONTH(Lists!F$22)-MONTH($J63))-(EDATE($J63,((YEAR(Lists!F$22)-YEAR($J63))*12+MONTH(Lists!F$22)-MONTH($J63)))&gt;Lists!F$22)+1)))),IF($AP63="F",IF(N($K63)&lt;=0,0,MIN(MAX(0,$H63),N($K63)*IF(Lists!F$21&lt;$J63,0,(((YEAR(Lists!F$21)-YEAR($J63))*12+MONTH(Lists!F$21)-MONTH($J63))-(EDATE($J63,((YEAR(Lists!F$21)-YEAR($J63))*12+MONTH(Lists!F$21)-MONTH($J63)))&gt;Lists!F$21)+1)))-MIN(MAX(0,$H63),N($K63)*IF(Lists!F$22&lt;$J63,0,(((YEAR(Lists!F$22)-YEAR($J63))*12+MONTH(Lists!F$22)-MONTH($J63))-(EDATE($J63,((YEAR(Lists!F$22)-YEAR($J63))*12+MONTH(Lists!F$22)-MONTH($J63)))&gt;Lists!F$22)+1)))),N($C63)*IF($AE63-$AD63&lt;1,($AD63&gt;Lists!F$22)*($AD63&lt;=Lists!F$21),MAX(0,MIN(Lists!F$21,$AE63)-MAX(Lists!F$22,$AD63))/($AE63-$AD63))+N($D63)*IF($AG63-$AF63&lt;1,($AF63&gt;Lists!F$22)*($AF63&lt;=Lists!F$21),MAX(0,MIN(Lists!F$21,$AG63)-MAX(Lists!F$22,$AF63))/($AG63-$AF63))+N($E63)*IF($AI63-$AH63&lt;1,($AH63&gt;Lists!F$22)*($AH63&lt;=Lists!F$21),MAX(0,MIN(Lists!F$21,$AI63)-MAX(Lists!F$22,$AH63))/($AI63-$AH63))+N($F63)*IF($AK63-$AJ63&lt;1,($AJ63&gt;Lists!F$22)*($AJ63&lt;=Lists!F$21),MAX(0,MIN(Lists!F$21,$AK63)-MAX(Lists!F$22,$AJ63))/($AK63-$AJ63))+N($G63)*IF($AM63-$AL63&lt;1,($AL63&gt;Lists!F$22)*($AL63&lt;=Lists!F$21),MAX(0,MIN(Lists!F$21,$AM63)-MAX(Lists!F$22,$AL63))/($AM63-$AL63))))))))</f>
        <v>0</v>
      </c>
      <c r="Q63" s="53" t="n">
        <f aca="false">IF($H63=0,0,IF($AP63="X",0,IF($AP63="S",$H63/$AO63*(MIN($AO63,MAX(0,INT((Lists!G$21-N($J63))/7)+1))-MIN($AO63,MAX(0,INT((Lists!G$22-N($J63))/7)+1))),IF($AP63="D",$H63*MAX(0,MIN(Lists!G$21,N($J63)+$AO63)-MAX(Lists!G$22,N($J63)))/$AO63,IF($AP63="M",$H63/$AO63*(IF(Lists!G$21&lt;$J63,0,MIN($AO63,(((YEAR(Lists!G$21)-YEAR($J63))*12+MONTH(Lists!G$21)-MONTH($J63))-(EDATE($J63,((YEAR(Lists!G$21)-YEAR($J63))*12+MONTH(Lists!G$21)-MONTH($J63)))&gt;Lists!G$21)+1)))-IF(Lists!G$22&lt;$J63,0,MIN($AO63,(((YEAR(Lists!G$22)-YEAR($J63))*12+MONTH(Lists!G$22)-MONTH($J63))-(EDATE($J63,((YEAR(Lists!G$22)-YEAR($J63))*12+MONTH(Lists!G$22)-MONTH($J63)))&gt;Lists!G$22)+1)))),IF($AP63="F",IF(N($K63)&lt;=0,0,MIN(MAX(0,$H63),N($K63)*IF(Lists!G$21&lt;$J63,0,(((YEAR(Lists!G$21)-YEAR($J63))*12+MONTH(Lists!G$21)-MONTH($J63))-(EDATE($J63,((YEAR(Lists!G$21)-YEAR($J63))*12+MONTH(Lists!G$21)-MONTH($J63)))&gt;Lists!G$21)+1)))-MIN(MAX(0,$H63),N($K63)*IF(Lists!G$22&lt;$J63,0,(((YEAR(Lists!G$22)-YEAR($J63))*12+MONTH(Lists!G$22)-MONTH($J63))-(EDATE($J63,((YEAR(Lists!G$22)-YEAR($J63))*12+MONTH(Lists!G$22)-MONTH($J63)))&gt;Lists!G$22)+1)))),N($C63)*IF($AE63-$AD63&lt;1,($AD63&gt;Lists!G$22)*($AD63&lt;=Lists!G$21),MAX(0,MIN(Lists!G$21,$AE63)-MAX(Lists!G$22,$AD63))/($AE63-$AD63))+N($D63)*IF($AG63-$AF63&lt;1,($AF63&gt;Lists!G$22)*($AF63&lt;=Lists!G$21),MAX(0,MIN(Lists!G$21,$AG63)-MAX(Lists!G$22,$AF63))/($AG63-$AF63))+N($E63)*IF($AI63-$AH63&lt;1,($AH63&gt;Lists!G$22)*($AH63&lt;=Lists!G$21),MAX(0,MIN(Lists!G$21,$AI63)-MAX(Lists!G$22,$AH63))/($AI63-$AH63))+N($F63)*IF($AK63-$AJ63&lt;1,($AJ63&gt;Lists!G$22)*($AJ63&lt;=Lists!G$21),MAX(0,MIN(Lists!G$21,$AK63)-MAX(Lists!G$22,$AJ63))/($AK63-$AJ63))+N($G63)*IF($AM63-$AL63&lt;1,($AL63&gt;Lists!G$22)*($AL63&lt;=Lists!G$21),MAX(0,MIN(Lists!G$21,$AM63)-MAX(Lists!G$22,$AL63))/($AM63-$AL63))))))))</f>
        <v>0</v>
      </c>
      <c r="R63" s="53" t="n">
        <f aca="false">IF($H63=0,0,IF($AP63="X",0,IF($AP63="S",$H63/$AO63*(MIN($AO63,MAX(0,INT((Lists!H$21-N($J63))/7)+1))-MIN($AO63,MAX(0,INT((Lists!H$22-N($J63))/7)+1))),IF($AP63="D",$H63*MAX(0,MIN(Lists!H$21,N($J63)+$AO63)-MAX(Lists!H$22,N($J63)))/$AO63,IF($AP63="M",$H63/$AO63*(IF(Lists!H$21&lt;$J63,0,MIN($AO63,(((YEAR(Lists!H$21)-YEAR($J63))*12+MONTH(Lists!H$21)-MONTH($J63))-(EDATE($J63,((YEAR(Lists!H$21)-YEAR($J63))*12+MONTH(Lists!H$21)-MONTH($J63)))&gt;Lists!H$21)+1)))-IF(Lists!H$22&lt;$J63,0,MIN($AO63,(((YEAR(Lists!H$22)-YEAR($J63))*12+MONTH(Lists!H$22)-MONTH($J63))-(EDATE($J63,((YEAR(Lists!H$22)-YEAR($J63))*12+MONTH(Lists!H$22)-MONTH($J63)))&gt;Lists!H$22)+1)))),IF($AP63="F",IF(N($K63)&lt;=0,0,MIN(MAX(0,$H63),N($K63)*IF(Lists!H$21&lt;$J63,0,(((YEAR(Lists!H$21)-YEAR($J63))*12+MONTH(Lists!H$21)-MONTH($J63))-(EDATE($J63,((YEAR(Lists!H$21)-YEAR($J63))*12+MONTH(Lists!H$21)-MONTH($J63)))&gt;Lists!H$21)+1)))-MIN(MAX(0,$H63),N($K63)*IF(Lists!H$22&lt;$J63,0,(((YEAR(Lists!H$22)-YEAR($J63))*12+MONTH(Lists!H$22)-MONTH($J63))-(EDATE($J63,((YEAR(Lists!H$22)-YEAR($J63))*12+MONTH(Lists!H$22)-MONTH($J63)))&gt;Lists!H$22)+1)))),N($C63)*IF($AE63-$AD63&lt;1,($AD63&gt;Lists!H$22)*($AD63&lt;=Lists!H$21),MAX(0,MIN(Lists!H$21,$AE63)-MAX(Lists!H$22,$AD63))/($AE63-$AD63))+N($D63)*IF($AG63-$AF63&lt;1,($AF63&gt;Lists!H$22)*($AF63&lt;=Lists!H$21),MAX(0,MIN(Lists!H$21,$AG63)-MAX(Lists!H$22,$AF63))/($AG63-$AF63))+N($E63)*IF($AI63-$AH63&lt;1,($AH63&gt;Lists!H$22)*($AH63&lt;=Lists!H$21),MAX(0,MIN(Lists!H$21,$AI63)-MAX(Lists!H$22,$AH63))/($AI63-$AH63))+N($F63)*IF($AK63-$AJ63&lt;1,($AJ63&gt;Lists!H$22)*($AJ63&lt;=Lists!H$21),MAX(0,MIN(Lists!H$21,$AK63)-MAX(Lists!H$22,$AJ63))/($AK63-$AJ63))+N($G63)*IF($AM63-$AL63&lt;1,($AL63&gt;Lists!H$22)*($AL63&lt;=Lists!H$21),MAX(0,MIN(Lists!H$21,$AM63)-MAX(Lists!H$22,$AL63))/($AM63-$AL63))))))))</f>
        <v>0</v>
      </c>
      <c r="S63" s="53" t="n">
        <f aca="false">IF($H63=0,0,IF($AP63="X",0,IF($AP63="S",$H63/$AO63*(MIN($AO63,MAX(0,INT((Lists!I$21-N($J63))/7)+1))-MIN($AO63,MAX(0,INT((Lists!I$22-N($J63))/7)+1))),IF($AP63="D",$H63*MAX(0,MIN(Lists!I$21,N($J63)+$AO63)-MAX(Lists!I$22,N($J63)))/$AO63,IF($AP63="M",$H63/$AO63*(IF(Lists!I$21&lt;$J63,0,MIN($AO63,(((YEAR(Lists!I$21)-YEAR($J63))*12+MONTH(Lists!I$21)-MONTH($J63))-(EDATE($J63,((YEAR(Lists!I$21)-YEAR($J63))*12+MONTH(Lists!I$21)-MONTH($J63)))&gt;Lists!I$21)+1)))-IF(Lists!I$22&lt;$J63,0,MIN($AO63,(((YEAR(Lists!I$22)-YEAR($J63))*12+MONTH(Lists!I$22)-MONTH($J63))-(EDATE($J63,((YEAR(Lists!I$22)-YEAR($J63))*12+MONTH(Lists!I$22)-MONTH($J63)))&gt;Lists!I$22)+1)))),IF($AP63="F",IF(N($K63)&lt;=0,0,MIN(MAX(0,$H63),N($K63)*IF(Lists!I$21&lt;$J63,0,(((YEAR(Lists!I$21)-YEAR($J63))*12+MONTH(Lists!I$21)-MONTH($J63))-(EDATE($J63,((YEAR(Lists!I$21)-YEAR($J63))*12+MONTH(Lists!I$21)-MONTH($J63)))&gt;Lists!I$21)+1)))-MIN(MAX(0,$H63),N($K63)*IF(Lists!I$22&lt;$J63,0,(((YEAR(Lists!I$22)-YEAR($J63))*12+MONTH(Lists!I$22)-MONTH($J63))-(EDATE($J63,((YEAR(Lists!I$22)-YEAR($J63))*12+MONTH(Lists!I$22)-MONTH($J63)))&gt;Lists!I$22)+1)))),N($C63)*IF($AE63-$AD63&lt;1,($AD63&gt;Lists!I$22)*($AD63&lt;=Lists!I$21),MAX(0,MIN(Lists!I$21,$AE63)-MAX(Lists!I$22,$AD63))/($AE63-$AD63))+N($D63)*IF($AG63-$AF63&lt;1,($AF63&gt;Lists!I$22)*($AF63&lt;=Lists!I$21),MAX(0,MIN(Lists!I$21,$AG63)-MAX(Lists!I$22,$AF63))/($AG63-$AF63))+N($E63)*IF($AI63-$AH63&lt;1,($AH63&gt;Lists!I$22)*($AH63&lt;=Lists!I$21),MAX(0,MIN(Lists!I$21,$AI63)-MAX(Lists!I$22,$AH63))/($AI63-$AH63))+N($F63)*IF($AK63-$AJ63&lt;1,($AJ63&gt;Lists!I$22)*($AJ63&lt;=Lists!I$21),MAX(0,MIN(Lists!I$21,$AK63)-MAX(Lists!I$22,$AJ63))/($AK63-$AJ63))+N($G63)*IF($AM63-$AL63&lt;1,($AL63&gt;Lists!I$22)*($AL63&lt;=Lists!I$21),MAX(0,MIN(Lists!I$21,$AM63)-MAX(Lists!I$22,$AL63))/($AM63-$AL63))))))))</f>
        <v>0</v>
      </c>
      <c r="T63" s="53" t="n">
        <f aca="false">IF($H63=0,0,IF($AP63="X",0,IF($AP63="S",$H63/$AO63*(MIN($AO63,MAX(0,INT((Lists!J$21-N($J63))/7)+1))-MIN($AO63,MAX(0,INT((Lists!J$22-N($J63))/7)+1))),IF($AP63="D",$H63*MAX(0,MIN(Lists!J$21,N($J63)+$AO63)-MAX(Lists!J$22,N($J63)))/$AO63,IF($AP63="M",$H63/$AO63*(IF(Lists!J$21&lt;$J63,0,MIN($AO63,(((YEAR(Lists!J$21)-YEAR($J63))*12+MONTH(Lists!J$21)-MONTH($J63))-(EDATE($J63,((YEAR(Lists!J$21)-YEAR($J63))*12+MONTH(Lists!J$21)-MONTH($J63)))&gt;Lists!J$21)+1)))-IF(Lists!J$22&lt;$J63,0,MIN($AO63,(((YEAR(Lists!J$22)-YEAR($J63))*12+MONTH(Lists!J$22)-MONTH($J63))-(EDATE($J63,((YEAR(Lists!J$22)-YEAR($J63))*12+MONTH(Lists!J$22)-MONTH($J63)))&gt;Lists!J$22)+1)))),IF($AP63="F",IF(N($K63)&lt;=0,0,MIN(MAX(0,$H63),N($K63)*IF(Lists!J$21&lt;$J63,0,(((YEAR(Lists!J$21)-YEAR($J63))*12+MONTH(Lists!J$21)-MONTH($J63))-(EDATE($J63,((YEAR(Lists!J$21)-YEAR($J63))*12+MONTH(Lists!J$21)-MONTH($J63)))&gt;Lists!J$21)+1)))-MIN(MAX(0,$H63),N($K63)*IF(Lists!J$22&lt;$J63,0,(((YEAR(Lists!J$22)-YEAR($J63))*12+MONTH(Lists!J$22)-MONTH($J63))-(EDATE($J63,((YEAR(Lists!J$22)-YEAR($J63))*12+MONTH(Lists!J$22)-MONTH($J63)))&gt;Lists!J$22)+1)))),N($C63)*IF($AE63-$AD63&lt;1,($AD63&gt;Lists!J$22)*($AD63&lt;=Lists!J$21),MAX(0,MIN(Lists!J$21,$AE63)-MAX(Lists!J$22,$AD63))/($AE63-$AD63))+N($D63)*IF($AG63-$AF63&lt;1,($AF63&gt;Lists!J$22)*($AF63&lt;=Lists!J$21),MAX(0,MIN(Lists!J$21,$AG63)-MAX(Lists!J$22,$AF63))/($AG63-$AF63))+N($E63)*IF($AI63-$AH63&lt;1,($AH63&gt;Lists!J$22)*($AH63&lt;=Lists!J$21),MAX(0,MIN(Lists!J$21,$AI63)-MAX(Lists!J$22,$AH63))/($AI63-$AH63))+N($F63)*IF($AK63-$AJ63&lt;1,($AJ63&gt;Lists!J$22)*($AJ63&lt;=Lists!J$21),MAX(0,MIN(Lists!J$21,$AK63)-MAX(Lists!J$22,$AJ63))/($AK63-$AJ63))+N($G63)*IF($AM63-$AL63&lt;1,($AL63&gt;Lists!J$22)*($AL63&lt;=Lists!J$21),MAX(0,MIN(Lists!J$21,$AM63)-MAX(Lists!J$22,$AL63))/($AM63-$AL63))))))))</f>
        <v>0</v>
      </c>
      <c r="U63" s="53" t="n">
        <f aca="false">IF($H63=0,0,IF($AP63="X",0,IF($AP63="S",$H63/$AO63*(MIN($AO63,MAX(0,INT((Lists!K$21-N($J63))/7)+1))-MIN($AO63,MAX(0,INT((Lists!K$22-N($J63))/7)+1))),IF($AP63="D",$H63*MAX(0,MIN(Lists!K$21,N($J63)+$AO63)-MAX(Lists!K$22,N($J63)))/$AO63,IF($AP63="M",$H63/$AO63*(IF(Lists!K$21&lt;$J63,0,MIN($AO63,(((YEAR(Lists!K$21)-YEAR($J63))*12+MONTH(Lists!K$21)-MONTH($J63))-(EDATE($J63,((YEAR(Lists!K$21)-YEAR($J63))*12+MONTH(Lists!K$21)-MONTH($J63)))&gt;Lists!K$21)+1)))-IF(Lists!K$22&lt;$J63,0,MIN($AO63,(((YEAR(Lists!K$22)-YEAR($J63))*12+MONTH(Lists!K$22)-MONTH($J63))-(EDATE($J63,((YEAR(Lists!K$22)-YEAR($J63))*12+MONTH(Lists!K$22)-MONTH($J63)))&gt;Lists!K$22)+1)))),IF($AP63="F",IF(N($K63)&lt;=0,0,MIN(MAX(0,$H63),N($K63)*IF(Lists!K$21&lt;$J63,0,(((YEAR(Lists!K$21)-YEAR($J63))*12+MONTH(Lists!K$21)-MONTH($J63))-(EDATE($J63,((YEAR(Lists!K$21)-YEAR($J63))*12+MONTH(Lists!K$21)-MONTH($J63)))&gt;Lists!K$21)+1)))-MIN(MAX(0,$H63),N($K63)*IF(Lists!K$22&lt;$J63,0,(((YEAR(Lists!K$22)-YEAR($J63))*12+MONTH(Lists!K$22)-MONTH($J63))-(EDATE($J63,((YEAR(Lists!K$22)-YEAR($J63))*12+MONTH(Lists!K$22)-MONTH($J63)))&gt;Lists!K$22)+1)))),N($C63)*IF($AE63-$AD63&lt;1,($AD63&gt;Lists!K$22)*($AD63&lt;=Lists!K$21),MAX(0,MIN(Lists!K$21,$AE63)-MAX(Lists!K$22,$AD63))/($AE63-$AD63))+N($D63)*IF($AG63-$AF63&lt;1,($AF63&gt;Lists!K$22)*($AF63&lt;=Lists!K$21),MAX(0,MIN(Lists!K$21,$AG63)-MAX(Lists!K$22,$AF63))/($AG63-$AF63))+N($E63)*IF($AI63-$AH63&lt;1,($AH63&gt;Lists!K$22)*($AH63&lt;=Lists!K$21),MAX(0,MIN(Lists!K$21,$AI63)-MAX(Lists!K$22,$AH63))/($AI63-$AH63))+N($F63)*IF($AK63-$AJ63&lt;1,($AJ63&gt;Lists!K$22)*($AJ63&lt;=Lists!K$21),MAX(0,MIN(Lists!K$21,$AK63)-MAX(Lists!K$22,$AJ63))/($AK63-$AJ63))+N($G63)*IF($AM63-$AL63&lt;1,($AL63&gt;Lists!K$22)*($AL63&lt;=Lists!K$21),MAX(0,MIN(Lists!K$21,$AM63)-MAX(Lists!K$22,$AL63))/($AM63-$AL63))))))))</f>
        <v>0</v>
      </c>
      <c r="V63" s="53" t="n">
        <f aca="false">IF($H63=0,0,IF($AP63="X",0,IF($AP63="S",$H63/$AO63*(MIN($AO63,MAX(0,INT((Lists!L$21-N($J63))/7)+1))-MIN($AO63,MAX(0,INT((Lists!L$22-N($J63))/7)+1))),IF($AP63="D",$H63*MAX(0,MIN(Lists!L$21,N($J63)+$AO63)-MAX(Lists!L$22,N($J63)))/$AO63,IF($AP63="M",$H63/$AO63*(IF(Lists!L$21&lt;$J63,0,MIN($AO63,(((YEAR(Lists!L$21)-YEAR($J63))*12+MONTH(Lists!L$21)-MONTH($J63))-(EDATE($J63,((YEAR(Lists!L$21)-YEAR($J63))*12+MONTH(Lists!L$21)-MONTH($J63)))&gt;Lists!L$21)+1)))-IF(Lists!L$22&lt;$J63,0,MIN($AO63,(((YEAR(Lists!L$22)-YEAR($J63))*12+MONTH(Lists!L$22)-MONTH($J63))-(EDATE($J63,((YEAR(Lists!L$22)-YEAR($J63))*12+MONTH(Lists!L$22)-MONTH($J63)))&gt;Lists!L$22)+1)))),IF($AP63="F",IF(N($K63)&lt;=0,0,MIN(MAX(0,$H63),N($K63)*IF(Lists!L$21&lt;$J63,0,(((YEAR(Lists!L$21)-YEAR($J63))*12+MONTH(Lists!L$21)-MONTH($J63))-(EDATE($J63,((YEAR(Lists!L$21)-YEAR($J63))*12+MONTH(Lists!L$21)-MONTH($J63)))&gt;Lists!L$21)+1)))-MIN(MAX(0,$H63),N($K63)*IF(Lists!L$22&lt;$J63,0,(((YEAR(Lists!L$22)-YEAR($J63))*12+MONTH(Lists!L$22)-MONTH($J63))-(EDATE($J63,((YEAR(Lists!L$22)-YEAR($J63))*12+MONTH(Lists!L$22)-MONTH($J63)))&gt;Lists!L$22)+1)))),N($C63)*IF($AE63-$AD63&lt;1,($AD63&gt;Lists!L$22)*($AD63&lt;=Lists!L$21),MAX(0,MIN(Lists!L$21,$AE63)-MAX(Lists!L$22,$AD63))/($AE63-$AD63))+N($D63)*IF($AG63-$AF63&lt;1,($AF63&gt;Lists!L$22)*($AF63&lt;=Lists!L$21),MAX(0,MIN(Lists!L$21,$AG63)-MAX(Lists!L$22,$AF63))/($AG63-$AF63))+N($E63)*IF($AI63-$AH63&lt;1,($AH63&gt;Lists!L$22)*($AH63&lt;=Lists!L$21),MAX(0,MIN(Lists!L$21,$AI63)-MAX(Lists!L$22,$AH63))/($AI63-$AH63))+N($F63)*IF($AK63-$AJ63&lt;1,($AJ63&gt;Lists!L$22)*($AJ63&lt;=Lists!L$21),MAX(0,MIN(Lists!L$21,$AK63)-MAX(Lists!L$22,$AJ63))/($AK63-$AJ63))+N($G63)*IF($AM63-$AL63&lt;1,($AL63&gt;Lists!L$22)*($AL63&lt;=Lists!L$21),MAX(0,MIN(Lists!L$21,$AM63)-MAX(Lists!L$22,$AL63))/($AM63-$AL63))))))))</f>
        <v>0</v>
      </c>
      <c r="W63" s="53" t="n">
        <f aca="false">IF($H63=0,0,IF($AP63="X",0,IF($AP63="S",$H63/$AO63*(MIN($AO63,MAX(0,INT((Lists!M$21-N($J63))/7)+1))-MIN($AO63,MAX(0,INT((Lists!M$22-N($J63))/7)+1))),IF($AP63="D",$H63*MAX(0,MIN(Lists!M$21,N($J63)+$AO63)-MAX(Lists!M$22,N($J63)))/$AO63,IF($AP63="M",$H63/$AO63*(IF(Lists!M$21&lt;$J63,0,MIN($AO63,(((YEAR(Lists!M$21)-YEAR($J63))*12+MONTH(Lists!M$21)-MONTH($J63))-(EDATE($J63,((YEAR(Lists!M$21)-YEAR($J63))*12+MONTH(Lists!M$21)-MONTH($J63)))&gt;Lists!M$21)+1)))-IF(Lists!M$22&lt;$J63,0,MIN($AO63,(((YEAR(Lists!M$22)-YEAR($J63))*12+MONTH(Lists!M$22)-MONTH($J63))-(EDATE($J63,((YEAR(Lists!M$22)-YEAR($J63))*12+MONTH(Lists!M$22)-MONTH($J63)))&gt;Lists!M$22)+1)))),IF($AP63="F",IF(N($K63)&lt;=0,0,MIN(MAX(0,$H63),N($K63)*IF(Lists!M$21&lt;$J63,0,(((YEAR(Lists!M$21)-YEAR($J63))*12+MONTH(Lists!M$21)-MONTH($J63))-(EDATE($J63,((YEAR(Lists!M$21)-YEAR($J63))*12+MONTH(Lists!M$21)-MONTH($J63)))&gt;Lists!M$21)+1)))-MIN(MAX(0,$H63),N($K63)*IF(Lists!M$22&lt;$J63,0,(((YEAR(Lists!M$22)-YEAR($J63))*12+MONTH(Lists!M$22)-MONTH($J63))-(EDATE($J63,((YEAR(Lists!M$22)-YEAR($J63))*12+MONTH(Lists!M$22)-MONTH($J63)))&gt;Lists!M$22)+1)))),N($C63)*IF($AE63-$AD63&lt;1,($AD63&gt;Lists!M$22)*($AD63&lt;=Lists!M$21),MAX(0,MIN(Lists!M$21,$AE63)-MAX(Lists!M$22,$AD63))/($AE63-$AD63))+N($D63)*IF($AG63-$AF63&lt;1,($AF63&gt;Lists!M$22)*($AF63&lt;=Lists!M$21),MAX(0,MIN(Lists!M$21,$AG63)-MAX(Lists!M$22,$AF63))/($AG63-$AF63))+N($E63)*IF($AI63-$AH63&lt;1,($AH63&gt;Lists!M$22)*($AH63&lt;=Lists!M$21),MAX(0,MIN(Lists!M$21,$AI63)-MAX(Lists!M$22,$AH63))/($AI63-$AH63))+N($F63)*IF($AK63-$AJ63&lt;1,($AJ63&gt;Lists!M$22)*($AJ63&lt;=Lists!M$21),MAX(0,MIN(Lists!M$21,$AK63)-MAX(Lists!M$22,$AJ63))/($AK63-$AJ63))+N($G63)*IF($AM63-$AL63&lt;1,($AL63&gt;Lists!M$22)*($AL63&lt;=Lists!M$21),MAX(0,MIN(Lists!M$21,$AM63)-MAX(Lists!M$22,$AL63))/($AM63-$AL63))))))))</f>
        <v>0</v>
      </c>
      <c r="X63" s="53" t="n">
        <f aca="false">IF($H63=0,0,IF($AP63="X",0,IF($AP63="S",$H63/$AO63*(MIN($AO63,MAX(0,INT((Lists!N$21-N($J63))/7)+1))-MIN($AO63,MAX(0,INT((Lists!N$22-N($J63))/7)+1))),IF($AP63="D",$H63*MAX(0,MIN(Lists!N$21,N($J63)+$AO63)-MAX(Lists!N$22,N($J63)))/$AO63,IF($AP63="M",$H63/$AO63*(IF(Lists!N$21&lt;$J63,0,MIN($AO63,(((YEAR(Lists!N$21)-YEAR($J63))*12+MONTH(Lists!N$21)-MONTH($J63))-(EDATE($J63,((YEAR(Lists!N$21)-YEAR($J63))*12+MONTH(Lists!N$21)-MONTH($J63)))&gt;Lists!N$21)+1)))-IF(Lists!N$22&lt;$J63,0,MIN($AO63,(((YEAR(Lists!N$22)-YEAR($J63))*12+MONTH(Lists!N$22)-MONTH($J63))-(EDATE($J63,((YEAR(Lists!N$22)-YEAR($J63))*12+MONTH(Lists!N$22)-MONTH($J63)))&gt;Lists!N$22)+1)))),IF($AP63="F",IF(N($K63)&lt;=0,0,MIN(MAX(0,$H63),N($K63)*IF(Lists!N$21&lt;$J63,0,(((YEAR(Lists!N$21)-YEAR($J63))*12+MONTH(Lists!N$21)-MONTH($J63))-(EDATE($J63,((YEAR(Lists!N$21)-YEAR($J63))*12+MONTH(Lists!N$21)-MONTH($J63)))&gt;Lists!N$21)+1)))-MIN(MAX(0,$H63),N($K63)*IF(Lists!N$22&lt;$J63,0,(((YEAR(Lists!N$22)-YEAR($J63))*12+MONTH(Lists!N$22)-MONTH($J63))-(EDATE($J63,((YEAR(Lists!N$22)-YEAR($J63))*12+MONTH(Lists!N$22)-MONTH($J63)))&gt;Lists!N$22)+1)))),N($C63)*IF($AE63-$AD63&lt;1,($AD63&gt;Lists!N$22)*($AD63&lt;=Lists!N$21),MAX(0,MIN(Lists!N$21,$AE63)-MAX(Lists!N$22,$AD63))/($AE63-$AD63))+N($D63)*IF($AG63-$AF63&lt;1,($AF63&gt;Lists!N$22)*($AF63&lt;=Lists!N$21),MAX(0,MIN(Lists!N$21,$AG63)-MAX(Lists!N$22,$AF63))/($AG63-$AF63))+N($E63)*IF($AI63-$AH63&lt;1,($AH63&gt;Lists!N$22)*($AH63&lt;=Lists!N$21),MAX(0,MIN(Lists!N$21,$AI63)-MAX(Lists!N$22,$AH63))/($AI63-$AH63))+N($F63)*IF($AK63-$AJ63&lt;1,($AJ63&gt;Lists!N$22)*($AJ63&lt;=Lists!N$21),MAX(0,MIN(Lists!N$21,$AK63)-MAX(Lists!N$22,$AJ63))/($AK63-$AJ63))+N($G63)*IF($AM63-$AL63&lt;1,($AL63&gt;Lists!N$22)*($AL63&lt;=Lists!N$21),MAX(0,MIN(Lists!N$21,$AM63)-MAX(Lists!N$22,$AL63))/($AM63-$AL63))))))))</f>
        <v>0</v>
      </c>
      <c r="Y63" s="53" t="n">
        <f aca="false">IF($H63=0,0,IF($AP63="X",0,IF($AP63="S",$H63/$AO63*(MIN($AO63,MAX(0,INT((Lists!O$21-N($J63))/7)+1))-MIN($AO63,MAX(0,INT((Lists!O$22-N($J63))/7)+1))),IF($AP63="D",$H63*MAX(0,MIN(Lists!O$21,N($J63)+$AO63)-MAX(Lists!O$22,N($J63)))/$AO63,IF($AP63="M",$H63/$AO63*(IF(Lists!O$21&lt;$J63,0,MIN($AO63,(((YEAR(Lists!O$21)-YEAR($J63))*12+MONTH(Lists!O$21)-MONTH($J63))-(EDATE($J63,((YEAR(Lists!O$21)-YEAR($J63))*12+MONTH(Lists!O$21)-MONTH($J63)))&gt;Lists!O$21)+1)))-IF(Lists!O$22&lt;$J63,0,MIN($AO63,(((YEAR(Lists!O$22)-YEAR($J63))*12+MONTH(Lists!O$22)-MONTH($J63))-(EDATE($J63,((YEAR(Lists!O$22)-YEAR($J63))*12+MONTH(Lists!O$22)-MONTH($J63)))&gt;Lists!O$22)+1)))),IF($AP63="F",IF(N($K63)&lt;=0,0,MIN(MAX(0,$H63),N($K63)*IF(Lists!O$21&lt;$J63,0,(((YEAR(Lists!O$21)-YEAR($J63))*12+MONTH(Lists!O$21)-MONTH($J63))-(EDATE($J63,((YEAR(Lists!O$21)-YEAR($J63))*12+MONTH(Lists!O$21)-MONTH($J63)))&gt;Lists!O$21)+1)))-MIN(MAX(0,$H63),N($K63)*IF(Lists!O$22&lt;$J63,0,(((YEAR(Lists!O$22)-YEAR($J63))*12+MONTH(Lists!O$22)-MONTH($J63))-(EDATE($J63,((YEAR(Lists!O$22)-YEAR($J63))*12+MONTH(Lists!O$22)-MONTH($J63)))&gt;Lists!O$22)+1)))),N($C63)*IF($AE63-$AD63&lt;1,($AD63&gt;Lists!O$22)*($AD63&lt;=Lists!O$21),MAX(0,MIN(Lists!O$21,$AE63)-MAX(Lists!O$22,$AD63))/($AE63-$AD63))+N($D63)*IF($AG63-$AF63&lt;1,($AF63&gt;Lists!O$22)*($AF63&lt;=Lists!O$21),MAX(0,MIN(Lists!O$21,$AG63)-MAX(Lists!O$22,$AF63))/($AG63-$AF63))+N($E63)*IF($AI63-$AH63&lt;1,($AH63&gt;Lists!O$22)*($AH63&lt;=Lists!O$21),MAX(0,MIN(Lists!O$21,$AI63)-MAX(Lists!O$22,$AH63))/($AI63-$AH63))+N($F63)*IF($AK63-$AJ63&lt;1,($AJ63&gt;Lists!O$22)*($AJ63&lt;=Lists!O$21),MAX(0,MIN(Lists!O$21,$AK63)-MAX(Lists!O$22,$AJ63))/($AK63-$AJ63))+N($G63)*IF($AM63-$AL63&lt;1,($AL63&gt;Lists!O$22)*($AL63&lt;=Lists!O$21),MAX(0,MIN(Lists!O$21,$AM63)-MAX(Lists!O$22,$AL63))/($AM63-$AL63))))))))</f>
        <v>0</v>
      </c>
      <c r="Z63" s="46" t="n">
        <f aca="false">SUM(M63:Y63)</f>
        <v>0</v>
      </c>
      <c r="AA63" s="92" t="n">
        <f aca="false">H63-Z63</f>
        <v>0</v>
      </c>
      <c r="AB63" s="55"/>
      <c r="AC63" s="2"/>
      <c r="AD63" s="93" t="n">
        <f aca="false">Setup!$D$10+MAX(0,$AN63-30)</f>
        <v>46365</v>
      </c>
      <c r="AE63" s="93" t="n">
        <f aca="false">Setup!$D$10+IF($AN63-30&lt;0,MAX(Setup!$D$22,$AN63-0),$AN63-0)</f>
        <v>46395</v>
      </c>
      <c r="AF63" s="93" t="n">
        <f aca="false">Setup!$D$10+MAX(0,$AN63-60)</f>
        <v>46335</v>
      </c>
      <c r="AG63" s="93" t="n">
        <f aca="false">Setup!$D$10+IF($AN63-60&lt;0,MAX(Setup!$D$22,$AN63-31),$AN63-31)</f>
        <v>46364</v>
      </c>
      <c r="AH63" s="93" t="n">
        <f aca="false">Setup!$D$10+MAX(0,$AN63-90)</f>
        <v>46335</v>
      </c>
      <c r="AI63" s="93" t="n">
        <f aca="false">Setup!$D$10+IF($AN63-90&lt;0,MAX(Setup!$D$22,$AN63-61),$AN63-61)</f>
        <v>46363</v>
      </c>
      <c r="AJ63" s="93" t="n">
        <f aca="false">Setup!$D$10+MAX(0,$AN63-120)</f>
        <v>46335</v>
      </c>
      <c r="AK63" s="93" t="n">
        <f aca="false">Setup!$D$10+IF($AN63-120&lt;0,MAX(Setup!$D$22,$AN63-91),$AN63-91)</f>
        <v>46363</v>
      </c>
      <c r="AL63" s="93" t="n">
        <f aca="false">IF(Setup!$D$23="Yes",2958465,Setup!$D$10)</f>
        <v>2958465</v>
      </c>
      <c r="AM63" s="93" t="n">
        <f aca="false">IF(AL63=2958465,AL63,Setup!$D$10+Setup!$D$22)</f>
        <v>2958465</v>
      </c>
      <c r="AN63" s="94" t="n">
        <f aca="false">IF(N(L63)=0,Setup!$D$20,L63)</f>
        <v>60</v>
      </c>
      <c r="AO63" s="94" t="n">
        <f aca="false">MAX(1,ROUND(N(K63),0))</f>
        <v>1</v>
      </c>
      <c r="AP63" s="95" t="str">
        <f aca="false">IF(I63="Doubtful","X",IF(N(J63)=0,"A",IF(I63="Specific date","S",IF(I63="Spread over days","D",IF(I63="Monthly on set day","M",IF(I63="Monthly fixed amount","F","A"))))))</f>
        <v>A</v>
      </c>
    </row>
    <row r="64" customFormat="false" ht="15" hidden="false" customHeight="false" outlineLevel="0" collapsed="false">
      <c r="A64" s="87" t="n">
        <v>56</v>
      </c>
      <c r="B64" s="55"/>
      <c r="C64" s="88"/>
      <c r="D64" s="88"/>
      <c r="E64" s="88"/>
      <c r="F64" s="88"/>
      <c r="G64" s="88"/>
      <c r="H64" s="89" t="n">
        <f aca="false">SUM(C64:G64)</f>
        <v>0</v>
      </c>
      <c r="I64" s="58"/>
      <c r="J64" s="90"/>
      <c r="K64" s="91"/>
      <c r="L64" s="80"/>
      <c r="M64" s="53" t="n">
        <f aca="false">IF($H64=0,0,IF($AP64="X",0,IF($AP64="S",$H64/$AO64*(MIN($AO64,MAX(0,INT((Lists!C$21-N($J64))/7)+1))-MIN($AO64,MAX(0,INT((Lists!C$22-N($J64))/7)+1))),IF($AP64="D",$H64*MAX(0,MIN(Lists!C$21,N($J64)+$AO64)-MAX(Lists!C$22,N($J64)))/$AO64,IF($AP64="M",$H64/$AO64*(IF(Lists!C$21&lt;$J64,0,MIN($AO64,(((YEAR(Lists!C$21)-YEAR($J64))*12+MONTH(Lists!C$21)-MONTH($J64))-(EDATE($J64,((YEAR(Lists!C$21)-YEAR($J64))*12+MONTH(Lists!C$21)-MONTH($J64)))&gt;Lists!C$21)+1)))-IF(Lists!C$22&lt;$J64,0,MIN($AO64,(((YEAR(Lists!C$22)-YEAR($J64))*12+MONTH(Lists!C$22)-MONTH($J64))-(EDATE($J64,((YEAR(Lists!C$22)-YEAR($J64))*12+MONTH(Lists!C$22)-MONTH($J64)))&gt;Lists!C$22)+1)))),IF($AP64="F",IF(N($K64)&lt;=0,0,MIN(MAX(0,$H64),N($K64)*IF(Lists!C$21&lt;$J64,0,(((YEAR(Lists!C$21)-YEAR($J64))*12+MONTH(Lists!C$21)-MONTH($J64))-(EDATE($J64,((YEAR(Lists!C$21)-YEAR($J64))*12+MONTH(Lists!C$21)-MONTH($J64)))&gt;Lists!C$21)+1)))-MIN(MAX(0,$H64),N($K64)*IF(Lists!C$22&lt;$J64,0,(((YEAR(Lists!C$22)-YEAR($J64))*12+MONTH(Lists!C$22)-MONTH($J64))-(EDATE($J64,((YEAR(Lists!C$22)-YEAR($J64))*12+MONTH(Lists!C$22)-MONTH($J64)))&gt;Lists!C$22)+1)))),N($C64)*IF($AE64-$AD64&lt;1,($AD64&gt;Lists!C$22)*($AD64&lt;=Lists!C$21),MAX(0,MIN(Lists!C$21,$AE64)-MAX(Lists!C$22,$AD64))/($AE64-$AD64))+N($D64)*IF($AG64-$AF64&lt;1,($AF64&gt;Lists!C$22)*($AF64&lt;=Lists!C$21),MAX(0,MIN(Lists!C$21,$AG64)-MAX(Lists!C$22,$AF64))/($AG64-$AF64))+N($E64)*IF($AI64-$AH64&lt;1,($AH64&gt;Lists!C$22)*($AH64&lt;=Lists!C$21),MAX(0,MIN(Lists!C$21,$AI64)-MAX(Lists!C$22,$AH64))/($AI64-$AH64))+N($F64)*IF($AK64-$AJ64&lt;1,($AJ64&gt;Lists!C$22)*($AJ64&lt;=Lists!C$21),MAX(0,MIN(Lists!C$21,$AK64)-MAX(Lists!C$22,$AJ64))/($AK64-$AJ64))+N($G64)*IF($AM64-$AL64&lt;1,($AL64&gt;Lists!C$22)*($AL64&lt;=Lists!C$21),MAX(0,MIN(Lists!C$21,$AM64)-MAX(Lists!C$22,$AL64))/($AM64-$AL64))))))))</f>
        <v>0</v>
      </c>
      <c r="N64" s="53" t="n">
        <f aca="false">IF($H64=0,0,IF($AP64="X",0,IF($AP64="S",$H64/$AO64*(MIN($AO64,MAX(0,INT((Lists!D$21-N($J64))/7)+1))-MIN($AO64,MAX(0,INT((Lists!D$22-N($J64))/7)+1))),IF($AP64="D",$H64*MAX(0,MIN(Lists!D$21,N($J64)+$AO64)-MAX(Lists!D$22,N($J64)))/$AO64,IF($AP64="M",$H64/$AO64*(IF(Lists!D$21&lt;$J64,0,MIN($AO64,(((YEAR(Lists!D$21)-YEAR($J64))*12+MONTH(Lists!D$21)-MONTH($J64))-(EDATE($J64,((YEAR(Lists!D$21)-YEAR($J64))*12+MONTH(Lists!D$21)-MONTH($J64)))&gt;Lists!D$21)+1)))-IF(Lists!D$22&lt;$J64,0,MIN($AO64,(((YEAR(Lists!D$22)-YEAR($J64))*12+MONTH(Lists!D$22)-MONTH($J64))-(EDATE($J64,((YEAR(Lists!D$22)-YEAR($J64))*12+MONTH(Lists!D$22)-MONTH($J64)))&gt;Lists!D$22)+1)))),IF($AP64="F",IF(N($K64)&lt;=0,0,MIN(MAX(0,$H64),N($K64)*IF(Lists!D$21&lt;$J64,0,(((YEAR(Lists!D$21)-YEAR($J64))*12+MONTH(Lists!D$21)-MONTH($J64))-(EDATE($J64,((YEAR(Lists!D$21)-YEAR($J64))*12+MONTH(Lists!D$21)-MONTH($J64)))&gt;Lists!D$21)+1)))-MIN(MAX(0,$H64),N($K64)*IF(Lists!D$22&lt;$J64,0,(((YEAR(Lists!D$22)-YEAR($J64))*12+MONTH(Lists!D$22)-MONTH($J64))-(EDATE($J64,((YEAR(Lists!D$22)-YEAR($J64))*12+MONTH(Lists!D$22)-MONTH($J64)))&gt;Lists!D$22)+1)))),N($C64)*IF($AE64-$AD64&lt;1,($AD64&gt;Lists!D$22)*($AD64&lt;=Lists!D$21),MAX(0,MIN(Lists!D$21,$AE64)-MAX(Lists!D$22,$AD64))/($AE64-$AD64))+N($D64)*IF($AG64-$AF64&lt;1,($AF64&gt;Lists!D$22)*($AF64&lt;=Lists!D$21),MAX(0,MIN(Lists!D$21,$AG64)-MAX(Lists!D$22,$AF64))/($AG64-$AF64))+N($E64)*IF($AI64-$AH64&lt;1,($AH64&gt;Lists!D$22)*($AH64&lt;=Lists!D$21),MAX(0,MIN(Lists!D$21,$AI64)-MAX(Lists!D$22,$AH64))/($AI64-$AH64))+N($F64)*IF($AK64-$AJ64&lt;1,($AJ64&gt;Lists!D$22)*($AJ64&lt;=Lists!D$21),MAX(0,MIN(Lists!D$21,$AK64)-MAX(Lists!D$22,$AJ64))/($AK64-$AJ64))+N($G64)*IF($AM64-$AL64&lt;1,($AL64&gt;Lists!D$22)*($AL64&lt;=Lists!D$21),MAX(0,MIN(Lists!D$21,$AM64)-MAX(Lists!D$22,$AL64))/($AM64-$AL64))))))))</f>
        <v>0</v>
      </c>
      <c r="O64" s="53" t="n">
        <f aca="false">IF($H64=0,0,IF($AP64="X",0,IF($AP64="S",$H64/$AO64*(MIN($AO64,MAX(0,INT((Lists!E$21-N($J64))/7)+1))-MIN($AO64,MAX(0,INT((Lists!E$22-N($J64))/7)+1))),IF($AP64="D",$H64*MAX(0,MIN(Lists!E$21,N($J64)+$AO64)-MAX(Lists!E$22,N($J64)))/$AO64,IF($AP64="M",$H64/$AO64*(IF(Lists!E$21&lt;$J64,0,MIN($AO64,(((YEAR(Lists!E$21)-YEAR($J64))*12+MONTH(Lists!E$21)-MONTH($J64))-(EDATE($J64,((YEAR(Lists!E$21)-YEAR($J64))*12+MONTH(Lists!E$21)-MONTH($J64)))&gt;Lists!E$21)+1)))-IF(Lists!E$22&lt;$J64,0,MIN($AO64,(((YEAR(Lists!E$22)-YEAR($J64))*12+MONTH(Lists!E$22)-MONTH($J64))-(EDATE($J64,((YEAR(Lists!E$22)-YEAR($J64))*12+MONTH(Lists!E$22)-MONTH($J64)))&gt;Lists!E$22)+1)))),IF($AP64="F",IF(N($K64)&lt;=0,0,MIN(MAX(0,$H64),N($K64)*IF(Lists!E$21&lt;$J64,0,(((YEAR(Lists!E$21)-YEAR($J64))*12+MONTH(Lists!E$21)-MONTH($J64))-(EDATE($J64,((YEAR(Lists!E$21)-YEAR($J64))*12+MONTH(Lists!E$21)-MONTH($J64)))&gt;Lists!E$21)+1)))-MIN(MAX(0,$H64),N($K64)*IF(Lists!E$22&lt;$J64,0,(((YEAR(Lists!E$22)-YEAR($J64))*12+MONTH(Lists!E$22)-MONTH($J64))-(EDATE($J64,((YEAR(Lists!E$22)-YEAR($J64))*12+MONTH(Lists!E$22)-MONTH($J64)))&gt;Lists!E$22)+1)))),N($C64)*IF($AE64-$AD64&lt;1,($AD64&gt;Lists!E$22)*($AD64&lt;=Lists!E$21),MAX(0,MIN(Lists!E$21,$AE64)-MAX(Lists!E$22,$AD64))/($AE64-$AD64))+N($D64)*IF($AG64-$AF64&lt;1,($AF64&gt;Lists!E$22)*($AF64&lt;=Lists!E$21),MAX(0,MIN(Lists!E$21,$AG64)-MAX(Lists!E$22,$AF64))/($AG64-$AF64))+N($E64)*IF($AI64-$AH64&lt;1,($AH64&gt;Lists!E$22)*($AH64&lt;=Lists!E$21),MAX(0,MIN(Lists!E$21,$AI64)-MAX(Lists!E$22,$AH64))/($AI64-$AH64))+N($F64)*IF($AK64-$AJ64&lt;1,($AJ64&gt;Lists!E$22)*($AJ64&lt;=Lists!E$21),MAX(0,MIN(Lists!E$21,$AK64)-MAX(Lists!E$22,$AJ64))/($AK64-$AJ64))+N($G64)*IF($AM64-$AL64&lt;1,($AL64&gt;Lists!E$22)*($AL64&lt;=Lists!E$21),MAX(0,MIN(Lists!E$21,$AM64)-MAX(Lists!E$22,$AL64))/($AM64-$AL64))))))))</f>
        <v>0</v>
      </c>
      <c r="P64" s="53" t="n">
        <f aca="false">IF($H64=0,0,IF($AP64="X",0,IF($AP64="S",$H64/$AO64*(MIN($AO64,MAX(0,INT((Lists!F$21-N($J64))/7)+1))-MIN($AO64,MAX(0,INT((Lists!F$22-N($J64))/7)+1))),IF($AP64="D",$H64*MAX(0,MIN(Lists!F$21,N($J64)+$AO64)-MAX(Lists!F$22,N($J64)))/$AO64,IF($AP64="M",$H64/$AO64*(IF(Lists!F$21&lt;$J64,0,MIN($AO64,(((YEAR(Lists!F$21)-YEAR($J64))*12+MONTH(Lists!F$21)-MONTH($J64))-(EDATE($J64,((YEAR(Lists!F$21)-YEAR($J64))*12+MONTH(Lists!F$21)-MONTH($J64)))&gt;Lists!F$21)+1)))-IF(Lists!F$22&lt;$J64,0,MIN($AO64,(((YEAR(Lists!F$22)-YEAR($J64))*12+MONTH(Lists!F$22)-MONTH($J64))-(EDATE($J64,((YEAR(Lists!F$22)-YEAR($J64))*12+MONTH(Lists!F$22)-MONTH($J64)))&gt;Lists!F$22)+1)))),IF($AP64="F",IF(N($K64)&lt;=0,0,MIN(MAX(0,$H64),N($K64)*IF(Lists!F$21&lt;$J64,0,(((YEAR(Lists!F$21)-YEAR($J64))*12+MONTH(Lists!F$21)-MONTH($J64))-(EDATE($J64,((YEAR(Lists!F$21)-YEAR($J64))*12+MONTH(Lists!F$21)-MONTH($J64)))&gt;Lists!F$21)+1)))-MIN(MAX(0,$H64),N($K64)*IF(Lists!F$22&lt;$J64,0,(((YEAR(Lists!F$22)-YEAR($J64))*12+MONTH(Lists!F$22)-MONTH($J64))-(EDATE($J64,((YEAR(Lists!F$22)-YEAR($J64))*12+MONTH(Lists!F$22)-MONTH($J64)))&gt;Lists!F$22)+1)))),N($C64)*IF($AE64-$AD64&lt;1,($AD64&gt;Lists!F$22)*($AD64&lt;=Lists!F$21),MAX(0,MIN(Lists!F$21,$AE64)-MAX(Lists!F$22,$AD64))/($AE64-$AD64))+N($D64)*IF($AG64-$AF64&lt;1,($AF64&gt;Lists!F$22)*($AF64&lt;=Lists!F$21),MAX(0,MIN(Lists!F$21,$AG64)-MAX(Lists!F$22,$AF64))/($AG64-$AF64))+N($E64)*IF($AI64-$AH64&lt;1,($AH64&gt;Lists!F$22)*($AH64&lt;=Lists!F$21),MAX(0,MIN(Lists!F$21,$AI64)-MAX(Lists!F$22,$AH64))/($AI64-$AH64))+N($F64)*IF($AK64-$AJ64&lt;1,($AJ64&gt;Lists!F$22)*($AJ64&lt;=Lists!F$21),MAX(0,MIN(Lists!F$21,$AK64)-MAX(Lists!F$22,$AJ64))/($AK64-$AJ64))+N($G64)*IF($AM64-$AL64&lt;1,($AL64&gt;Lists!F$22)*($AL64&lt;=Lists!F$21),MAX(0,MIN(Lists!F$21,$AM64)-MAX(Lists!F$22,$AL64))/($AM64-$AL64))))))))</f>
        <v>0</v>
      </c>
      <c r="Q64" s="53" t="n">
        <f aca="false">IF($H64=0,0,IF($AP64="X",0,IF($AP64="S",$H64/$AO64*(MIN($AO64,MAX(0,INT((Lists!G$21-N($J64))/7)+1))-MIN($AO64,MAX(0,INT((Lists!G$22-N($J64))/7)+1))),IF($AP64="D",$H64*MAX(0,MIN(Lists!G$21,N($J64)+$AO64)-MAX(Lists!G$22,N($J64)))/$AO64,IF($AP64="M",$H64/$AO64*(IF(Lists!G$21&lt;$J64,0,MIN($AO64,(((YEAR(Lists!G$21)-YEAR($J64))*12+MONTH(Lists!G$21)-MONTH($J64))-(EDATE($J64,((YEAR(Lists!G$21)-YEAR($J64))*12+MONTH(Lists!G$21)-MONTH($J64)))&gt;Lists!G$21)+1)))-IF(Lists!G$22&lt;$J64,0,MIN($AO64,(((YEAR(Lists!G$22)-YEAR($J64))*12+MONTH(Lists!G$22)-MONTH($J64))-(EDATE($J64,((YEAR(Lists!G$22)-YEAR($J64))*12+MONTH(Lists!G$22)-MONTH($J64)))&gt;Lists!G$22)+1)))),IF($AP64="F",IF(N($K64)&lt;=0,0,MIN(MAX(0,$H64),N($K64)*IF(Lists!G$21&lt;$J64,0,(((YEAR(Lists!G$21)-YEAR($J64))*12+MONTH(Lists!G$21)-MONTH($J64))-(EDATE($J64,((YEAR(Lists!G$21)-YEAR($J64))*12+MONTH(Lists!G$21)-MONTH($J64)))&gt;Lists!G$21)+1)))-MIN(MAX(0,$H64),N($K64)*IF(Lists!G$22&lt;$J64,0,(((YEAR(Lists!G$22)-YEAR($J64))*12+MONTH(Lists!G$22)-MONTH($J64))-(EDATE($J64,((YEAR(Lists!G$22)-YEAR($J64))*12+MONTH(Lists!G$22)-MONTH($J64)))&gt;Lists!G$22)+1)))),N($C64)*IF($AE64-$AD64&lt;1,($AD64&gt;Lists!G$22)*($AD64&lt;=Lists!G$21),MAX(0,MIN(Lists!G$21,$AE64)-MAX(Lists!G$22,$AD64))/($AE64-$AD64))+N($D64)*IF($AG64-$AF64&lt;1,($AF64&gt;Lists!G$22)*($AF64&lt;=Lists!G$21),MAX(0,MIN(Lists!G$21,$AG64)-MAX(Lists!G$22,$AF64))/($AG64-$AF64))+N($E64)*IF($AI64-$AH64&lt;1,($AH64&gt;Lists!G$22)*($AH64&lt;=Lists!G$21),MAX(0,MIN(Lists!G$21,$AI64)-MAX(Lists!G$22,$AH64))/($AI64-$AH64))+N($F64)*IF($AK64-$AJ64&lt;1,($AJ64&gt;Lists!G$22)*($AJ64&lt;=Lists!G$21),MAX(0,MIN(Lists!G$21,$AK64)-MAX(Lists!G$22,$AJ64))/($AK64-$AJ64))+N($G64)*IF($AM64-$AL64&lt;1,($AL64&gt;Lists!G$22)*($AL64&lt;=Lists!G$21),MAX(0,MIN(Lists!G$21,$AM64)-MAX(Lists!G$22,$AL64))/($AM64-$AL64))))))))</f>
        <v>0</v>
      </c>
      <c r="R64" s="53" t="n">
        <f aca="false">IF($H64=0,0,IF($AP64="X",0,IF($AP64="S",$H64/$AO64*(MIN($AO64,MAX(0,INT((Lists!H$21-N($J64))/7)+1))-MIN($AO64,MAX(0,INT((Lists!H$22-N($J64))/7)+1))),IF($AP64="D",$H64*MAX(0,MIN(Lists!H$21,N($J64)+$AO64)-MAX(Lists!H$22,N($J64)))/$AO64,IF($AP64="M",$H64/$AO64*(IF(Lists!H$21&lt;$J64,0,MIN($AO64,(((YEAR(Lists!H$21)-YEAR($J64))*12+MONTH(Lists!H$21)-MONTH($J64))-(EDATE($J64,((YEAR(Lists!H$21)-YEAR($J64))*12+MONTH(Lists!H$21)-MONTH($J64)))&gt;Lists!H$21)+1)))-IF(Lists!H$22&lt;$J64,0,MIN($AO64,(((YEAR(Lists!H$22)-YEAR($J64))*12+MONTH(Lists!H$22)-MONTH($J64))-(EDATE($J64,((YEAR(Lists!H$22)-YEAR($J64))*12+MONTH(Lists!H$22)-MONTH($J64)))&gt;Lists!H$22)+1)))),IF($AP64="F",IF(N($K64)&lt;=0,0,MIN(MAX(0,$H64),N($K64)*IF(Lists!H$21&lt;$J64,0,(((YEAR(Lists!H$21)-YEAR($J64))*12+MONTH(Lists!H$21)-MONTH($J64))-(EDATE($J64,((YEAR(Lists!H$21)-YEAR($J64))*12+MONTH(Lists!H$21)-MONTH($J64)))&gt;Lists!H$21)+1)))-MIN(MAX(0,$H64),N($K64)*IF(Lists!H$22&lt;$J64,0,(((YEAR(Lists!H$22)-YEAR($J64))*12+MONTH(Lists!H$22)-MONTH($J64))-(EDATE($J64,((YEAR(Lists!H$22)-YEAR($J64))*12+MONTH(Lists!H$22)-MONTH($J64)))&gt;Lists!H$22)+1)))),N($C64)*IF($AE64-$AD64&lt;1,($AD64&gt;Lists!H$22)*($AD64&lt;=Lists!H$21),MAX(0,MIN(Lists!H$21,$AE64)-MAX(Lists!H$22,$AD64))/($AE64-$AD64))+N($D64)*IF($AG64-$AF64&lt;1,($AF64&gt;Lists!H$22)*($AF64&lt;=Lists!H$21),MAX(0,MIN(Lists!H$21,$AG64)-MAX(Lists!H$22,$AF64))/($AG64-$AF64))+N($E64)*IF($AI64-$AH64&lt;1,($AH64&gt;Lists!H$22)*($AH64&lt;=Lists!H$21),MAX(0,MIN(Lists!H$21,$AI64)-MAX(Lists!H$22,$AH64))/($AI64-$AH64))+N($F64)*IF($AK64-$AJ64&lt;1,($AJ64&gt;Lists!H$22)*($AJ64&lt;=Lists!H$21),MAX(0,MIN(Lists!H$21,$AK64)-MAX(Lists!H$22,$AJ64))/($AK64-$AJ64))+N($G64)*IF($AM64-$AL64&lt;1,($AL64&gt;Lists!H$22)*($AL64&lt;=Lists!H$21),MAX(0,MIN(Lists!H$21,$AM64)-MAX(Lists!H$22,$AL64))/($AM64-$AL64))))))))</f>
        <v>0</v>
      </c>
      <c r="S64" s="53" t="n">
        <f aca="false">IF($H64=0,0,IF($AP64="X",0,IF($AP64="S",$H64/$AO64*(MIN($AO64,MAX(0,INT((Lists!I$21-N($J64))/7)+1))-MIN($AO64,MAX(0,INT((Lists!I$22-N($J64))/7)+1))),IF($AP64="D",$H64*MAX(0,MIN(Lists!I$21,N($J64)+$AO64)-MAX(Lists!I$22,N($J64)))/$AO64,IF($AP64="M",$H64/$AO64*(IF(Lists!I$21&lt;$J64,0,MIN($AO64,(((YEAR(Lists!I$21)-YEAR($J64))*12+MONTH(Lists!I$21)-MONTH($J64))-(EDATE($J64,((YEAR(Lists!I$21)-YEAR($J64))*12+MONTH(Lists!I$21)-MONTH($J64)))&gt;Lists!I$21)+1)))-IF(Lists!I$22&lt;$J64,0,MIN($AO64,(((YEAR(Lists!I$22)-YEAR($J64))*12+MONTH(Lists!I$22)-MONTH($J64))-(EDATE($J64,((YEAR(Lists!I$22)-YEAR($J64))*12+MONTH(Lists!I$22)-MONTH($J64)))&gt;Lists!I$22)+1)))),IF($AP64="F",IF(N($K64)&lt;=0,0,MIN(MAX(0,$H64),N($K64)*IF(Lists!I$21&lt;$J64,0,(((YEAR(Lists!I$21)-YEAR($J64))*12+MONTH(Lists!I$21)-MONTH($J64))-(EDATE($J64,((YEAR(Lists!I$21)-YEAR($J64))*12+MONTH(Lists!I$21)-MONTH($J64)))&gt;Lists!I$21)+1)))-MIN(MAX(0,$H64),N($K64)*IF(Lists!I$22&lt;$J64,0,(((YEAR(Lists!I$22)-YEAR($J64))*12+MONTH(Lists!I$22)-MONTH($J64))-(EDATE($J64,((YEAR(Lists!I$22)-YEAR($J64))*12+MONTH(Lists!I$22)-MONTH($J64)))&gt;Lists!I$22)+1)))),N($C64)*IF($AE64-$AD64&lt;1,($AD64&gt;Lists!I$22)*($AD64&lt;=Lists!I$21),MAX(0,MIN(Lists!I$21,$AE64)-MAX(Lists!I$22,$AD64))/($AE64-$AD64))+N($D64)*IF($AG64-$AF64&lt;1,($AF64&gt;Lists!I$22)*($AF64&lt;=Lists!I$21),MAX(0,MIN(Lists!I$21,$AG64)-MAX(Lists!I$22,$AF64))/($AG64-$AF64))+N($E64)*IF($AI64-$AH64&lt;1,($AH64&gt;Lists!I$22)*($AH64&lt;=Lists!I$21),MAX(0,MIN(Lists!I$21,$AI64)-MAX(Lists!I$22,$AH64))/($AI64-$AH64))+N($F64)*IF($AK64-$AJ64&lt;1,($AJ64&gt;Lists!I$22)*($AJ64&lt;=Lists!I$21),MAX(0,MIN(Lists!I$21,$AK64)-MAX(Lists!I$22,$AJ64))/($AK64-$AJ64))+N($G64)*IF($AM64-$AL64&lt;1,($AL64&gt;Lists!I$22)*($AL64&lt;=Lists!I$21),MAX(0,MIN(Lists!I$21,$AM64)-MAX(Lists!I$22,$AL64))/($AM64-$AL64))))))))</f>
        <v>0</v>
      </c>
      <c r="T64" s="53" t="n">
        <f aca="false">IF($H64=0,0,IF($AP64="X",0,IF($AP64="S",$H64/$AO64*(MIN($AO64,MAX(0,INT((Lists!J$21-N($J64))/7)+1))-MIN($AO64,MAX(0,INT((Lists!J$22-N($J64))/7)+1))),IF($AP64="D",$H64*MAX(0,MIN(Lists!J$21,N($J64)+$AO64)-MAX(Lists!J$22,N($J64)))/$AO64,IF($AP64="M",$H64/$AO64*(IF(Lists!J$21&lt;$J64,0,MIN($AO64,(((YEAR(Lists!J$21)-YEAR($J64))*12+MONTH(Lists!J$21)-MONTH($J64))-(EDATE($J64,((YEAR(Lists!J$21)-YEAR($J64))*12+MONTH(Lists!J$21)-MONTH($J64)))&gt;Lists!J$21)+1)))-IF(Lists!J$22&lt;$J64,0,MIN($AO64,(((YEAR(Lists!J$22)-YEAR($J64))*12+MONTH(Lists!J$22)-MONTH($J64))-(EDATE($J64,((YEAR(Lists!J$22)-YEAR($J64))*12+MONTH(Lists!J$22)-MONTH($J64)))&gt;Lists!J$22)+1)))),IF($AP64="F",IF(N($K64)&lt;=0,0,MIN(MAX(0,$H64),N($K64)*IF(Lists!J$21&lt;$J64,0,(((YEAR(Lists!J$21)-YEAR($J64))*12+MONTH(Lists!J$21)-MONTH($J64))-(EDATE($J64,((YEAR(Lists!J$21)-YEAR($J64))*12+MONTH(Lists!J$21)-MONTH($J64)))&gt;Lists!J$21)+1)))-MIN(MAX(0,$H64),N($K64)*IF(Lists!J$22&lt;$J64,0,(((YEAR(Lists!J$22)-YEAR($J64))*12+MONTH(Lists!J$22)-MONTH($J64))-(EDATE($J64,((YEAR(Lists!J$22)-YEAR($J64))*12+MONTH(Lists!J$22)-MONTH($J64)))&gt;Lists!J$22)+1)))),N($C64)*IF($AE64-$AD64&lt;1,($AD64&gt;Lists!J$22)*($AD64&lt;=Lists!J$21),MAX(0,MIN(Lists!J$21,$AE64)-MAX(Lists!J$22,$AD64))/($AE64-$AD64))+N($D64)*IF($AG64-$AF64&lt;1,($AF64&gt;Lists!J$22)*($AF64&lt;=Lists!J$21),MAX(0,MIN(Lists!J$21,$AG64)-MAX(Lists!J$22,$AF64))/($AG64-$AF64))+N($E64)*IF($AI64-$AH64&lt;1,($AH64&gt;Lists!J$22)*($AH64&lt;=Lists!J$21),MAX(0,MIN(Lists!J$21,$AI64)-MAX(Lists!J$22,$AH64))/($AI64-$AH64))+N($F64)*IF($AK64-$AJ64&lt;1,($AJ64&gt;Lists!J$22)*($AJ64&lt;=Lists!J$21),MAX(0,MIN(Lists!J$21,$AK64)-MAX(Lists!J$22,$AJ64))/($AK64-$AJ64))+N($G64)*IF($AM64-$AL64&lt;1,($AL64&gt;Lists!J$22)*($AL64&lt;=Lists!J$21),MAX(0,MIN(Lists!J$21,$AM64)-MAX(Lists!J$22,$AL64))/($AM64-$AL64))))))))</f>
        <v>0</v>
      </c>
      <c r="U64" s="53" t="n">
        <f aca="false">IF($H64=0,0,IF($AP64="X",0,IF($AP64="S",$H64/$AO64*(MIN($AO64,MAX(0,INT((Lists!K$21-N($J64))/7)+1))-MIN($AO64,MAX(0,INT((Lists!K$22-N($J64))/7)+1))),IF($AP64="D",$H64*MAX(0,MIN(Lists!K$21,N($J64)+$AO64)-MAX(Lists!K$22,N($J64)))/$AO64,IF($AP64="M",$H64/$AO64*(IF(Lists!K$21&lt;$J64,0,MIN($AO64,(((YEAR(Lists!K$21)-YEAR($J64))*12+MONTH(Lists!K$21)-MONTH($J64))-(EDATE($J64,((YEAR(Lists!K$21)-YEAR($J64))*12+MONTH(Lists!K$21)-MONTH($J64)))&gt;Lists!K$21)+1)))-IF(Lists!K$22&lt;$J64,0,MIN($AO64,(((YEAR(Lists!K$22)-YEAR($J64))*12+MONTH(Lists!K$22)-MONTH($J64))-(EDATE($J64,((YEAR(Lists!K$22)-YEAR($J64))*12+MONTH(Lists!K$22)-MONTH($J64)))&gt;Lists!K$22)+1)))),IF($AP64="F",IF(N($K64)&lt;=0,0,MIN(MAX(0,$H64),N($K64)*IF(Lists!K$21&lt;$J64,0,(((YEAR(Lists!K$21)-YEAR($J64))*12+MONTH(Lists!K$21)-MONTH($J64))-(EDATE($J64,((YEAR(Lists!K$21)-YEAR($J64))*12+MONTH(Lists!K$21)-MONTH($J64)))&gt;Lists!K$21)+1)))-MIN(MAX(0,$H64),N($K64)*IF(Lists!K$22&lt;$J64,0,(((YEAR(Lists!K$22)-YEAR($J64))*12+MONTH(Lists!K$22)-MONTH($J64))-(EDATE($J64,((YEAR(Lists!K$22)-YEAR($J64))*12+MONTH(Lists!K$22)-MONTH($J64)))&gt;Lists!K$22)+1)))),N($C64)*IF($AE64-$AD64&lt;1,($AD64&gt;Lists!K$22)*($AD64&lt;=Lists!K$21),MAX(0,MIN(Lists!K$21,$AE64)-MAX(Lists!K$22,$AD64))/($AE64-$AD64))+N($D64)*IF($AG64-$AF64&lt;1,($AF64&gt;Lists!K$22)*($AF64&lt;=Lists!K$21),MAX(0,MIN(Lists!K$21,$AG64)-MAX(Lists!K$22,$AF64))/($AG64-$AF64))+N($E64)*IF($AI64-$AH64&lt;1,($AH64&gt;Lists!K$22)*($AH64&lt;=Lists!K$21),MAX(0,MIN(Lists!K$21,$AI64)-MAX(Lists!K$22,$AH64))/($AI64-$AH64))+N($F64)*IF($AK64-$AJ64&lt;1,($AJ64&gt;Lists!K$22)*($AJ64&lt;=Lists!K$21),MAX(0,MIN(Lists!K$21,$AK64)-MAX(Lists!K$22,$AJ64))/($AK64-$AJ64))+N($G64)*IF($AM64-$AL64&lt;1,($AL64&gt;Lists!K$22)*($AL64&lt;=Lists!K$21),MAX(0,MIN(Lists!K$21,$AM64)-MAX(Lists!K$22,$AL64))/($AM64-$AL64))))))))</f>
        <v>0</v>
      </c>
      <c r="V64" s="53" t="n">
        <f aca="false">IF($H64=0,0,IF($AP64="X",0,IF($AP64="S",$H64/$AO64*(MIN($AO64,MAX(0,INT((Lists!L$21-N($J64))/7)+1))-MIN($AO64,MAX(0,INT((Lists!L$22-N($J64))/7)+1))),IF($AP64="D",$H64*MAX(0,MIN(Lists!L$21,N($J64)+$AO64)-MAX(Lists!L$22,N($J64)))/$AO64,IF($AP64="M",$H64/$AO64*(IF(Lists!L$21&lt;$J64,0,MIN($AO64,(((YEAR(Lists!L$21)-YEAR($J64))*12+MONTH(Lists!L$21)-MONTH($J64))-(EDATE($J64,((YEAR(Lists!L$21)-YEAR($J64))*12+MONTH(Lists!L$21)-MONTH($J64)))&gt;Lists!L$21)+1)))-IF(Lists!L$22&lt;$J64,0,MIN($AO64,(((YEAR(Lists!L$22)-YEAR($J64))*12+MONTH(Lists!L$22)-MONTH($J64))-(EDATE($J64,((YEAR(Lists!L$22)-YEAR($J64))*12+MONTH(Lists!L$22)-MONTH($J64)))&gt;Lists!L$22)+1)))),IF($AP64="F",IF(N($K64)&lt;=0,0,MIN(MAX(0,$H64),N($K64)*IF(Lists!L$21&lt;$J64,0,(((YEAR(Lists!L$21)-YEAR($J64))*12+MONTH(Lists!L$21)-MONTH($J64))-(EDATE($J64,((YEAR(Lists!L$21)-YEAR($J64))*12+MONTH(Lists!L$21)-MONTH($J64)))&gt;Lists!L$21)+1)))-MIN(MAX(0,$H64),N($K64)*IF(Lists!L$22&lt;$J64,0,(((YEAR(Lists!L$22)-YEAR($J64))*12+MONTH(Lists!L$22)-MONTH($J64))-(EDATE($J64,((YEAR(Lists!L$22)-YEAR($J64))*12+MONTH(Lists!L$22)-MONTH($J64)))&gt;Lists!L$22)+1)))),N($C64)*IF($AE64-$AD64&lt;1,($AD64&gt;Lists!L$22)*($AD64&lt;=Lists!L$21),MAX(0,MIN(Lists!L$21,$AE64)-MAX(Lists!L$22,$AD64))/($AE64-$AD64))+N($D64)*IF($AG64-$AF64&lt;1,($AF64&gt;Lists!L$22)*($AF64&lt;=Lists!L$21),MAX(0,MIN(Lists!L$21,$AG64)-MAX(Lists!L$22,$AF64))/($AG64-$AF64))+N($E64)*IF($AI64-$AH64&lt;1,($AH64&gt;Lists!L$22)*($AH64&lt;=Lists!L$21),MAX(0,MIN(Lists!L$21,$AI64)-MAX(Lists!L$22,$AH64))/($AI64-$AH64))+N($F64)*IF($AK64-$AJ64&lt;1,($AJ64&gt;Lists!L$22)*($AJ64&lt;=Lists!L$21),MAX(0,MIN(Lists!L$21,$AK64)-MAX(Lists!L$22,$AJ64))/($AK64-$AJ64))+N($G64)*IF($AM64-$AL64&lt;1,($AL64&gt;Lists!L$22)*($AL64&lt;=Lists!L$21),MAX(0,MIN(Lists!L$21,$AM64)-MAX(Lists!L$22,$AL64))/($AM64-$AL64))))))))</f>
        <v>0</v>
      </c>
      <c r="W64" s="53" t="n">
        <f aca="false">IF($H64=0,0,IF($AP64="X",0,IF($AP64="S",$H64/$AO64*(MIN($AO64,MAX(0,INT((Lists!M$21-N($J64))/7)+1))-MIN($AO64,MAX(0,INT((Lists!M$22-N($J64))/7)+1))),IF($AP64="D",$H64*MAX(0,MIN(Lists!M$21,N($J64)+$AO64)-MAX(Lists!M$22,N($J64)))/$AO64,IF($AP64="M",$H64/$AO64*(IF(Lists!M$21&lt;$J64,0,MIN($AO64,(((YEAR(Lists!M$21)-YEAR($J64))*12+MONTH(Lists!M$21)-MONTH($J64))-(EDATE($J64,((YEAR(Lists!M$21)-YEAR($J64))*12+MONTH(Lists!M$21)-MONTH($J64)))&gt;Lists!M$21)+1)))-IF(Lists!M$22&lt;$J64,0,MIN($AO64,(((YEAR(Lists!M$22)-YEAR($J64))*12+MONTH(Lists!M$22)-MONTH($J64))-(EDATE($J64,((YEAR(Lists!M$22)-YEAR($J64))*12+MONTH(Lists!M$22)-MONTH($J64)))&gt;Lists!M$22)+1)))),IF($AP64="F",IF(N($K64)&lt;=0,0,MIN(MAX(0,$H64),N($K64)*IF(Lists!M$21&lt;$J64,0,(((YEAR(Lists!M$21)-YEAR($J64))*12+MONTH(Lists!M$21)-MONTH($J64))-(EDATE($J64,((YEAR(Lists!M$21)-YEAR($J64))*12+MONTH(Lists!M$21)-MONTH($J64)))&gt;Lists!M$21)+1)))-MIN(MAX(0,$H64),N($K64)*IF(Lists!M$22&lt;$J64,0,(((YEAR(Lists!M$22)-YEAR($J64))*12+MONTH(Lists!M$22)-MONTH($J64))-(EDATE($J64,((YEAR(Lists!M$22)-YEAR($J64))*12+MONTH(Lists!M$22)-MONTH($J64)))&gt;Lists!M$22)+1)))),N($C64)*IF($AE64-$AD64&lt;1,($AD64&gt;Lists!M$22)*($AD64&lt;=Lists!M$21),MAX(0,MIN(Lists!M$21,$AE64)-MAX(Lists!M$22,$AD64))/($AE64-$AD64))+N($D64)*IF($AG64-$AF64&lt;1,($AF64&gt;Lists!M$22)*($AF64&lt;=Lists!M$21),MAX(0,MIN(Lists!M$21,$AG64)-MAX(Lists!M$22,$AF64))/($AG64-$AF64))+N($E64)*IF($AI64-$AH64&lt;1,($AH64&gt;Lists!M$22)*($AH64&lt;=Lists!M$21),MAX(0,MIN(Lists!M$21,$AI64)-MAX(Lists!M$22,$AH64))/($AI64-$AH64))+N($F64)*IF($AK64-$AJ64&lt;1,($AJ64&gt;Lists!M$22)*($AJ64&lt;=Lists!M$21),MAX(0,MIN(Lists!M$21,$AK64)-MAX(Lists!M$22,$AJ64))/($AK64-$AJ64))+N($G64)*IF($AM64-$AL64&lt;1,($AL64&gt;Lists!M$22)*($AL64&lt;=Lists!M$21),MAX(0,MIN(Lists!M$21,$AM64)-MAX(Lists!M$22,$AL64))/($AM64-$AL64))))))))</f>
        <v>0</v>
      </c>
      <c r="X64" s="53" t="n">
        <f aca="false">IF($H64=0,0,IF($AP64="X",0,IF($AP64="S",$H64/$AO64*(MIN($AO64,MAX(0,INT((Lists!N$21-N($J64))/7)+1))-MIN($AO64,MAX(0,INT((Lists!N$22-N($J64))/7)+1))),IF($AP64="D",$H64*MAX(0,MIN(Lists!N$21,N($J64)+$AO64)-MAX(Lists!N$22,N($J64)))/$AO64,IF($AP64="M",$H64/$AO64*(IF(Lists!N$21&lt;$J64,0,MIN($AO64,(((YEAR(Lists!N$21)-YEAR($J64))*12+MONTH(Lists!N$21)-MONTH($J64))-(EDATE($J64,((YEAR(Lists!N$21)-YEAR($J64))*12+MONTH(Lists!N$21)-MONTH($J64)))&gt;Lists!N$21)+1)))-IF(Lists!N$22&lt;$J64,0,MIN($AO64,(((YEAR(Lists!N$22)-YEAR($J64))*12+MONTH(Lists!N$22)-MONTH($J64))-(EDATE($J64,((YEAR(Lists!N$22)-YEAR($J64))*12+MONTH(Lists!N$22)-MONTH($J64)))&gt;Lists!N$22)+1)))),IF($AP64="F",IF(N($K64)&lt;=0,0,MIN(MAX(0,$H64),N($K64)*IF(Lists!N$21&lt;$J64,0,(((YEAR(Lists!N$21)-YEAR($J64))*12+MONTH(Lists!N$21)-MONTH($J64))-(EDATE($J64,((YEAR(Lists!N$21)-YEAR($J64))*12+MONTH(Lists!N$21)-MONTH($J64)))&gt;Lists!N$21)+1)))-MIN(MAX(0,$H64),N($K64)*IF(Lists!N$22&lt;$J64,0,(((YEAR(Lists!N$22)-YEAR($J64))*12+MONTH(Lists!N$22)-MONTH($J64))-(EDATE($J64,((YEAR(Lists!N$22)-YEAR($J64))*12+MONTH(Lists!N$22)-MONTH($J64)))&gt;Lists!N$22)+1)))),N($C64)*IF($AE64-$AD64&lt;1,($AD64&gt;Lists!N$22)*($AD64&lt;=Lists!N$21),MAX(0,MIN(Lists!N$21,$AE64)-MAX(Lists!N$22,$AD64))/($AE64-$AD64))+N($D64)*IF($AG64-$AF64&lt;1,($AF64&gt;Lists!N$22)*($AF64&lt;=Lists!N$21),MAX(0,MIN(Lists!N$21,$AG64)-MAX(Lists!N$22,$AF64))/($AG64-$AF64))+N($E64)*IF($AI64-$AH64&lt;1,($AH64&gt;Lists!N$22)*($AH64&lt;=Lists!N$21),MAX(0,MIN(Lists!N$21,$AI64)-MAX(Lists!N$22,$AH64))/($AI64-$AH64))+N($F64)*IF($AK64-$AJ64&lt;1,($AJ64&gt;Lists!N$22)*($AJ64&lt;=Lists!N$21),MAX(0,MIN(Lists!N$21,$AK64)-MAX(Lists!N$22,$AJ64))/($AK64-$AJ64))+N($G64)*IF($AM64-$AL64&lt;1,($AL64&gt;Lists!N$22)*($AL64&lt;=Lists!N$21),MAX(0,MIN(Lists!N$21,$AM64)-MAX(Lists!N$22,$AL64))/($AM64-$AL64))))))))</f>
        <v>0</v>
      </c>
      <c r="Y64" s="53" t="n">
        <f aca="false">IF($H64=0,0,IF($AP64="X",0,IF($AP64="S",$H64/$AO64*(MIN($AO64,MAX(0,INT((Lists!O$21-N($J64))/7)+1))-MIN($AO64,MAX(0,INT((Lists!O$22-N($J64))/7)+1))),IF($AP64="D",$H64*MAX(0,MIN(Lists!O$21,N($J64)+$AO64)-MAX(Lists!O$22,N($J64)))/$AO64,IF($AP64="M",$H64/$AO64*(IF(Lists!O$21&lt;$J64,0,MIN($AO64,(((YEAR(Lists!O$21)-YEAR($J64))*12+MONTH(Lists!O$21)-MONTH($J64))-(EDATE($J64,((YEAR(Lists!O$21)-YEAR($J64))*12+MONTH(Lists!O$21)-MONTH($J64)))&gt;Lists!O$21)+1)))-IF(Lists!O$22&lt;$J64,0,MIN($AO64,(((YEAR(Lists!O$22)-YEAR($J64))*12+MONTH(Lists!O$22)-MONTH($J64))-(EDATE($J64,((YEAR(Lists!O$22)-YEAR($J64))*12+MONTH(Lists!O$22)-MONTH($J64)))&gt;Lists!O$22)+1)))),IF($AP64="F",IF(N($K64)&lt;=0,0,MIN(MAX(0,$H64),N($K64)*IF(Lists!O$21&lt;$J64,0,(((YEAR(Lists!O$21)-YEAR($J64))*12+MONTH(Lists!O$21)-MONTH($J64))-(EDATE($J64,((YEAR(Lists!O$21)-YEAR($J64))*12+MONTH(Lists!O$21)-MONTH($J64)))&gt;Lists!O$21)+1)))-MIN(MAX(0,$H64),N($K64)*IF(Lists!O$22&lt;$J64,0,(((YEAR(Lists!O$22)-YEAR($J64))*12+MONTH(Lists!O$22)-MONTH($J64))-(EDATE($J64,((YEAR(Lists!O$22)-YEAR($J64))*12+MONTH(Lists!O$22)-MONTH($J64)))&gt;Lists!O$22)+1)))),N($C64)*IF($AE64-$AD64&lt;1,($AD64&gt;Lists!O$22)*($AD64&lt;=Lists!O$21),MAX(0,MIN(Lists!O$21,$AE64)-MAX(Lists!O$22,$AD64))/($AE64-$AD64))+N($D64)*IF($AG64-$AF64&lt;1,($AF64&gt;Lists!O$22)*($AF64&lt;=Lists!O$21),MAX(0,MIN(Lists!O$21,$AG64)-MAX(Lists!O$22,$AF64))/($AG64-$AF64))+N($E64)*IF($AI64-$AH64&lt;1,($AH64&gt;Lists!O$22)*($AH64&lt;=Lists!O$21),MAX(0,MIN(Lists!O$21,$AI64)-MAX(Lists!O$22,$AH64))/($AI64-$AH64))+N($F64)*IF($AK64-$AJ64&lt;1,($AJ64&gt;Lists!O$22)*($AJ64&lt;=Lists!O$21),MAX(0,MIN(Lists!O$21,$AK64)-MAX(Lists!O$22,$AJ64))/($AK64-$AJ64))+N($G64)*IF($AM64-$AL64&lt;1,($AL64&gt;Lists!O$22)*($AL64&lt;=Lists!O$21),MAX(0,MIN(Lists!O$21,$AM64)-MAX(Lists!O$22,$AL64))/($AM64-$AL64))))))))</f>
        <v>0</v>
      </c>
      <c r="Z64" s="46" t="n">
        <f aca="false">SUM(M64:Y64)</f>
        <v>0</v>
      </c>
      <c r="AA64" s="92" t="n">
        <f aca="false">H64-Z64</f>
        <v>0</v>
      </c>
      <c r="AB64" s="55"/>
      <c r="AC64" s="2"/>
      <c r="AD64" s="93" t="n">
        <f aca="false">Setup!$D$10+MAX(0,$AN64-30)</f>
        <v>46365</v>
      </c>
      <c r="AE64" s="93" t="n">
        <f aca="false">Setup!$D$10+IF($AN64-30&lt;0,MAX(Setup!$D$22,$AN64-0),$AN64-0)</f>
        <v>46395</v>
      </c>
      <c r="AF64" s="93" t="n">
        <f aca="false">Setup!$D$10+MAX(0,$AN64-60)</f>
        <v>46335</v>
      </c>
      <c r="AG64" s="93" t="n">
        <f aca="false">Setup!$D$10+IF($AN64-60&lt;0,MAX(Setup!$D$22,$AN64-31),$AN64-31)</f>
        <v>46364</v>
      </c>
      <c r="AH64" s="93" t="n">
        <f aca="false">Setup!$D$10+MAX(0,$AN64-90)</f>
        <v>46335</v>
      </c>
      <c r="AI64" s="93" t="n">
        <f aca="false">Setup!$D$10+IF($AN64-90&lt;0,MAX(Setup!$D$22,$AN64-61),$AN64-61)</f>
        <v>46363</v>
      </c>
      <c r="AJ64" s="93" t="n">
        <f aca="false">Setup!$D$10+MAX(0,$AN64-120)</f>
        <v>46335</v>
      </c>
      <c r="AK64" s="93" t="n">
        <f aca="false">Setup!$D$10+IF($AN64-120&lt;0,MAX(Setup!$D$22,$AN64-91),$AN64-91)</f>
        <v>46363</v>
      </c>
      <c r="AL64" s="93" t="n">
        <f aca="false">IF(Setup!$D$23="Yes",2958465,Setup!$D$10)</f>
        <v>2958465</v>
      </c>
      <c r="AM64" s="93" t="n">
        <f aca="false">IF(AL64=2958465,AL64,Setup!$D$10+Setup!$D$22)</f>
        <v>2958465</v>
      </c>
      <c r="AN64" s="94" t="n">
        <f aca="false">IF(N(L64)=0,Setup!$D$20,L64)</f>
        <v>60</v>
      </c>
      <c r="AO64" s="94" t="n">
        <f aca="false">MAX(1,ROUND(N(K64),0))</f>
        <v>1</v>
      </c>
      <c r="AP64" s="95" t="str">
        <f aca="false">IF(I64="Doubtful","X",IF(N(J64)=0,"A",IF(I64="Specific date","S",IF(I64="Spread over days","D",IF(I64="Monthly on set day","M",IF(I64="Monthly fixed amount","F","A"))))))</f>
        <v>A</v>
      </c>
    </row>
    <row r="65" customFormat="false" ht="15" hidden="false" customHeight="false" outlineLevel="0" collapsed="false">
      <c r="A65" s="87" t="n">
        <v>57</v>
      </c>
      <c r="B65" s="55"/>
      <c r="C65" s="88"/>
      <c r="D65" s="88"/>
      <c r="E65" s="88"/>
      <c r="F65" s="88"/>
      <c r="G65" s="88"/>
      <c r="H65" s="89" t="n">
        <f aca="false">SUM(C65:G65)</f>
        <v>0</v>
      </c>
      <c r="I65" s="58"/>
      <c r="J65" s="90"/>
      <c r="K65" s="91"/>
      <c r="L65" s="80"/>
      <c r="M65" s="53" t="n">
        <f aca="false">IF($H65=0,0,IF($AP65="X",0,IF($AP65="S",$H65/$AO65*(MIN($AO65,MAX(0,INT((Lists!C$21-N($J65))/7)+1))-MIN($AO65,MAX(0,INT((Lists!C$22-N($J65))/7)+1))),IF($AP65="D",$H65*MAX(0,MIN(Lists!C$21,N($J65)+$AO65)-MAX(Lists!C$22,N($J65)))/$AO65,IF($AP65="M",$H65/$AO65*(IF(Lists!C$21&lt;$J65,0,MIN($AO65,(((YEAR(Lists!C$21)-YEAR($J65))*12+MONTH(Lists!C$21)-MONTH($J65))-(EDATE($J65,((YEAR(Lists!C$21)-YEAR($J65))*12+MONTH(Lists!C$21)-MONTH($J65)))&gt;Lists!C$21)+1)))-IF(Lists!C$22&lt;$J65,0,MIN($AO65,(((YEAR(Lists!C$22)-YEAR($J65))*12+MONTH(Lists!C$22)-MONTH($J65))-(EDATE($J65,((YEAR(Lists!C$22)-YEAR($J65))*12+MONTH(Lists!C$22)-MONTH($J65)))&gt;Lists!C$22)+1)))),IF($AP65="F",IF(N($K65)&lt;=0,0,MIN(MAX(0,$H65),N($K65)*IF(Lists!C$21&lt;$J65,0,(((YEAR(Lists!C$21)-YEAR($J65))*12+MONTH(Lists!C$21)-MONTH($J65))-(EDATE($J65,((YEAR(Lists!C$21)-YEAR($J65))*12+MONTH(Lists!C$21)-MONTH($J65)))&gt;Lists!C$21)+1)))-MIN(MAX(0,$H65),N($K65)*IF(Lists!C$22&lt;$J65,0,(((YEAR(Lists!C$22)-YEAR($J65))*12+MONTH(Lists!C$22)-MONTH($J65))-(EDATE($J65,((YEAR(Lists!C$22)-YEAR($J65))*12+MONTH(Lists!C$22)-MONTH($J65)))&gt;Lists!C$22)+1)))),N($C65)*IF($AE65-$AD65&lt;1,($AD65&gt;Lists!C$22)*($AD65&lt;=Lists!C$21),MAX(0,MIN(Lists!C$21,$AE65)-MAX(Lists!C$22,$AD65))/($AE65-$AD65))+N($D65)*IF($AG65-$AF65&lt;1,($AF65&gt;Lists!C$22)*($AF65&lt;=Lists!C$21),MAX(0,MIN(Lists!C$21,$AG65)-MAX(Lists!C$22,$AF65))/($AG65-$AF65))+N($E65)*IF($AI65-$AH65&lt;1,($AH65&gt;Lists!C$22)*($AH65&lt;=Lists!C$21),MAX(0,MIN(Lists!C$21,$AI65)-MAX(Lists!C$22,$AH65))/($AI65-$AH65))+N($F65)*IF($AK65-$AJ65&lt;1,($AJ65&gt;Lists!C$22)*($AJ65&lt;=Lists!C$21),MAX(0,MIN(Lists!C$21,$AK65)-MAX(Lists!C$22,$AJ65))/($AK65-$AJ65))+N($G65)*IF($AM65-$AL65&lt;1,($AL65&gt;Lists!C$22)*($AL65&lt;=Lists!C$21),MAX(0,MIN(Lists!C$21,$AM65)-MAX(Lists!C$22,$AL65))/($AM65-$AL65))))))))</f>
        <v>0</v>
      </c>
      <c r="N65" s="53" t="n">
        <f aca="false">IF($H65=0,0,IF($AP65="X",0,IF($AP65="S",$H65/$AO65*(MIN($AO65,MAX(0,INT((Lists!D$21-N($J65))/7)+1))-MIN($AO65,MAX(0,INT((Lists!D$22-N($J65))/7)+1))),IF($AP65="D",$H65*MAX(0,MIN(Lists!D$21,N($J65)+$AO65)-MAX(Lists!D$22,N($J65)))/$AO65,IF($AP65="M",$H65/$AO65*(IF(Lists!D$21&lt;$J65,0,MIN($AO65,(((YEAR(Lists!D$21)-YEAR($J65))*12+MONTH(Lists!D$21)-MONTH($J65))-(EDATE($J65,((YEAR(Lists!D$21)-YEAR($J65))*12+MONTH(Lists!D$21)-MONTH($J65)))&gt;Lists!D$21)+1)))-IF(Lists!D$22&lt;$J65,0,MIN($AO65,(((YEAR(Lists!D$22)-YEAR($J65))*12+MONTH(Lists!D$22)-MONTH($J65))-(EDATE($J65,((YEAR(Lists!D$22)-YEAR($J65))*12+MONTH(Lists!D$22)-MONTH($J65)))&gt;Lists!D$22)+1)))),IF($AP65="F",IF(N($K65)&lt;=0,0,MIN(MAX(0,$H65),N($K65)*IF(Lists!D$21&lt;$J65,0,(((YEAR(Lists!D$21)-YEAR($J65))*12+MONTH(Lists!D$21)-MONTH($J65))-(EDATE($J65,((YEAR(Lists!D$21)-YEAR($J65))*12+MONTH(Lists!D$21)-MONTH($J65)))&gt;Lists!D$21)+1)))-MIN(MAX(0,$H65),N($K65)*IF(Lists!D$22&lt;$J65,0,(((YEAR(Lists!D$22)-YEAR($J65))*12+MONTH(Lists!D$22)-MONTH($J65))-(EDATE($J65,((YEAR(Lists!D$22)-YEAR($J65))*12+MONTH(Lists!D$22)-MONTH($J65)))&gt;Lists!D$22)+1)))),N($C65)*IF($AE65-$AD65&lt;1,($AD65&gt;Lists!D$22)*($AD65&lt;=Lists!D$21),MAX(0,MIN(Lists!D$21,$AE65)-MAX(Lists!D$22,$AD65))/($AE65-$AD65))+N($D65)*IF($AG65-$AF65&lt;1,($AF65&gt;Lists!D$22)*($AF65&lt;=Lists!D$21),MAX(0,MIN(Lists!D$21,$AG65)-MAX(Lists!D$22,$AF65))/($AG65-$AF65))+N($E65)*IF($AI65-$AH65&lt;1,($AH65&gt;Lists!D$22)*($AH65&lt;=Lists!D$21),MAX(0,MIN(Lists!D$21,$AI65)-MAX(Lists!D$22,$AH65))/($AI65-$AH65))+N($F65)*IF($AK65-$AJ65&lt;1,($AJ65&gt;Lists!D$22)*($AJ65&lt;=Lists!D$21),MAX(0,MIN(Lists!D$21,$AK65)-MAX(Lists!D$22,$AJ65))/($AK65-$AJ65))+N($G65)*IF($AM65-$AL65&lt;1,($AL65&gt;Lists!D$22)*($AL65&lt;=Lists!D$21),MAX(0,MIN(Lists!D$21,$AM65)-MAX(Lists!D$22,$AL65))/($AM65-$AL65))))))))</f>
        <v>0</v>
      </c>
      <c r="O65" s="53" t="n">
        <f aca="false">IF($H65=0,0,IF($AP65="X",0,IF($AP65="S",$H65/$AO65*(MIN($AO65,MAX(0,INT((Lists!E$21-N($J65))/7)+1))-MIN($AO65,MAX(0,INT((Lists!E$22-N($J65))/7)+1))),IF($AP65="D",$H65*MAX(0,MIN(Lists!E$21,N($J65)+$AO65)-MAX(Lists!E$22,N($J65)))/$AO65,IF($AP65="M",$H65/$AO65*(IF(Lists!E$21&lt;$J65,0,MIN($AO65,(((YEAR(Lists!E$21)-YEAR($J65))*12+MONTH(Lists!E$21)-MONTH($J65))-(EDATE($J65,((YEAR(Lists!E$21)-YEAR($J65))*12+MONTH(Lists!E$21)-MONTH($J65)))&gt;Lists!E$21)+1)))-IF(Lists!E$22&lt;$J65,0,MIN($AO65,(((YEAR(Lists!E$22)-YEAR($J65))*12+MONTH(Lists!E$22)-MONTH($J65))-(EDATE($J65,((YEAR(Lists!E$22)-YEAR($J65))*12+MONTH(Lists!E$22)-MONTH($J65)))&gt;Lists!E$22)+1)))),IF($AP65="F",IF(N($K65)&lt;=0,0,MIN(MAX(0,$H65),N($K65)*IF(Lists!E$21&lt;$J65,0,(((YEAR(Lists!E$21)-YEAR($J65))*12+MONTH(Lists!E$21)-MONTH($J65))-(EDATE($J65,((YEAR(Lists!E$21)-YEAR($J65))*12+MONTH(Lists!E$21)-MONTH($J65)))&gt;Lists!E$21)+1)))-MIN(MAX(0,$H65),N($K65)*IF(Lists!E$22&lt;$J65,0,(((YEAR(Lists!E$22)-YEAR($J65))*12+MONTH(Lists!E$22)-MONTH($J65))-(EDATE($J65,((YEAR(Lists!E$22)-YEAR($J65))*12+MONTH(Lists!E$22)-MONTH($J65)))&gt;Lists!E$22)+1)))),N($C65)*IF($AE65-$AD65&lt;1,($AD65&gt;Lists!E$22)*($AD65&lt;=Lists!E$21),MAX(0,MIN(Lists!E$21,$AE65)-MAX(Lists!E$22,$AD65))/($AE65-$AD65))+N($D65)*IF($AG65-$AF65&lt;1,($AF65&gt;Lists!E$22)*($AF65&lt;=Lists!E$21),MAX(0,MIN(Lists!E$21,$AG65)-MAX(Lists!E$22,$AF65))/($AG65-$AF65))+N($E65)*IF($AI65-$AH65&lt;1,($AH65&gt;Lists!E$22)*($AH65&lt;=Lists!E$21),MAX(0,MIN(Lists!E$21,$AI65)-MAX(Lists!E$22,$AH65))/($AI65-$AH65))+N($F65)*IF($AK65-$AJ65&lt;1,($AJ65&gt;Lists!E$22)*($AJ65&lt;=Lists!E$21),MAX(0,MIN(Lists!E$21,$AK65)-MAX(Lists!E$22,$AJ65))/($AK65-$AJ65))+N($G65)*IF($AM65-$AL65&lt;1,($AL65&gt;Lists!E$22)*($AL65&lt;=Lists!E$21),MAX(0,MIN(Lists!E$21,$AM65)-MAX(Lists!E$22,$AL65))/($AM65-$AL65))))))))</f>
        <v>0</v>
      </c>
      <c r="P65" s="53" t="n">
        <f aca="false">IF($H65=0,0,IF($AP65="X",0,IF($AP65="S",$H65/$AO65*(MIN($AO65,MAX(0,INT((Lists!F$21-N($J65))/7)+1))-MIN($AO65,MAX(0,INT((Lists!F$22-N($J65))/7)+1))),IF($AP65="D",$H65*MAX(0,MIN(Lists!F$21,N($J65)+$AO65)-MAX(Lists!F$22,N($J65)))/$AO65,IF($AP65="M",$H65/$AO65*(IF(Lists!F$21&lt;$J65,0,MIN($AO65,(((YEAR(Lists!F$21)-YEAR($J65))*12+MONTH(Lists!F$21)-MONTH($J65))-(EDATE($J65,((YEAR(Lists!F$21)-YEAR($J65))*12+MONTH(Lists!F$21)-MONTH($J65)))&gt;Lists!F$21)+1)))-IF(Lists!F$22&lt;$J65,0,MIN($AO65,(((YEAR(Lists!F$22)-YEAR($J65))*12+MONTH(Lists!F$22)-MONTH($J65))-(EDATE($J65,((YEAR(Lists!F$22)-YEAR($J65))*12+MONTH(Lists!F$22)-MONTH($J65)))&gt;Lists!F$22)+1)))),IF($AP65="F",IF(N($K65)&lt;=0,0,MIN(MAX(0,$H65),N($K65)*IF(Lists!F$21&lt;$J65,0,(((YEAR(Lists!F$21)-YEAR($J65))*12+MONTH(Lists!F$21)-MONTH($J65))-(EDATE($J65,((YEAR(Lists!F$21)-YEAR($J65))*12+MONTH(Lists!F$21)-MONTH($J65)))&gt;Lists!F$21)+1)))-MIN(MAX(0,$H65),N($K65)*IF(Lists!F$22&lt;$J65,0,(((YEAR(Lists!F$22)-YEAR($J65))*12+MONTH(Lists!F$22)-MONTH($J65))-(EDATE($J65,((YEAR(Lists!F$22)-YEAR($J65))*12+MONTH(Lists!F$22)-MONTH($J65)))&gt;Lists!F$22)+1)))),N($C65)*IF($AE65-$AD65&lt;1,($AD65&gt;Lists!F$22)*($AD65&lt;=Lists!F$21),MAX(0,MIN(Lists!F$21,$AE65)-MAX(Lists!F$22,$AD65))/($AE65-$AD65))+N($D65)*IF($AG65-$AF65&lt;1,($AF65&gt;Lists!F$22)*($AF65&lt;=Lists!F$21),MAX(0,MIN(Lists!F$21,$AG65)-MAX(Lists!F$22,$AF65))/($AG65-$AF65))+N($E65)*IF($AI65-$AH65&lt;1,($AH65&gt;Lists!F$22)*($AH65&lt;=Lists!F$21),MAX(0,MIN(Lists!F$21,$AI65)-MAX(Lists!F$22,$AH65))/($AI65-$AH65))+N($F65)*IF($AK65-$AJ65&lt;1,($AJ65&gt;Lists!F$22)*($AJ65&lt;=Lists!F$21),MAX(0,MIN(Lists!F$21,$AK65)-MAX(Lists!F$22,$AJ65))/($AK65-$AJ65))+N($G65)*IF($AM65-$AL65&lt;1,($AL65&gt;Lists!F$22)*($AL65&lt;=Lists!F$21),MAX(0,MIN(Lists!F$21,$AM65)-MAX(Lists!F$22,$AL65))/($AM65-$AL65))))))))</f>
        <v>0</v>
      </c>
      <c r="Q65" s="53" t="n">
        <f aca="false">IF($H65=0,0,IF($AP65="X",0,IF($AP65="S",$H65/$AO65*(MIN($AO65,MAX(0,INT((Lists!G$21-N($J65))/7)+1))-MIN($AO65,MAX(0,INT((Lists!G$22-N($J65))/7)+1))),IF($AP65="D",$H65*MAX(0,MIN(Lists!G$21,N($J65)+$AO65)-MAX(Lists!G$22,N($J65)))/$AO65,IF($AP65="M",$H65/$AO65*(IF(Lists!G$21&lt;$J65,0,MIN($AO65,(((YEAR(Lists!G$21)-YEAR($J65))*12+MONTH(Lists!G$21)-MONTH($J65))-(EDATE($J65,((YEAR(Lists!G$21)-YEAR($J65))*12+MONTH(Lists!G$21)-MONTH($J65)))&gt;Lists!G$21)+1)))-IF(Lists!G$22&lt;$J65,0,MIN($AO65,(((YEAR(Lists!G$22)-YEAR($J65))*12+MONTH(Lists!G$22)-MONTH($J65))-(EDATE($J65,((YEAR(Lists!G$22)-YEAR($J65))*12+MONTH(Lists!G$22)-MONTH($J65)))&gt;Lists!G$22)+1)))),IF($AP65="F",IF(N($K65)&lt;=0,0,MIN(MAX(0,$H65),N($K65)*IF(Lists!G$21&lt;$J65,0,(((YEAR(Lists!G$21)-YEAR($J65))*12+MONTH(Lists!G$21)-MONTH($J65))-(EDATE($J65,((YEAR(Lists!G$21)-YEAR($J65))*12+MONTH(Lists!G$21)-MONTH($J65)))&gt;Lists!G$21)+1)))-MIN(MAX(0,$H65),N($K65)*IF(Lists!G$22&lt;$J65,0,(((YEAR(Lists!G$22)-YEAR($J65))*12+MONTH(Lists!G$22)-MONTH($J65))-(EDATE($J65,((YEAR(Lists!G$22)-YEAR($J65))*12+MONTH(Lists!G$22)-MONTH($J65)))&gt;Lists!G$22)+1)))),N($C65)*IF($AE65-$AD65&lt;1,($AD65&gt;Lists!G$22)*($AD65&lt;=Lists!G$21),MAX(0,MIN(Lists!G$21,$AE65)-MAX(Lists!G$22,$AD65))/($AE65-$AD65))+N($D65)*IF($AG65-$AF65&lt;1,($AF65&gt;Lists!G$22)*($AF65&lt;=Lists!G$21),MAX(0,MIN(Lists!G$21,$AG65)-MAX(Lists!G$22,$AF65))/($AG65-$AF65))+N($E65)*IF($AI65-$AH65&lt;1,($AH65&gt;Lists!G$22)*($AH65&lt;=Lists!G$21),MAX(0,MIN(Lists!G$21,$AI65)-MAX(Lists!G$22,$AH65))/($AI65-$AH65))+N($F65)*IF($AK65-$AJ65&lt;1,($AJ65&gt;Lists!G$22)*($AJ65&lt;=Lists!G$21),MAX(0,MIN(Lists!G$21,$AK65)-MAX(Lists!G$22,$AJ65))/($AK65-$AJ65))+N($G65)*IF($AM65-$AL65&lt;1,($AL65&gt;Lists!G$22)*($AL65&lt;=Lists!G$21),MAX(0,MIN(Lists!G$21,$AM65)-MAX(Lists!G$22,$AL65))/($AM65-$AL65))))))))</f>
        <v>0</v>
      </c>
      <c r="R65" s="53" t="n">
        <f aca="false">IF($H65=0,0,IF($AP65="X",0,IF($AP65="S",$H65/$AO65*(MIN($AO65,MAX(0,INT((Lists!H$21-N($J65))/7)+1))-MIN($AO65,MAX(0,INT((Lists!H$22-N($J65))/7)+1))),IF($AP65="D",$H65*MAX(0,MIN(Lists!H$21,N($J65)+$AO65)-MAX(Lists!H$22,N($J65)))/$AO65,IF($AP65="M",$H65/$AO65*(IF(Lists!H$21&lt;$J65,0,MIN($AO65,(((YEAR(Lists!H$21)-YEAR($J65))*12+MONTH(Lists!H$21)-MONTH($J65))-(EDATE($J65,((YEAR(Lists!H$21)-YEAR($J65))*12+MONTH(Lists!H$21)-MONTH($J65)))&gt;Lists!H$21)+1)))-IF(Lists!H$22&lt;$J65,0,MIN($AO65,(((YEAR(Lists!H$22)-YEAR($J65))*12+MONTH(Lists!H$22)-MONTH($J65))-(EDATE($J65,((YEAR(Lists!H$22)-YEAR($J65))*12+MONTH(Lists!H$22)-MONTH($J65)))&gt;Lists!H$22)+1)))),IF($AP65="F",IF(N($K65)&lt;=0,0,MIN(MAX(0,$H65),N($K65)*IF(Lists!H$21&lt;$J65,0,(((YEAR(Lists!H$21)-YEAR($J65))*12+MONTH(Lists!H$21)-MONTH($J65))-(EDATE($J65,((YEAR(Lists!H$21)-YEAR($J65))*12+MONTH(Lists!H$21)-MONTH($J65)))&gt;Lists!H$21)+1)))-MIN(MAX(0,$H65),N($K65)*IF(Lists!H$22&lt;$J65,0,(((YEAR(Lists!H$22)-YEAR($J65))*12+MONTH(Lists!H$22)-MONTH($J65))-(EDATE($J65,((YEAR(Lists!H$22)-YEAR($J65))*12+MONTH(Lists!H$22)-MONTH($J65)))&gt;Lists!H$22)+1)))),N($C65)*IF($AE65-$AD65&lt;1,($AD65&gt;Lists!H$22)*($AD65&lt;=Lists!H$21),MAX(0,MIN(Lists!H$21,$AE65)-MAX(Lists!H$22,$AD65))/($AE65-$AD65))+N($D65)*IF($AG65-$AF65&lt;1,($AF65&gt;Lists!H$22)*($AF65&lt;=Lists!H$21),MAX(0,MIN(Lists!H$21,$AG65)-MAX(Lists!H$22,$AF65))/($AG65-$AF65))+N($E65)*IF($AI65-$AH65&lt;1,($AH65&gt;Lists!H$22)*($AH65&lt;=Lists!H$21),MAX(0,MIN(Lists!H$21,$AI65)-MAX(Lists!H$22,$AH65))/($AI65-$AH65))+N($F65)*IF($AK65-$AJ65&lt;1,($AJ65&gt;Lists!H$22)*($AJ65&lt;=Lists!H$21),MAX(0,MIN(Lists!H$21,$AK65)-MAX(Lists!H$22,$AJ65))/($AK65-$AJ65))+N($G65)*IF($AM65-$AL65&lt;1,($AL65&gt;Lists!H$22)*($AL65&lt;=Lists!H$21),MAX(0,MIN(Lists!H$21,$AM65)-MAX(Lists!H$22,$AL65))/($AM65-$AL65))))))))</f>
        <v>0</v>
      </c>
      <c r="S65" s="53" t="n">
        <f aca="false">IF($H65=0,0,IF($AP65="X",0,IF($AP65="S",$H65/$AO65*(MIN($AO65,MAX(0,INT((Lists!I$21-N($J65))/7)+1))-MIN($AO65,MAX(0,INT((Lists!I$22-N($J65))/7)+1))),IF($AP65="D",$H65*MAX(0,MIN(Lists!I$21,N($J65)+$AO65)-MAX(Lists!I$22,N($J65)))/$AO65,IF($AP65="M",$H65/$AO65*(IF(Lists!I$21&lt;$J65,0,MIN($AO65,(((YEAR(Lists!I$21)-YEAR($J65))*12+MONTH(Lists!I$21)-MONTH($J65))-(EDATE($J65,((YEAR(Lists!I$21)-YEAR($J65))*12+MONTH(Lists!I$21)-MONTH($J65)))&gt;Lists!I$21)+1)))-IF(Lists!I$22&lt;$J65,0,MIN($AO65,(((YEAR(Lists!I$22)-YEAR($J65))*12+MONTH(Lists!I$22)-MONTH($J65))-(EDATE($J65,((YEAR(Lists!I$22)-YEAR($J65))*12+MONTH(Lists!I$22)-MONTH($J65)))&gt;Lists!I$22)+1)))),IF($AP65="F",IF(N($K65)&lt;=0,0,MIN(MAX(0,$H65),N($K65)*IF(Lists!I$21&lt;$J65,0,(((YEAR(Lists!I$21)-YEAR($J65))*12+MONTH(Lists!I$21)-MONTH($J65))-(EDATE($J65,((YEAR(Lists!I$21)-YEAR($J65))*12+MONTH(Lists!I$21)-MONTH($J65)))&gt;Lists!I$21)+1)))-MIN(MAX(0,$H65),N($K65)*IF(Lists!I$22&lt;$J65,0,(((YEAR(Lists!I$22)-YEAR($J65))*12+MONTH(Lists!I$22)-MONTH($J65))-(EDATE($J65,((YEAR(Lists!I$22)-YEAR($J65))*12+MONTH(Lists!I$22)-MONTH($J65)))&gt;Lists!I$22)+1)))),N($C65)*IF($AE65-$AD65&lt;1,($AD65&gt;Lists!I$22)*($AD65&lt;=Lists!I$21),MAX(0,MIN(Lists!I$21,$AE65)-MAX(Lists!I$22,$AD65))/($AE65-$AD65))+N($D65)*IF($AG65-$AF65&lt;1,($AF65&gt;Lists!I$22)*($AF65&lt;=Lists!I$21),MAX(0,MIN(Lists!I$21,$AG65)-MAX(Lists!I$22,$AF65))/($AG65-$AF65))+N($E65)*IF($AI65-$AH65&lt;1,($AH65&gt;Lists!I$22)*($AH65&lt;=Lists!I$21),MAX(0,MIN(Lists!I$21,$AI65)-MAX(Lists!I$22,$AH65))/($AI65-$AH65))+N($F65)*IF($AK65-$AJ65&lt;1,($AJ65&gt;Lists!I$22)*($AJ65&lt;=Lists!I$21),MAX(0,MIN(Lists!I$21,$AK65)-MAX(Lists!I$22,$AJ65))/($AK65-$AJ65))+N($G65)*IF($AM65-$AL65&lt;1,($AL65&gt;Lists!I$22)*($AL65&lt;=Lists!I$21),MAX(0,MIN(Lists!I$21,$AM65)-MAX(Lists!I$22,$AL65))/($AM65-$AL65))))))))</f>
        <v>0</v>
      </c>
      <c r="T65" s="53" t="n">
        <f aca="false">IF($H65=0,0,IF($AP65="X",0,IF($AP65="S",$H65/$AO65*(MIN($AO65,MAX(0,INT((Lists!J$21-N($J65))/7)+1))-MIN($AO65,MAX(0,INT((Lists!J$22-N($J65))/7)+1))),IF($AP65="D",$H65*MAX(0,MIN(Lists!J$21,N($J65)+$AO65)-MAX(Lists!J$22,N($J65)))/$AO65,IF($AP65="M",$H65/$AO65*(IF(Lists!J$21&lt;$J65,0,MIN($AO65,(((YEAR(Lists!J$21)-YEAR($J65))*12+MONTH(Lists!J$21)-MONTH($J65))-(EDATE($J65,((YEAR(Lists!J$21)-YEAR($J65))*12+MONTH(Lists!J$21)-MONTH($J65)))&gt;Lists!J$21)+1)))-IF(Lists!J$22&lt;$J65,0,MIN($AO65,(((YEAR(Lists!J$22)-YEAR($J65))*12+MONTH(Lists!J$22)-MONTH($J65))-(EDATE($J65,((YEAR(Lists!J$22)-YEAR($J65))*12+MONTH(Lists!J$22)-MONTH($J65)))&gt;Lists!J$22)+1)))),IF($AP65="F",IF(N($K65)&lt;=0,0,MIN(MAX(0,$H65),N($K65)*IF(Lists!J$21&lt;$J65,0,(((YEAR(Lists!J$21)-YEAR($J65))*12+MONTH(Lists!J$21)-MONTH($J65))-(EDATE($J65,((YEAR(Lists!J$21)-YEAR($J65))*12+MONTH(Lists!J$21)-MONTH($J65)))&gt;Lists!J$21)+1)))-MIN(MAX(0,$H65),N($K65)*IF(Lists!J$22&lt;$J65,0,(((YEAR(Lists!J$22)-YEAR($J65))*12+MONTH(Lists!J$22)-MONTH($J65))-(EDATE($J65,((YEAR(Lists!J$22)-YEAR($J65))*12+MONTH(Lists!J$22)-MONTH($J65)))&gt;Lists!J$22)+1)))),N($C65)*IF($AE65-$AD65&lt;1,($AD65&gt;Lists!J$22)*($AD65&lt;=Lists!J$21),MAX(0,MIN(Lists!J$21,$AE65)-MAX(Lists!J$22,$AD65))/($AE65-$AD65))+N($D65)*IF($AG65-$AF65&lt;1,($AF65&gt;Lists!J$22)*($AF65&lt;=Lists!J$21),MAX(0,MIN(Lists!J$21,$AG65)-MAX(Lists!J$22,$AF65))/($AG65-$AF65))+N($E65)*IF($AI65-$AH65&lt;1,($AH65&gt;Lists!J$22)*($AH65&lt;=Lists!J$21),MAX(0,MIN(Lists!J$21,$AI65)-MAX(Lists!J$22,$AH65))/($AI65-$AH65))+N($F65)*IF($AK65-$AJ65&lt;1,($AJ65&gt;Lists!J$22)*($AJ65&lt;=Lists!J$21),MAX(0,MIN(Lists!J$21,$AK65)-MAX(Lists!J$22,$AJ65))/($AK65-$AJ65))+N($G65)*IF($AM65-$AL65&lt;1,($AL65&gt;Lists!J$22)*($AL65&lt;=Lists!J$21),MAX(0,MIN(Lists!J$21,$AM65)-MAX(Lists!J$22,$AL65))/($AM65-$AL65))))))))</f>
        <v>0</v>
      </c>
      <c r="U65" s="53" t="n">
        <f aca="false">IF($H65=0,0,IF($AP65="X",0,IF($AP65="S",$H65/$AO65*(MIN($AO65,MAX(0,INT((Lists!K$21-N($J65))/7)+1))-MIN($AO65,MAX(0,INT((Lists!K$22-N($J65))/7)+1))),IF($AP65="D",$H65*MAX(0,MIN(Lists!K$21,N($J65)+$AO65)-MAX(Lists!K$22,N($J65)))/$AO65,IF($AP65="M",$H65/$AO65*(IF(Lists!K$21&lt;$J65,0,MIN($AO65,(((YEAR(Lists!K$21)-YEAR($J65))*12+MONTH(Lists!K$21)-MONTH($J65))-(EDATE($J65,((YEAR(Lists!K$21)-YEAR($J65))*12+MONTH(Lists!K$21)-MONTH($J65)))&gt;Lists!K$21)+1)))-IF(Lists!K$22&lt;$J65,0,MIN($AO65,(((YEAR(Lists!K$22)-YEAR($J65))*12+MONTH(Lists!K$22)-MONTH($J65))-(EDATE($J65,((YEAR(Lists!K$22)-YEAR($J65))*12+MONTH(Lists!K$22)-MONTH($J65)))&gt;Lists!K$22)+1)))),IF($AP65="F",IF(N($K65)&lt;=0,0,MIN(MAX(0,$H65),N($K65)*IF(Lists!K$21&lt;$J65,0,(((YEAR(Lists!K$21)-YEAR($J65))*12+MONTH(Lists!K$21)-MONTH($J65))-(EDATE($J65,((YEAR(Lists!K$21)-YEAR($J65))*12+MONTH(Lists!K$21)-MONTH($J65)))&gt;Lists!K$21)+1)))-MIN(MAX(0,$H65),N($K65)*IF(Lists!K$22&lt;$J65,0,(((YEAR(Lists!K$22)-YEAR($J65))*12+MONTH(Lists!K$22)-MONTH($J65))-(EDATE($J65,((YEAR(Lists!K$22)-YEAR($J65))*12+MONTH(Lists!K$22)-MONTH($J65)))&gt;Lists!K$22)+1)))),N($C65)*IF($AE65-$AD65&lt;1,($AD65&gt;Lists!K$22)*($AD65&lt;=Lists!K$21),MAX(0,MIN(Lists!K$21,$AE65)-MAX(Lists!K$22,$AD65))/($AE65-$AD65))+N($D65)*IF($AG65-$AF65&lt;1,($AF65&gt;Lists!K$22)*($AF65&lt;=Lists!K$21),MAX(0,MIN(Lists!K$21,$AG65)-MAX(Lists!K$22,$AF65))/($AG65-$AF65))+N($E65)*IF($AI65-$AH65&lt;1,($AH65&gt;Lists!K$22)*($AH65&lt;=Lists!K$21),MAX(0,MIN(Lists!K$21,$AI65)-MAX(Lists!K$22,$AH65))/($AI65-$AH65))+N($F65)*IF($AK65-$AJ65&lt;1,($AJ65&gt;Lists!K$22)*($AJ65&lt;=Lists!K$21),MAX(0,MIN(Lists!K$21,$AK65)-MAX(Lists!K$22,$AJ65))/($AK65-$AJ65))+N($G65)*IF($AM65-$AL65&lt;1,($AL65&gt;Lists!K$22)*($AL65&lt;=Lists!K$21),MAX(0,MIN(Lists!K$21,$AM65)-MAX(Lists!K$22,$AL65))/($AM65-$AL65))))))))</f>
        <v>0</v>
      </c>
      <c r="V65" s="53" t="n">
        <f aca="false">IF($H65=0,0,IF($AP65="X",0,IF($AP65="S",$H65/$AO65*(MIN($AO65,MAX(0,INT((Lists!L$21-N($J65))/7)+1))-MIN($AO65,MAX(0,INT((Lists!L$22-N($J65))/7)+1))),IF($AP65="D",$H65*MAX(0,MIN(Lists!L$21,N($J65)+$AO65)-MAX(Lists!L$22,N($J65)))/$AO65,IF($AP65="M",$H65/$AO65*(IF(Lists!L$21&lt;$J65,0,MIN($AO65,(((YEAR(Lists!L$21)-YEAR($J65))*12+MONTH(Lists!L$21)-MONTH($J65))-(EDATE($J65,((YEAR(Lists!L$21)-YEAR($J65))*12+MONTH(Lists!L$21)-MONTH($J65)))&gt;Lists!L$21)+1)))-IF(Lists!L$22&lt;$J65,0,MIN($AO65,(((YEAR(Lists!L$22)-YEAR($J65))*12+MONTH(Lists!L$22)-MONTH($J65))-(EDATE($J65,((YEAR(Lists!L$22)-YEAR($J65))*12+MONTH(Lists!L$22)-MONTH($J65)))&gt;Lists!L$22)+1)))),IF($AP65="F",IF(N($K65)&lt;=0,0,MIN(MAX(0,$H65),N($K65)*IF(Lists!L$21&lt;$J65,0,(((YEAR(Lists!L$21)-YEAR($J65))*12+MONTH(Lists!L$21)-MONTH($J65))-(EDATE($J65,((YEAR(Lists!L$21)-YEAR($J65))*12+MONTH(Lists!L$21)-MONTH($J65)))&gt;Lists!L$21)+1)))-MIN(MAX(0,$H65),N($K65)*IF(Lists!L$22&lt;$J65,0,(((YEAR(Lists!L$22)-YEAR($J65))*12+MONTH(Lists!L$22)-MONTH($J65))-(EDATE($J65,((YEAR(Lists!L$22)-YEAR($J65))*12+MONTH(Lists!L$22)-MONTH($J65)))&gt;Lists!L$22)+1)))),N($C65)*IF($AE65-$AD65&lt;1,($AD65&gt;Lists!L$22)*($AD65&lt;=Lists!L$21),MAX(0,MIN(Lists!L$21,$AE65)-MAX(Lists!L$22,$AD65))/($AE65-$AD65))+N($D65)*IF($AG65-$AF65&lt;1,($AF65&gt;Lists!L$22)*($AF65&lt;=Lists!L$21),MAX(0,MIN(Lists!L$21,$AG65)-MAX(Lists!L$22,$AF65))/($AG65-$AF65))+N($E65)*IF($AI65-$AH65&lt;1,($AH65&gt;Lists!L$22)*($AH65&lt;=Lists!L$21),MAX(0,MIN(Lists!L$21,$AI65)-MAX(Lists!L$22,$AH65))/($AI65-$AH65))+N($F65)*IF($AK65-$AJ65&lt;1,($AJ65&gt;Lists!L$22)*($AJ65&lt;=Lists!L$21),MAX(0,MIN(Lists!L$21,$AK65)-MAX(Lists!L$22,$AJ65))/($AK65-$AJ65))+N($G65)*IF($AM65-$AL65&lt;1,($AL65&gt;Lists!L$22)*($AL65&lt;=Lists!L$21),MAX(0,MIN(Lists!L$21,$AM65)-MAX(Lists!L$22,$AL65))/($AM65-$AL65))))))))</f>
        <v>0</v>
      </c>
      <c r="W65" s="53" t="n">
        <f aca="false">IF($H65=0,0,IF($AP65="X",0,IF($AP65="S",$H65/$AO65*(MIN($AO65,MAX(0,INT((Lists!M$21-N($J65))/7)+1))-MIN($AO65,MAX(0,INT((Lists!M$22-N($J65))/7)+1))),IF($AP65="D",$H65*MAX(0,MIN(Lists!M$21,N($J65)+$AO65)-MAX(Lists!M$22,N($J65)))/$AO65,IF($AP65="M",$H65/$AO65*(IF(Lists!M$21&lt;$J65,0,MIN($AO65,(((YEAR(Lists!M$21)-YEAR($J65))*12+MONTH(Lists!M$21)-MONTH($J65))-(EDATE($J65,((YEAR(Lists!M$21)-YEAR($J65))*12+MONTH(Lists!M$21)-MONTH($J65)))&gt;Lists!M$21)+1)))-IF(Lists!M$22&lt;$J65,0,MIN($AO65,(((YEAR(Lists!M$22)-YEAR($J65))*12+MONTH(Lists!M$22)-MONTH($J65))-(EDATE($J65,((YEAR(Lists!M$22)-YEAR($J65))*12+MONTH(Lists!M$22)-MONTH($J65)))&gt;Lists!M$22)+1)))),IF($AP65="F",IF(N($K65)&lt;=0,0,MIN(MAX(0,$H65),N($K65)*IF(Lists!M$21&lt;$J65,0,(((YEAR(Lists!M$21)-YEAR($J65))*12+MONTH(Lists!M$21)-MONTH($J65))-(EDATE($J65,((YEAR(Lists!M$21)-YEAR($J65))*12+MONTH(Lists!M$21)-MONTH($J65)))&gt;Lists!M$21)+1)))-MIN(MAX(0,$H65),N($K65)*IF(Lists!M$22&lt;$J65,0,(((YEAR(Lists!M$22)-YEAR($J65))*12+MONTH(Lists!M$22)-MONTH($J65))-(EDATE($J65,((YEAR(Lists!M$22)-YEAR($J65))*12+MONTH(Lists!M$22)-MONTH($J65)))&gt;Lists!M$22)+1)))),N($C65)*IF($AE65-$AD65&lt;1,($AD65&gt;Lists!M$22)*($AD65&lt;=Lists!M$21),MAX(0,MIN(Lists!M$21,$AE65)-MAX(Lists!M$22,$AD65))/($AE65-$AD65))+N($D65)*IF($AG65-$AF65&lt;1,($AF65&gt;Lists!M$22)*($AF65&lt;=Lists!M$21),MAX(0,MIN(Lists!M$21,$AG65)-MAX(Lists!M$22,$AF65))/($AG65-$AF65))+N($E65)*IF($AI65-$AH65&lt;1,($AH65&gt;Lists!M$22)*($AH65&lt;=Lists!M$21),MAX(0,MIN(Lists!M$21,$AI65)-MAX(Lists!M$22,$AH65))/($AI65-$AH65))+N($F65)*IF($AK65-$AJ65&lt;1,($AJ65&gt;Lists!M$22)*($AJ65&lt;=Lists!M$21),MAX(0,MIN(Lists!M$21,$AK65)-MAX(Lists!M$22,$AJ65))/($AK65-$AJ65))+N($G65)*IF($AM65-$AL65&lt;1,($AL65&gt;Lists!M$22)*($AL65&lt;=Lists!M$21),MAX(0,MIN(Lists!M$21,$AM65)-MAX(Lists!M$22,$AL65))/($AM65-$AL65))))))))</f>
        <v>0</v>
      </c>
      <c r="X65" s="53" t="n">
        <f aca="false">IF($H65=0,0,IF($AP65="X",0,IF($AP65="S",$H65/$AO65*(MIN($AO65,MAX(0,INT((Lists!N$21-N($J65))/7)+1))-MIN($AO65,MAX(0,INT((Lists!N$22-N($J65))/7)+1))),IF($AP65="D",$H65*MAX(0,MIN(Lists!N$21,N($J65)+$AO65)-MAX(Lists!N$22,N($J65)))/$AO65,IF($AP65="M",$H65/$AO65*(IF(Lists!N$21&lt;$J65,0,MIN($AO65,(((YEAR(Lists!N$21)-YEAR($J65))*12+MONTH(Lists!N$21)-MONTH($J65))-(EDATE($J65,((YEAR(Lists!N$21)-YEAR($J65))*12+MONTH(Lists!N$21)-MONTH($J65)))&gt;Lists!N$21)+1)))-IF(Lists!N$22&lt;$J65,0,MIN($AO65,(((YEAR(Lists!N$22)-YEAR($J65))*12+MONTH(Lists!N$22)-MONTH($J65))-(EDATE($J65,((YEAR(Lists!N$22)-YEAR($J65))*12+MONTH(Lists!N$22)-MONTH($J65)))&gt;Lists!N$22)+1)))),IF($AP65="F",IF(N($K65)&lt;=0,0,MIN(MAX(0,$H65),N($K65)*IF(Lists!N$21&lt;$J65,0,(((YEAR(Lists!N$21)-YEAR($J65))*12+MONTH(Lists!N$21)-MONTH($J65))-(EDATE($J65,((YEAR(Lists!N$21)-YEAR($J65))*12+MONTH(Lists!N$21)-MONTH($J65)))&gt;Lists!N$21)+1)))-MIN(MAX(0,$H65),N($K65)*IF(Lists!N$22&lt;$J65,0,(((YEAR(Lists!N$22)-YEAR($J65))*12+MONTH(Lists!N$22)-MONTH($J65))-(EDATE($J65,((YEAR(Lists!N$22)-YEAR($J65))*12+MONTH(Lists!N$22)-MONTH($J65)))&gt;Lists!N$22)+1)))),N($C65)*IF($AE65-$AD65&lt;1,($AD65&gt;Lists!N$22)*($AD65&lt;=Lists!N$21),MAX(0,MIN(Lists!N$21,$AE65)-MAX(Lists!N$22,$AD65))/($AE65-$AD65))+N($D65)*IF($AG65-$AF65&lt;1,($AF65&gt;Lists!N$22)*($AF65&lt;=Lists!N$21),MAX(0,MIN(Lists!N$21,$AG65)-MAX(Lists!N$22,$AF65))/($AG65-$AF65))+N($E65)*IF($AI65-$AH65&lt;1,($AH65&gt;Lists!N$22)*($AH65&lt;=Lists!N$21),MAX(0,MIN(Lists!N$21,$AI65)-MAX(Lists!N$22,$AH65))/($AI65-$AH65))+N($F65)*IF($AK65-$AJ65&lt;1,($AJ65&gt;Lists!N$22)*($AJ65&lt;=Lists!N$21),MAX(0,MIN(Lists!N$21,$AK65)-MAX(Lists!N$22,$AJ65))/($AK65-$AJ65))+N($G65)*IF($AM65-$AL65&lt;1,($AL65&gt;Lists!N$22)*($AL65&lt;=Lists!N$21),MAX(0,MIN(Lists!N$21,$AM65)-MAX(Lists!N$22,$AL65))/($AM65-$AL65))))))))</f>
        <v>0</v>
      </c>
      <c r="Y65" s="53" t="n">
        <f aca="false">IF($H65=0,0,IF($AP65="X",0,IF($AP65="S",$H65/$AO65*(MIN($AO65,MAX(0,INT((Lists!O$21-N($J65))/7)+1))-MIN($AO65,MAX(0,INT((Lists!O$22-N($J65))/7)+1))),IF($AP65="D",$H65*MAX(0,MIN(Lists!O$21,N($J65)+$AO65)-MAX(Lists!O$22,N($J65)))/$AO65,IF($AP65="M",$H65/$AO65*(IF(Lists!O$21&lt;$J65,0,MIN($AO65,(((YEAR(Lists!O$21)-YEAR($J65))*12+MONTH(Lists!O$21)-MONTH($J65))-(EDATE($J65,((YEAR(Lists!O$21)-YEAR($J65))*12+MONTH(Lists!O$21)-MONTH($J65)))&gt;Lists!O$21)+1)))-IF(Lists!O$22&lt;$J65,0,MIN($AO65,(((YEAR(Lists!O$22)-YEAR($J65))*12+MONTH(Lists!O$22)-MONTH($J65))-(EDATE($J65,((YEAR(Lists!O$22)-YEAR($J65))*12+MONTH(Lists!O$22)-MONTH($J65)))&gt;Lists!O$22)+1)))),IF($AP65="F",IF(N($K65)&lt;=0,0,MIN(MAX(0,$H65),N($K65)*IF(Lists!O$21&lt;$J65,0,(((YEAR(Lists!O$21)-YEAR($J65))*12+MONTH(Lists!O$21)-MONTH($J65))-(EDATE($J65,((YEAR(Lists!O$21)-YEAR($J65))*12+MONTH(Lists!O$21)-MONTH($J65)))&gt;Lists!O$21)+1)))-MIN(MAX(0,$H65),N($K65)*IF(Lists!O$22&lt;$J65,0,(((YEAR(Lists!O$22)-YEAR($J65))*12+MONTH(Lists!O$22)-MONTH($J65))-(EDATE($J65,((YEAR(Lists!O$22)-YEAR($J65))*12+MONTH(Lists!O$22)-MONTH($J65)))&gt;Lists!O$22)+1)))),N($C65)*IF($AE65-$AD65&lt;1,($AD65&gt;Lists!O$22)*($AD65&lt;=Lists!O$21),MAX(0,MIN(Lists!O$21,$AE65)-MAX(Lists!O$22,$AD65))/($AE65-$AD65))+N($D65)*IF($AG65-$AF65&lt;1,($AF65&gt;Lists!O$22)*($AF65&lt;=Lists!O$21),MAX(0,MIN(Lists!O$21,$AG65)-MAX(Lists!O$22,$AF65))/($AG65-$AF65))+N($E65)*IF($AI65-$AH65&lt;1,($AH65&gt;Lists!O$22)*($AH65&lt;=Lists!O$21),MAX(0,MIN(Lists!O$21,$AI65)-MAX(Lists!O$22,$AH65))/($AI65-$AH65))+N($F65)*IF($AK65-$AJ65&lt;1,($AJ65&gt;Lists!O$22)*($AJ65&lt;=Lists!O$21),MAX(0,MIN(Lists!O$21,$AK65)-MAX(Lists!O$22,$AJ65))/($AK65-$AJ65))+N($G65)*IF($AM65-$AL65&lt;1,($AL65&gt;Lists!O$22)*($AL65&lt;=Lists!O$21),MAX(0,MIN(Lists!O$21,$AM65)-MAX(Lists!O$22,$AL65))/($AM65-$AL65))))))))</f>
        <v>0</v>
      </c>
      <c r="Z65" s="46" t="n">
        <f aca="false">SUM(M65:Y65)</f>
        <v>0</v>
      </c>
      <c r="AA65" s="92" t="n">
        <f aca="false">H65-Z65</f>
        <v>0</v>
      </c>
      <c r="AB65" s="55"/>
      <c r="AC65" s="2"/>
      <c r="AD65" s="93" t="n">
        <f aca="false">Setup!$D$10+MAX(0,$AN65-30)</f>
        <v>46365</v>
      </c>
      <c r="AE65" s="93" t="n">
        <f aca="false">Setup!$D$10+IF($AN65-30&lt;0,MAX(Setup!$D$22,$AN65-0),$AN65-0)</f>
        <v>46395</v>
      </c>
      <c r="AF65" s="93" t="n">
        <f aca="false">Setup!$D$10+MAX(0,$AN65-60)</f>
        <v>46335</v>
      </c>
      <c r="AG65" s="93" t="n">
        <f aca="false">Setup!$D$10+IF($AN65-60&lt;0,MAX(Setup!$D$22,$AN65-31),$AN65-31)</f>
        <v>46364</v>
      </c>
      <c r="AH65" s="93" t="n">
        <f aca="false">Setup!$D$10+MAX(0,$AN65-90)</f>
        <v>46335</v>
      </c>
      <c r="AI65" s="93" t="n">
        <f aca="false">Setup!$D$10+IF($AN65-90&lt;0,MAX(Setup!$D$22,$AN65-61),$AN65-61)</f>
        <v>46363</v>
      </c>
      <c r="AJ65" s="93" t="n">
        <f aca="false">Setup!$D$10+MAX(0,$AN65-120)</f>
        <v>46335</v>
      </c>
      <c r="AK65" s="93" t="n">
        <f aca="false">Setup!$D$10+IF($AN65-120&lt;0,MAX(Setup!$D$22,$AN65-91),$AN65-91)</f>
        <v>46363</v>
      </c>
      <c r="AL65" s="93" t="n">
        <f aca="false">IF(Setup!$D$23="Yes",2958465,Setup!$D$10)</f>
        <v>2958465</v>
      </c>
      <c r="AM65" s="93" t="n">
        <f aca="false">IF(AL65=2958465,AL65,Setup!$D$10+Setup!$D$22)</f>
        <v>2958465</v>
      </c>
      <c r="AN65" s="94" t="n">
        <f aca="false">IF(N(L65)=0,Setup!$D$20,L65)</f>
        <v>60</v>
      </c>
      <c r="AO65" s="94" t="n">
        <f aca="false">MAX(1,ROUND(N(K65),0))</f>
        <v>1</v>
      </c>
      <c r="AP65" s="95" t="str">
        <f aca="false">IF(I65="Doubtful","X",IF(N(J65)=0,"A",IF(I65="Specific date","S",IF(I65="Spread over days","D",IF(I65="Monthly on set day","M",IF(I65="Monthly fixed amount","F","A"))))))</f>
        <v>A</v>
      </c>
    </row>
    <row r="66" customFormat="false" ht="15" hidden="false" customHeight="false" outlineLevel="0" collapsed="false">
      <c r="A66" s="87" t="n">
        <v>58</v>
      </c>
      <c r="B66" s="55"/>
      <c r="C66" s="88"/>
      <c r="D66" s="88"/>
      <c r="E66" s="88"/>
      <c r="F66" s="88"/>
      <c r="G66" s="88"/>
      <c r="H66" s="89" t="n">
        <f aca="false">SUM(C66:G66)</f>
        <v>0</v>
      </c>
      <c r="I66" s="58"/>
      <c r="J66" s="90"/>
      <c r="K66" s="91"/>
      <c r="L66" s="80"/>
      <c r="M66" s="53" t="n">
        <f aca="false">IF($H66=0,0,IF($AP66="X",0,IF($AP66="S",$H66/$AO66*(MIN($AO66,MAX(0,INT((Lists!C$21-N($J66))/7)+1))-MIN($AO66,MAX(0,INT((Lists!C$22-N($J66))/7)+1))),IF($AP66="D",$H66*MAX(0,MIN(Lists!C$21,N($J66)+$AO66)-MAX(Lists!C$22,N($J66)))/$AO66,IF($AP66="M",$H66/$AO66*(IF(Lists!C$21&lt;$J66,0,MIN($AO66,(((YEAR(Lists!C$21)-YEAR($J66))*12+MONTH(Lists!C$21)-MONTH($J66))-(EDATE($J66,((YEAR(Lists!C$21)-YEAR($J66))*12+MONTH(Lists!C$21)-MONTH($J66)))&gt;Lists!C$21)+1)))-IF(Lists!C$22&lt;$J66,0,MIN($AO66,(((YEAR(Lists!C$22)-YEAR($J66))*12+MONTH(Lists!C$22)-MONTH($J66))-(EDATE($J66,((YEAR(Lists!C$22)-YEAR($J66))*12+MONTH(Lists!C$22)-MONTH($J66)))&gt;Lists!C$22)+1)))),IF($AP66="F",IF(N($K66)&lt;=0,0,MIN(MAX(0,$H66),N($K66)*IF(Lists!C$21&lt;$J66,0,(((YEAR(Lists!C$21)-YEAR($J66))*12+MONTH(Lists!C$21)-MONTH($J66))-(EDATE($J66,((YEAR(Lists!C$21)-YEAR($J66))*12+MONTH(Lists!C$21)-MONTH($J66)))&gt;Lists!C$21)+1)))-MIN(MAX(0,$H66),N($K66)*IF(Lists!C$22&lt;$J66,0,(((YEAR(Lists!C$22)-YEAR($J66))*12+MONTH(Lists!C$22)-MONTH($J66))-(EDATE($J66,((YEAR(Lists!C$22)-YEAR($J66))*12+MONTH(Lists!C$22)-MONTH($J66)))&gt;Lists!C$22)+1)))),N($C66)*IF($AE66-$AD66&lt;1,($AD66&gt;Lists!C$22)*($AD66&lt;=Lists!C$21),MAX(0,MIN(Lists!C$21,$AE66)-MAX(Lists!C$22,$AD66))/($AE66-$AD66))+N($D66)*IF($AG66-$AF66&lt;1,($AF66&gt;Lists!C$22)*($AF66&lt;=Lists!C$21),MAX(0,MIN(Lists!C$21,$AG66)-MAX(Lists!C$22,$AF66))/($AG66-$AF66))+N($E66)*IF($AI66-$AH66&lt;1,($AH66&gt;Lists!C$22)*($AH66&lt;=Lists!C$21),MAX(0,MIN(Lists!C$21,$AI66)-MAX(Lists!C$22,$AH66))/($AI66-$AH66))+N($F66)*IF($AK66-$AJ66&lt;1,($AJ66&gt;Lists!C$22)*($AJ66&lt;=Lists!C$21),MAX(0,MIN(Lists!C$21,$AK66)-MAX(Lists!C$22,$AJ66))/($AK66-$AJ66))+N($G66)*IF($AM66-$AL66&lt;1,($AL66&gt;Lists!C$22)*($AL66&lt;=Lists!C$21),MAX(0,MIN(Lists!C$21,$AM66)-MAX(Lists!C$22,$AL66))/($AM66-$AL66))))))))</f>
        <v>0</v>
      </c>
      <c r="N66" s="53" t="n">
        <f aca="false">IF($H66=0,0,IF($AP66="X",0,IF($AP66="S",$H66/$AO66*(MIN($AO66,MAX(0,INT((Lists!D$21-N($J66))/7)+1))-MIN($AO66,MAX(0,INT((Lists!D$22-N($J66))/7)+1))),IF($AP66="D",$H66*MAX(0,MIN(Lists!D$21,N($J66)+$AO66)-MAX(Lists!D$22,N($J66)))/$AO66,IF($AP66="M",$H66/$AO66*(IF(Lists!D$21&lt;$J66,0,MIN($AO66,(((YEAR(Lists!D$21)-YEAR($J66))*12+MONTH(Lists!D$21)-MONTH($J66))-(EDATE($J66,((YEAR(Lists!D$21)-YEAR($J66))*12+MONTH(Lists!D$21)-MONTH($J66)))&gt;Lists!D$21)+1)))-IF(Lists!D$22&lt;$J66,0,MIN($AO66,(((YEAR(Lists!D$22)-YEAR($J66))*12+MONTH(Lists!D$22)-MONTH($J66))-(EDATE($J66,((YEAR(Lists!D$22)-YEAR($J66))*12+MONTH(Lists!D$22)-MONTH($J66)))&gt;Lists!D$22)+1)))),IF($AP66="F",IF(N($K66)&lt;=0,0,MIN(MAX(0,$H66),N($K66)*IF(Lists!D$21&lt;$J66,0,(((YEAR(Lists!D$21)-YEAR($J66))*12+MONTH(Lists!D$21)-MONTH($J66))-(EDATE($J66,((YEAR(Lists!D$21)-YEAR($J66))*12+MONTH(Lists!D$21)-MONTH($J66)))&gt;Lists!D$21)+1)))-MIN(MAX(0,$H66),N($K66)*IF(Lists!D$22&lt;$J66,0,(((YEAR(Lists!D$22)-YEAR($J66))*12+MONTH(Lists!D$22)-MONTH($J66))-(EDATE($J66,((YEAR(Lists!D$22)-YEAR($J66))*12+MONTH(Lists!D$22)-MONTH($J66)))&gt;Lists!D$22)+1)))),N($C66)*IF($AE66-$AD66&lt;1,($AD66&gt;Lists!D$22)*($AD66&lt;=Lists!D$21),MAX(0,MIN(Lists!D$21,$AE66)-MAX(Lists!D$22,$AD66))/($AE66-$AD66))+N($D66)*IF($AG66-$AF66&lt;1,($AF66&gt;Lists!D$22)*($AF66&lt;=Lists!D$21),MAX(0,MIN(Lists!D$21,$AG66)-MAX(Lists!D$22,$AF66))/($AG66-$AF66))+N($E66)*IF($AI66-$AH66&lt;1,($AH66&gt;Lists!D$22)*($AH66&lt;=Lists!D$21),MAX(0,MIN(Lists!D$21,$AI66)-MAX(Lists!D$22,$AH66))/($AI66-$AH66))+N($F66)*IF($AK66-$AJ66&lt;1,($AJ66&gt;Lists!D$22)*($AJ66&lt;=Lists!D$21),MAX(0,MIN(Lists!D$21,$AK66)-MAX(Lists!D$22,$AJ66))/($AK66-$AJ66))+N($G66)*IF($AM66-$AL66&lt;1,($AL66&gt;Lists!D$22)*($AL66&lt;=Lists!D$21),MAX(0,MIN(Lists!D$21,$AM66)-MAX(Lists!D$22,$AL66))/($AM66-$AL66))))))))</f>
        <v>0</v>
      </c>
      <c r="O66" s="53" t="n">
        <f aca="false">IF($H66=0,0,IF($AP66="X",0,IF($AP66="S",$H66/$AO66*(MIN($AO66,MAX(0,INT((Lists!E$21-N($J66))/7)+1))-MIN($AO66,MAX(0,INT((Lists!E$22-N($J66))/7)+1))),IF($AP66="D",$H66*MAX(0,MIN(Lists!E$21,N($J66)+$AO66)-MAX(Lists!E$22,N($J66)))/$AO66,IF($AP66="M",$H66/$AO66*(IF(Lists!E$21&lt;$J66,0,MIN($AO66,(((YEAR(Lists!E$21)-YEAR($J66))*12+MONTH(Lists!E$21)-MONTH($J66))-(EDATE($J66,((YEAR(Lists!E$21)-YEAR($J66))*12+MONTH(Lists!E$21)-MONTH($J66)))&gt;Lists!E$21)+1)))-IF(Lists!E$22&lt;$J66,0,MIN($AO66,(((YEAR(Lists!E$22)-YEAR($J66))*12+MONTH(Lists!E$22)-MONTH($J66))-(EDATE($J66,((YEAR(Lists!E$22)-YEAR($J66))*12+MONTH(Lists!E$22)-MONTH($J66)))&gt;Lists!E$22)+1)))),IF($AP66="F",IF(N($K66)&lt;=0,0,MIN(MAX(0,$H66),N($K66)*IF(Lists!E$21&lt;$J66,0,(((YEAR(Lists!E$21)-YEAR($J66))*12+MONTH(Lists!E$21)-MONTH($J66))-(EDATE($J66,((YEAR(Lists!E$21)-YEAR($J66))*12+MONTH(Lists!E$21)-MONTH($J66)))&gt;Lists!E$21)+1)))-MIN(MAX(0,$H66),N($K66)*IF(Lists!E$22&lt;$J66,0,(((YEAR(Lists!E$22)-YEAR($J66))*12+MONTH(Lists!E$22)-MONTH($J66))-(EDATE($J66,((YEAR(Lists!E$22)-YEAR($J66))*12+MONTH(Lists!E$22)-MONTH($J66)))&gt;Lists!E$22)+1)))),N($C66)*IF($AE66-$AD66&lt;1,($AD66&gt;Lists!E$22)*($AD66&lt;=Lists!E$21),MAX(0,MIN(Lists!E$21,$AE66)-MAX(Lists!E$22,$AD66))/($AE66-$AD66))+N($D66)*IF($AG66-$AF66&lt;1,($AF66&gt;Lists!E$22)*($AF66&lt;=Lists!E$21),MAX(0,MIN(Lists!E$21,$AG66)-MAX(Lists!E$22,$AF66))/($AG66-$AF66))+N($E66)*IF($AI66-$AH66&lt;1,($AH66&gt;Lists!E$22)*($AH66&lt;=Lists!E$21),MAX(0,MIN(Lists!E$21,$AI66)-MAX(Lists!E$22,$AH66))/($AI66-$AH66))+N($F66)*IF($AK66-$AJ66&lt;1,($AJ66&gt;Lists!E$22)*($AJ66&lt;=Lists!E$21),MAX(0,MIN(Lists!E$21,$AK66)-MAX(Lists!E$22,$AJ66))/($AK66-$AJ66))+N($G66)*IF($AM66-$AL66&lt;1,($AL66&gt;Lists!E$22)*($AL66&lt;=Lists!E$21),MAX(0,MIN(Lists!E$21,$AM66)-MAX(Lists!E$22,$AL66))/($AM66-$AL66))))))))</f>
        <v>0</v>
      </c>
      <c r="P66" s="53" t="n">
        <f aca="false">IF($H66=0,0,IF($AP66="X",0,IF($AP66="S",$H66/$AO66*(MIN($AO66,MAX(0,INT((Lists!F$21-N($J66))/7)+1))-MIN($AO66,MAX(0,INT((Lists!F$22-N($J66))/7)+1))),IF($AP66="D",$H66*MAX(0,MIN(Lists!F$21,N($J66)+$AO66)-MAX(Lists!F$22,N($J66)))/$AO66,IF($AP66="M",$H66/$AO66*(IF(Lists!F$21&lt;$J66,0,MIN($AO66,(((YEAR(Lists!F$21)-YEAR($J66))*12+MONTH(Lists!F$21)-MONTH($J66))-(EDATE($J66,((YEAR(Lists!F$21)-YEAR($J66))*12+MONTH(Lists!F$21)-MONTH($J66)))&gt;Lists!F$21)+1)))-IF(Lists!F$22&lt;$J66,0,MIN($AO66,(((YEAR(Lists!F$22)-YEAR($J66))*12+MONTH(Lists!F$22)-MONTH($J66))-(EDATE($J66,((YEAR(Lists!F$22)-YEAR($J66))*12+MONTH(Lists!F$22)-MONTH($J66)))&gt;Lists!F$22)+1)))),IF($AP66="F",IF(N($K66)&lt;=0,0,MIN(MAX(0,$H66),N($K66)*IF(Lists!F$21&lt;$J66,0,(((YEAR(Lists!F$21)-YEAR($J66))*12+MONTH(Lists!F$21)-MONTH($J66))-(EDATE($J66,((YEAR(Lists!F$21)-YEAR($J66))*12+MONTH(Lists!F$21)-MONTH($J66)))&gt;Lists!F$21)+1)))-MIN(MAX(0,$H66),N($K66)*IF(Lists!F$22&lt;$J66,0,(((YEAR(Lists!F$22)-YEAR($J66))*12+MONTH(Lists!F$22)-MONTH($J66))-(EDATE($J66,((YEAR(Lists!F$22)-YEAR($J66))*12+MONTH(Lists!F$22)-MONTH($J66)))&gt;Lists!F$22)+1)))),N($C66)*IF($AE66-$AD66&lt;1,($AD66&gt;Lists!F$22)*($AD66&lt;=Lists!F$21),MAX(0,MIN(Lists!F$21,$AE66)-MAX(Lists!F$22,$AD66))/($AE66-$AD66))+N($D66)*IF($AG66-$AF66&lt;1,($AF66&gt;Lists!F$22)*($AF66&lt;=Lists!F$21),MAX(0,MIN(Lists!F$21,$AG66)-MAX(Lists!F$22,$AF66))/($AG66-$AF66))+N($E66)*IF($AI66-$AH66&lt;1,($AH66&gt;Lists!F$22)*($AH66&lt;=Lists!F$21),MAX(0,MIN(Lists!F$21,$AI66)-MAX(Lists!F$22,$AH66))/($AI66-$AH66))+N($F66)*IF($AK66-$AJ66&lt;1,($AJ66&gt;Lists!F$22)*($AJ66&lt;=Lists!F$21),MAX(0,MIN(Lists!F$21,$AK66)-MAX(Lists!F$22,$AJ66))/($AK66-$AJ66))+N($G66)*IF($AM66-$AL66&lt;1,($AL66&gt;Lists!F$22)*($AL66&lt;=Lists!F$21),MAX(0,MIN(Lists!F$21,$AM66)-MAX(Lists!F$22,$AL66))/($AM66-$AL66))))))))</f>
        <v>0</v>
      </c>
      <c r="Q66" s="53" t="n">
        <f aca="false">IF($H66=0,0,IF($AP66="X",0,IF($AP66="S",$H66/$AO66*(MIN($AO66,MAX(0,INT((Lists!G$21-N($J66))/7)+1))-MIN($AO66,MAX(0,INT((Lists!G$22-N($J66))/7)+1))),IF($AP66="D",$H66*MAX(0,MIN(Lists!G$21,N($J66)+$AO66)-MAX(Lists!G$22,N($J66)))/$AO66,IF($AP66="M",$H66/$AO66*(IF(Lists!G$21&lt;$J66,0,MIN($AO66,(((YEAR(Lists!G$21)-YEAR($J66))*12+MONTH(Lists!G$21)-MONTH($J66))-(EDATE($J66,((YEAR(Lists!G$21)-YEAR($J66))*12+MONTH(Lists!G$21)-MONTH($J66)))&gt;Lists!G$21)+1)))-IF(Lists!G$22&lt;$J66,0,MIN($AO66,(((YEAR(Lists!G$22)-YEAR($J66))*12+MONTH(Lists!G$22)-MONTH($J66))-(EDATE($J66,((YEAR(Lists!G$22)-YEAR($J66))*12+MONTH(Lists!G$22)-MONTH($J66)))&gt;Lists!G$22)+1)))),IF($AP66="F",IF(N($K66)&lt;=0,0,MIN(MAX(0,$H66),N($K66)*IF(Lists!G$21&lt;$J66,0,(((YEAR(Lists!G$21)-YEAR($J66))*12+MONTH(Lists!G$21)-MONTH($J66))-(EDATE($J66,((YEAR(Lists!G$21)-YEAR($J66))*12+MONTH(Lists!G$21)-MONTH($J66)))&gt;Lists!G$21)+1)))-MIN(MAX(0,$H66),N($K66)*IF(Lists!G$22&lt;$J66,0,(((YEAR(Lists!G$22)-YEAR($J66))*12+MONTH(Lists!G$22)-MONTH($J66))-(EDATE($J66,((YEAR(Lists!G$22)-YEAR($J66))*12+MONTH(Lists!G$22)-MONTH($J66)))&gt;Lists!G$22)+1)))),N($C66)*IF($AE66-$AD66&lt;1,($AD66&gt;Lists!G$22)*($AD66&lt;=Lists!G$21),MAX(0,MIN(Lists!G$21,$AE66)-MAX(Lists!G$22,$AD66))/($AE66-$AD66))+N($D66)*IF($AG66-$AF66&lt;1,($AF66&gt;Lists!G$22)*($AF66&lt;=Lists!G$21),MAX(0,MIN(Lists!G$21,$AG66)-MAX(Lists!G$22,$AF66))/($AG66-$AF66))+N($E66)*IF($AI66-$AH66&lt;1,($AH66&gt;Lists!G$22)*($AH66&lt;=Lists!G$21),MAX(0,MIN(Lists!G$21,$AI66)-MAX(Lists!G$22,$AH66))/($AI66-$AH66))+N($F66)*IF($AK66-$AJ66&lt;1,($AJ66&gt;Lists!G$22)*($AJ66&lt;=Lists!G$21),MAX(0,MIN(Lists!G$21,$AK66)-MAX(Lists!G$22,$AJ66))/($AK66-$AJ66))+N($G66)*IF($AM66-$AL66&lt;1,($AL66&gt;Lists!G$22)*($AL66&lt;=Lists!G$21),MAX(0,MIN(Lists!G$21,$AM66)-MAX(Lists!G$22,$AL66))/($AM66-$AL66))))))))</f>
        <v>0</v>
      </c>
      <c r="R66" s="53" t="n">
        <f aca="false">IF($H66=0,0,IF($AP66="X",0,IF($AP66="S",$H66/$AO66*(MIN($AO66,MAX(0,INT((Lists!H$21-N($J66))/7)+1))-MIN($AO66,MAX(0,INT((Lists!H$22-N($J66))/7)+1))),IF($AP66="D",$H66*MAX(0,MIN(Lists!H$21,N($J66)+$AO66)-MAX(Lists!H$22,N($J66)))/$AO66,IF($AP66="M",$H66/$AO66*(IF(Lists!H$21&lt;$J66,0,MIN($AO66,(((YEAR(Lists!H$21)-YEAR($J66))*12+MONTH(Lists!H$21)-MONTH($J66))-(EDATE($J66,((YEAR(Lists!H$21)-YEAR($J66))*12+MONTH(Lists!H$21)-MONTH($J66)))&gt;Lists!H$21)+1)))-IF(Lists!H$22&lt;$J66,0,MIN($AO66,(((YEAR(Lists!H$22)-YEAR($J66))*12+MONTH(Lists!H$22)-MONTH($J66))-(EDATE($J66,((YEAR(Lists!H$22)-YEAR($J66))*12+MONTH(Lists!H$22)-MONTH($J66)))&gt;Lists!H$22)+1)))),IF($AP66="F",IF(N($K66)&lt;=0,0,MIN(MAX(0,$H66),N($K66)*IF(Lists!H$21&lt;$J66,0,(((YEAR(Lists!H$21)-YEAR($J66))*12+MONTH(Lists!H$21)-MONTH($J66))-(EDATE($J66,((YEAR(Lists!H$21)-YEAR($J66))*12+MONTH(Lists!H$21)-MONTH($J66)))&gt;Lists!H$21)+1)))-MIN(MAX(0,$H66),N($K66)*IF(Lists!H$22&lt;$J66,0,(((YEAR(Lists!H$22)-YEAR($J66))*12+MONTH(Lists!H$22)-MONTH($J66))-(EDATE($J66,((YEAR(Lists!H$22)-YEAR($J66))*12+MONTH(Lists!H$22)-MONTH($J66)))&gt;Lists!H$22)+1)))),N($C66)*IF($AE66-$AD66&lt;1,($AD66&gt;Lists!H$22)*($AD66&lt;=Lists!H$21),MAX(0,MIN(Lists!H$21,$AE66)-MAX(Lists!H$22,$AD66))/($AE66-$AD66))+N($D66)*IF($AG66-$AF66&lt;1,($AF66&gt;Lists!H$22)*($AF66&lt;=Lists!H$21),MAX(0,MIN(Lists!H$21,$AG66)-MAX(Lists!H$22,$AF66))/($AG66-$AF66))+N($E66)*IF($AI66-$AH66&lt;1,($AH66&gt;Lists!H$22)*($AH66&lt;=Lists!H$21),MAX(0,MIN(Lists!H$21,$AI66)-MAX(Lists!H$22,$AH66))/($AI66-$AH66))+N($F66)*IF($AK66-$AJ66&lt;1,($AJ66&gt;Lists!H$22)*($AJ66&lt;=Lists!H$21),MAX(0,MIN(Lists!H$21,$AK66)-MAX(Lists!H$22,$AJ66))/($AK66-$AJ66))+N($G66)*IF($AM66-$AL66&lt;1,($AL66&gt;Lists!H$22)*($AL66&lt;=Lists!H$21),MAX(0,MIN(Lists!H$21,$AM66)-MAX(Lists!H$22,$AL66))/($AM66-$AL66))))))))</f>
        <v>0</v>
      </c>
      <c r="S66" s="53" t="n">
        <f aca="false">IF($H66=0,0,IF($AP66="X",0,IF($AP66="S",$H66/$AO66*(MIN($AO66,MAX(0,INT((Lists!I$21-N($J66))/7)+1))-MIN($AO66,MAX(0,INT((Lists!I$22-N($J66))/7)+1))),IF($AP66="D",$H66*MAX(0,MIN(Lists!I$21,N($J66)+$AO66)-MAX(Lists!I$22,N($J66)))/$AO66,IF($AP66="M",$H66/$AO66*(IF(Lists!I$21&lt;$J66,0,MIN($AO66,(((YEAR(Lists!I$21)-YEAR($J66))*12+MONTH(Lists!I$21)-MONTH($J66))-(EDATE($J66,((YEAR(Lists!I$21)-YEAR($J66))*12+MONTH(Lists!I$21)-MONTH($J66)))&gt;Lists!I$21)+1)))-IF(Lists!I$22&lt;$J66,0,MIN($AO66,(((YEAR(Lists!I$22)-YEAR($J66))*12+MONTH(Lists!I$22)-MONTH($J66))-(EDATE($J66,((YEAR(Lists!I$22)-YEAR($J66))*12+MONTH(Lists!I$22)-MONTH($J66)))&gt;Lists!I$22)+1)))),IF($AP66="F",IF(N($K66)&lt;=0,0,MIN(MAX(0,$H66),N($K66)*IF(Lists!I$21&lt;$J66,0,(((YEAR(Lists!I$21)-YEAR($J66))*12+MONTH(Lists!I$21)-MONTH($J66))-(EDATE($J66,((YEAR(Lists!I$21)-YEAR($J66))*12+MONTH(Lists!I$21)-MONTH($J66)))&gt;Lists!I$21)+1)))-MIN(MAX(0,$H66),N($K66)*IF(Lists!I$22&lt;$J66,0,(((YEAR(Lists!I$22)-YEAR($J66))*12+MONTH(Lists!I$22)-MONTH($J66))-(EDATE($J66,((YEAR(Lists!I$22)-YEAR($J66))*12+MONTH(Lists!I$22)-MONTH($J66)))&gt;Lists!I$22)+1)))),N($C66)*IF($AE66-$AD66&lt;1,($AD66&gt;Lists!I$22)*($AD66&lt;=Lists!I$21),MAX(0,MIN(Lists!I$21,$AE66)-MAX(Lists!I$22,$AD66))/($AE66-$AD66))+N($D66)*IF($AG66-$AF66&lt;1,($AF66&gt;Lists!I$22)*($AF66&lt;=Lists!I$21),MAX(0,MIN(Lists!I$21,$AG66)-MAX(Lists!I$22,$AF66))/($AG66-$AF66))+N($E66)*IF($AI66-$AH66&lt;1,($AH66&gt;Lists!I$22)*($AH66&lt;=Lists!I$21),MAX(0,MIN(Lists!I$21,$AI66)-MAX(Lists!I$22,$AH66))/($AI66-$AH66))+N($F66)*IF($AK66-$AJ66&lt;1,($AJ66&gt;Lists!I$22)*($AJ66&lt;=Lists!I$21),MAX(0,MIN(Lists!I$21,$AK66)-MAX(Lists!I$22,$AJ66))/($AK66-$AJ66))+N($G66)*IF($AM66-$AL66&lt;1,($AL66&gt;Lists!I$22)*($AL66&lt;=Lists!I$21),MAX(0,MIN(Lists!I$21,$AM66)-MAX(Lists!I$22,$AL66))/($AM66-$AL66))))))))</f>
        <v>0</v>
      </c>
      <c r="T66" s="53" t="n">
        <f aca="false">IF($H66=0,0,IF($AP66="X",0,IF($AP66="S",$H66/$AO66*(MIN($AO66,MAX(0,INT((Lists!J$21-N($J66))/7)+1))-MIN($AO66,MAX(0,INT((Lists!J$22-N($J66))/7)+1))),IF($AP66="D",$H66*MAX(0,MIN(Lists!J$21,N($J66)+$AO66)-MAX(Lists!J$22,N($J66)))/$AO66,IF($AP66="M",$H66/$AO66*(IF(Lists!J$21&lt;$J66,0,MIN($AO66,(((YEAR(Lists!J$21)-YEAR($J66))*12+MONTH(Lists!J$21)-MONTH($J66))-(EDATE($J66,((YEAR(Lists!J$21)-YEAR($J66))*12+MONTH(Lists!J$21)-MONTH($J66)))&gt;Lists!J$21)+1)))-IF(Lists!J$22&lt;$J66,0,MIN($AO66,(((YEAR(Lists!J$22)-YEAR($J66))*12+MONTH(Lists!J$22)-MONTH($J66))-(EDATE($J66,((YEAR(Lists!J$22)-YEAR($J66))*12+MONTH(Lists!J$22)-MONTH($J66)))&gt;Lists!J$22)+1)))),IF($AP66="F",IF(N($K66)&lt;=0,0,MIN(MAX(0,$H66),N($K66)*IF(Lists!J$21&lt;$J66,0,(((YEAR(Lists!J$21)-YEAR($J66))*12+MONTH(Lists!J$21)-MONTH($J66))-(EDATE($J66,((YEAR(Lists!J$21)-YEAR($J66))*12+MONTH(Lists!J$21)-MONTH($J66)))&gt;Lists!J$21)+1)))-MIN(MAX(0,$H66),N($K66)*IF(Lists!J$22&lt;$J66,0,(((YEAR(Lists!J$22)-YEAR($J66))*12+MONTH(Lists!J$22)-MONTH($J66))-(EDATE($J66,((YEAR(Lists!J$22)-YEAR($J66))*12+MONTH(Lists!J$22)-MONTH($J66)))&gt;Lists!J$22)+1)))),N($C66)*IF($AE66-$AD66&lt;1,($AD66&gt;Lists!J$22)*($AD66&lt;=Lists!J$21),MAX(0,MIN(Lists!J$21,$AE66)-MAX(Lists!J$22,$AD66))/($AE66-$AD66))+N($D66)*IF($AG66-$AF66&lt;1,($AF66&gt;Lists!J$22)*($AF66&lt;=Lists!J$21),MAX(0,MIN(Lists!J$21,$AG66)-MAX(Lists!J$22,$AF66))/($AG66-$AF66))+N($E66)*IF($AI66-$AH66&lt;1,($AH66&gt;Lists!J$22)*($AH66&lt;=Lists!J$21),MAX(0,MIN(Lists!J$21,$AI66)-MAX(Lists!J$22,$AH66))/($AI66-$AH66))+N($F66)*IF($AK66-$AJ66&lt;1,($AJ66&gt;Lists!J$22)*($AJ66&lt;=Lists!J$21),MAX(0,MIN(Lists!J$21,$AK66)-MAX(Lists!J$22,$AJ66))/($AK66-$AJ66))+N($G66)*IF($AM66-$AL66&lt;1,($AL66&gt;Lists!J$22)*($AL66&lt;=Lists!J$21),MAX(0,MIN(Lists!J$21,$AM66)-MAX(Lists!J$22,$AL66))/($AM66-$AL66))))))))</f>
        <v>0</v>
      </c>
      <c r="U66" s="53" t="n">
        <f aca="false">IF($H66=0,0,IF($AP66="X",0,IF($AP66="S",$H66/$AO66*(MIN($AO66,MAX(0,INT((Lists!K$21-N($J66))/7)+1))-MIN($AO66,MAX(0,INT((Lists!K$22-N($J66))/7)+1))),IF($AP66="D",$H66*MAX(0,MIN(Lists!K$21,N($J66)+$AO66)-MAX(Lists!K$22,N($J66)))/$AO66,IF($AP66="M",$H66/$AO66*(IF(Lists!K$21&lt;$J66,0,MIN($AO66,(((YEAR(Lists!K$21)-YEAR($J66))*12+MONTH(Lists!K$21)-MONTH($J66))-(EDATE($J66,((YEAR(Lists!K$21)-YEAR($J66))*12+MONTH(Lists!K$21)-MONTH($J66)))&gt;Lists!K$21)+1)))-IF(Lists!K$22&lt;$J66,0,MIN($AO66,(((YEAR(Lists!K$22)-YEAR($J66))*12+MONTH(Lists!K$22)-MONTH($J66))-(EDATE($J66,((YEAR(Lists!K$22)-YEAR($J66))*12+MONTH(Lists!K$22)-MONTH($J66)))&gt;Lists!K$22)+1)))),IF($AP66="F",IF(N($K66)&lt;=0,0,MIN(MAX(0,$H66),N($K66)*IF(Lists!K$21&lt;$J66,0,(((YEAR(Lists!K$21)-YEAR($J66))*12+MONTH(Lists!K$21)-MONTH($J66))-(EDATE($J66,((YEAR(Lists!K$21)-YEAR($J66))*12+MONTH(Lists!K$21)-MONTH($J66)))&gt;Lists!K$21)+1)))-MIN(MAX(0,$H66),N($K66)*IF(Lists!K$22&lt;$J66,0,(((YEAR(Lists!K$22)-YEAR($J66))*12+MONTH(Lists!K$22)-MONTH($J66))-(EDATE($J66,((YEAR(Lists!K$22)-YEAR($J66))*12+MONTH(Lists!K$22)-MONTH($J66)))&gt;Lists!K$22)+1)))),N($C66)*IF($AE66-$AD66&lt;1,($AD66&gt;Lists!K$22)*($AD66&lt;=Lists!K$21),MAX(0,MIN(Lists!K$21,$AE66)-MAX(Lists!K$22,$AD66))/($AE66-$AD66))+N($D66)*IF($AG66-$AF66&lt;1,($AF66&gt;Lists!K$22)*($AF66&lt;=Lists!K$21),MAX(0,MIN(Lists!K$21,$AG66)-MAX(Lists!K$22,$AF66))/($AG66-$AF66))+N($E66)*IF($AI66-$AH66&lt;1,($AH66&gt;Lists!K$22)*($AH66&lt;=Lists!K$21),MAX(0,MIN(Lists!K$21,$AI66)-MAX(Lists!K$22,$AH66))/($AI66-$AH66))+N($F66)*IF($AK66-$AJ66&lt;1,($AJ66&gt;Lists!K$22)*($AJ66&lt;=Lists!K$21),MAX(0,MIN(Lists!K$21,$AK66)-MAX(Lists!K$22,$AJ66))/($AK66-$AJ66))+N($G66)*IF($AM66-$AL66&lt;1,($AL66&gt;Lists!K$22)*($AL66&lt;=Lists!K$21),MAX(0,MIN(Lists!K$21,$AM66)-MAX(Lists!K$22,$AL66))/($AM66-$AL66))))))))</f>
        <v>0</v>
      </c>
      <c r="V66" s="53" t="n">
        <f aca="false">IF($H66=0,0,IF($AP66="X",0,IF($AP66="S",$H66/$AO66*(MIN($AO66,MAX(0,INT((Lists!L$21-N($J66))/7)+1))-MIN($AO66,MAX(0,INT((Lists!L$22-N($J66))/7)+1))),IF($AP66="D",$H66*MAX(0,MIN(Lists!L$21,N($J66)+$AO66)-MAX(Lists!L$22,N($J66)))/$AO66,IF($AP66="M",$H66/$AO66*(IF(Lists!L$21&lt;$J66,0,MIN($AO66,(((YEAR(Lists!L$21)-YEAR($J66))*12+MONTH(Lists!L$21)-MONTH($J66))-(EDATE($J66,((YEAR(Lists!L$21)-YEAR($J66))*12+MONTH(Lists!L$21)-MONTH($J66)))&gt;Lists!L$21)+1)))-IF(Lists!L$22&lt;$J66,0,MIN($AO66,(((YEAR(Lists!L$22)-YEAR($J66))*12+MONTH(Lists!L$22)-MONTH($J66))-(EDATE($J66,((YEAR(Lists!L$22)-YEAR($J66))*12+MONTH(Lists!L$22)-MONTH($J66)))&gt;Lists!L$22)+1)))),IF($AP66="F",IF(N($K66)&lt;=0,0,MIN(MAX(0,$H66),N($K66)*IF(Lists!L$21&lt;$J66,0,(((YEAR(Lists!L$21)-YEAR($J66))*12+MONTH(Lists!L$21)-MONTH($J66))-(EDATE($J66,((YEAR(Lists!L$21)-YEAR($J66))*12+MONTH(Lists!L$21)-MONTH($J66)))&gt;Lists!L$21)+1)))-MIN(MAX(0,$H66),N($K66)*IF(Lists!L$22&lt;$J66,0,(((YEAR(Lists!L$22)-YEAR($J66))*12+MONTH(Lists!L$22)-MONTH($J66))-(EDATE($J66,((YEAR(Lists!L$22)-YEAR($J66))*12+MONTH(Lists!L$22)-MONTH($J66)))&gt;Lists!L$22)+1)))),N($C66)*IF($AE66-$AD66&lt;1,($AD66&gt;Lists!L$22)*($AD66&lt;=Lists!L$21),MAX(0,MIN(Lists!L$21,$AE66)-MAX(Lists!L$22,$AD66))/($AE66-$AD66))+N($D66)*IF($AG66-$AF66&lt;1,($AF66&gt;Lists!L$22)*($AF66&lt;=Lists!L$21),MAX(0,MIN(Lists!L$21,$AG66)-MAX(Lists!L$22,$AF66))/($AG66-$AF66))+N($E66)*IF($AI66-$AH66&lt;1,($AH66&gt;Lists!L$22)*($AH66&lt;=Lists!L$21),MAX(0,MIN(Lists!L$21,$AI66)-MAX(Lists!L$22,$AH66))/($AI66-$AH66))+N($F66)*IF($AK66-$AJ66&lt;1,($AJ66&gt;Lists!L$22)*($AJ66&lt;=Lists!L$21),MAX(0,MIN(Lists!L$21,$AK66)-MAX(Lists!L$22,$AJ66))/($AK66-$AJ66))+N($G66)*IF($AM66-$AL66&lt;1,($AL66&gt;Lists!L$22)*($AL66&lt;=Lists!L$21),MAX(0,MIN(Lists!L$21,$AM66)-MAX(Lists!L$22,$AL66))/($AM66-$AL66))))))))</f>
        <v>0</v>
      </c>
      <c r="W66" s="53" t="n">
        <f aca="false">IF($H66=0,0,IF($AP66="X",0,IF($AP66="S",$H66/$AO66*(MIN($AO66,MAX(0,INT((Lists!M$21-N($J66))/7)+1))-MIN($AO66,MAX(0,INT((Lists!M$22-N($J66))/7)+1))),IF($AP66="D",$H66*MAX(0,MIN(Lists!M$21,N($J66)+$AO66)-MAX(Lists!M$22,N($J66)))/$AO66,IF($AP66="M",$H66/$AO66*(IF(Lists!M$21&lt;$J66,0,MIN($AO66,(((YEAR(Lists!M$21)-YEAR($J66))*12+MONTH(Lists!M$21)-MONTH($J66))-(EDATE($J66,((YEAR(Lists!M$21)-YEAR($J66))*12+MONTH(Lists!M$21)-MONTH($J66)))&gt;Lists!M$21)+1)))-IF(Lists!M$22&lt;$J66,0,MIN($AO66,(((YEAR(Lists!M$22)-YEAR($J66))*12+MONTH(Lists!M$22)-MONTH($J66))-(EDATE($J66,((YEAR(Lists!M$22)-YEAR($J66))*12+MONTH(Lists!M$22)-MONTH($J66)))&gt;Lists!M$22)+1)))),IF($AP66="F",IF(N($K66)&lt;=0,0,MIN(MAX(0,$H66),N($K66)*IF(Lists!M$21&lt;$J66,0,(((YEAR(Lists!M$21)-YEAR($J66))*12+MONTH(Lists!M$21)-MONTH($J66))-(EDATE($J66,((YEAR(Lists!M$21)-YEAR($J66))*12+MONTH(Lists!M$21)-MONTH($J66)))&gt;Lists!M$21)+1)))-MIN(MAX(0,$H66),N($K66)*IF(Lists!M$22&lt;$J66,0,(((YEAR(Lists!M$22)-YEAR($J66))*12+MONTH(Lists!M$22)-MONTH($J66))-(EDATE($J66,((YEAR(Lists!M$22)-YEAR($J66))*12+MONTH(Lists!M$22)-MONTH($J66)))&gt;Lists!M$22)+1)))),N($C66)*IF($AE66-$AD66&lt;1,($AD66&gt;Lists!M$22)*($AD66&lt;=Lists!M$21),MAX(0,MIN(Lists!M$21,$AE66)-MAX(Lists!M$22,$AD66))/($AE66-$AD66))+N($D66)*IF($AG66-$AF66&lt;1,($AF66&gt;Lists!M$22)*($AF66&lt;=Lists!M$21),MAX(0,MIN(Lists!M$21,$AG66)-MAX(Lists!M$22,$AF66))/($AG66-$AF66))+N($E66)*IF($AI66-$AH66&lt;1,($AH66&gt;Lists!M$22)*($AH66&lt;=Lists!M$21),MAX(0,MIN(Lists!M$21,$AI66)-MAX(Lists!M$22,$AH66))/($AI66-$AH66))+N($F66)*IF($AK66-$AJ66&lt;1,($AJ66&gt;Lists!M$22)*($AJ66&lt;=Lists!M$21),MAX(0,MIN(Lists!M$21,$AK66)-MAX(Lists!M$22,$AJ66))/($AK66-$AJ66))+N($G66)*IF($AM66-$AL66&lt;1,($AL66&gt;Lists!M$22)*($AL66&lt;=Lists!M$21),MAX(0,MIN(Lists!M$21,$AM66)-MAX(Lists!M$22,$AL66))/($AM66-$AL66))))))))</f>
        <v>0</v>
      </c>
      <c r="X66" s="53" t="n">
        <f aca="false">IF($H66=0,0,IF($AP66="X",0,IF($AP66="S",$H66/$AO66*(MIN($AO66,MAX(0,INT((Lists!N$21-N($J66))/7)+1))-MIN($AO66,MAX(0,INT((Lists!N$22-N($J66))/7)+1))),IF($AP66="D",$H66*MAX(0,MIN(Lists!N$21,N($J66)+$AO66)-MAX(Lists!N$22,N($J66)))/$AO66,IF($AP66="M",$H66/$AO66*(IF(Lists!N$21&lt;$J66,0,MIN($AO66,(((YEAR(Lists!N$21)-YEAR($J66))*12+MONTH(Lists!N$21)-MONTH($J66))-(EDATE($J66,((YEAR(Lists!N$21)-YEAR($J66))*12+MONTH(Lists!N$21)-MONTH($J66)))&gt;Lists!N$21)+1)))-IF(Lists!N$22&lt;$J66,0,MIN($AO66,(((YEAR(Lists!N$22)-YEAR($J66))*12+MONTH(Lists!N$22)-MONTH($J66))-(EDATE($J66,((YEAR(Lists!N$22)-YEAR($J66))*12+MONTH(Lists!N$22)-MONTH($J66)))&gt;Lists!N$22)+1)))),IF($AP66="F",IF(N($K66)&lt;=0,0,MIN(MAX(0,$H66),N($K66)*IF(Lists!N$21&lt;$J66,0,(((YEAR(Lists!N$21)-YEAR($J66))*12+MONTH(Lists!N$21)-MONTH($J66))-(EDATE($J66,((YEAR(Lists!N$21)-YEAR($J66))*12+MONTH(Lists!N$21)-MONTH($J66)))&gt;Lists!N$21)+1)))-MIN(MAX(0,$H66),N($K66)*IF(Lists!N$22&lt;$J66,0,(((YEAR(Lists!N$22)-YEAR($J66))*12+MONTH(Lists!N$22)-MONTH($J66))-(EDATE($J66,((YEAR(Lists!N$22)-YEAR($J66))*12+MONTH(Lists!N$22)-MONTH($J66)))&gt;Lists!N$22)+1)))),N($C66)*IF($AE66-$AD66&lt;1,($AD66&gt;Lists!N$22)*($AD66&lt;=Lists!N$21),MAX(0,MIN(Lists!N$21,$AE66)-MAX(Lists!N$22,$AD66))/($AE66-$AD66))+N($D66)*IF($AG66-$AF66&lt;1,($AF66&gt;Lists!N$22)*($AF66&lt;=Lists!N$21),MAX(0,MIN(Lists!N$21,$AG66)-MAX(Lists!N$22,$AF66))/($AG66-$AF66))+N($E66)*IF($AI66-$AH66&lt;1,($AH66&gt;Lists!N$22)*($AH66&lt;=Lists!N$21),MAX(0,MIN(Lists!N$21,$AI66)-MAX(Lists!N$22,$AH66))/($AI66-$AH66))+N($F66)*IF($AK66-$AJ66&lt;1,($AJ66&gt;Lists!N$22)*($AJ66&lt;=Lists!N$21),MAX(0,MIN(Lists!N$21,$AK66)-MAX(Lists!N$22,$AJ66))/($AK66-$AJ66))+N($G66)*IF($AM66-$AL66&lt;1,($AL66&gt;Lists!N$22)*($AL66&lt;=Lists!N$21),MAX(0,MIN(Lists!N$21,$AM66)-MAX(Lists!N$22,$AL66))/($AM66-$AL66))))))))</f>
        <v>0</v>
      </c>
      <c r="Y66" s="53" t="n">
        <f aca="false">IF($H66=0,0,IF($AP66="X",0,IF($AP66="S",$H66/$AO66*(MIN($AO66,MAX(0,INT((Lists!O$21-N($J66))/7)+1))-MIN($AO66,MAX(0,INT((Lists!O$22-N($J66))/7)+1))),IF($AP66="D",$H66*MAX(0,MIN(Lists!O$21,N($J66)+$AO66)-MAX(Lists!O$22,N($J66)))/$AO66,IF($AP66="M",$H66/$AO66*(IF(Lists!O$21&lt;$J66,0,MIN($AO66,(((YEAR(Lists!O$21)-YEAR($J66))*12+MONTH(Lists!O$21)-MONTH($J66))-(EDATE($J66,((YEAR(Lists!O$21)-YEAR($J66))*12+MONTH(Lists!O$21)-MONTH($J66)))&gt;Lists!O$21)+1)))-IF(Lists!O$22&lt;$J66,0,MIN($AO66,(((YEAR(Lists!O$22)-YEAR($J66))*12+MONTH(Lists!O$22)-MONTH($J66))-(EDATE($J66,((YEAR(Lists!O$22)-YEAR($J66))*12+MONTH(Lists!O$22)-MONTH($J66)))&gt;Lists!O$22)+1)))),IF($AP66="F",IF(N($K66)&lt;=0,0,MIN(MAX(0,$H66),N($K66)*IF(Lists!O$21&lt;$J66,0,(((YEAR(Lists!O$21)-YEAR($J66))*12+MONTH(Lists!O$21)-MONTH($J66))-(EDATE($J66,((YEAR(Lists!O$21)-YEAR($J66))*12+MONTH(Lists!O$21)-MONTH($J66)))&gt;Lists!O$21)+1)))-MIN(MAX(0,$H66),N($K66)*IF(Lists!O$22&lt;$J66,0,(((YEAR(Lists!O$22)-YEAR($J66))*12+MONTH(Lists!O$22)-MONTH($J66))-(EDATE($J66,((YEAR(Lists!O$22)-YEAR($J66))*12+MONTH(Lists!O$22)-MONTH($J66)))&gt;Lists!O$22)+1)))),N($C66)*IF($AE66-$AD66&lt;1,($AD66&gt;Lists!O$22)*($AD66&lt;=Lists!O$21),MAX(0,MIN(Lists!O$21,$AE66)-MAX(Lists!O$22,$AD66))/($AE66-$AD66))+N($D66)*IF($AG66-$AF66&lt;1,($AF66&gt;Lists!O$22)*($AF66&lt;=Lists!O$21),MAX(0,MIN(Lists!O$21,$AG66)-MAX(Lists!O$22,$AF66))/($AG66-$AF66))+N($E66)*IF($AI66-$AH66&lt;1,($AH66&gt;Lists!O$22)*($AH66&lt;=Lists!O$21),MAX(0,MIN(Lists!O$21,$AI66)-MAX(Lists!O$22,$AH66))/($AI66-$AH66))+N($F66)*IF($AK66-$AJ66&lt;1,($AJ66&gt;Lists!O$22)*($AJ66&lt;=Lists!O$21),MAX(0,MIN(Lists!O$21,$AK66)-MAX(Lists!O$22,$AJ66))/($AK66-$AJ66))+N($G66)*IF($AM66-$AL66&lt;1,($AL66&gt;Lists!O$22)*($AL66&lt;=Lists!O$21),MAX(0,MIN(Lists!O$21,$AM66)-MAX(Lists!O$22,$AL66))/($AM66-$AL66))))))))</f>
        <v>0</v>
      </c>
      <c r="Z66" s="46" t="n">
        <f aca="false">SUM(M66:Y66)</f>
        <v>0</v>
      </c>
      <c r="AA66" s="92" t="n">
        <f aca="false">H66-Z66</f>
        <v>0</v>
      </c>
      <c r="AB66" s="55"/>
      <c r="AC66" s="2"/>
      <c r="AD66" s="93" t="n">
        <f aca="false">Setup!$D$10+MAX(0,$AN66-30)</f>
        <v>46365</v>
      </c>
      <c r="AE66" s="93" t="n">
        <f aca="false">Setup!$D$10+IF($AN66-30&lt;0,MAX(Setup!$D$22,$AN66-0),$AN66-0)</f>
        <v>46395</v>
      </c>
      <c r="AF66" s="93" t="n">
        <f aca="false">Setup!$D$10+MAX(0,$AN66-60)</f>
        <v>46335</v>
      </c>
      <c r="AG66" s="93" t="n">
        <f aca="false">Setup!$D$10+IF($AN66-60&lt;0,MAX(Setup!$D$22,$AN66-31),$AN66-31)</f>
        <v>46364</v>
      </c>
      <c r="AH66" s="93" t="n">
        <f aca="false">Setup!$D$10+MAX(0,$AN66-90)</f>
        <v>46335</v>
      </c>
      <c r="AI66" s="93" t="n">
        <f aca="false">Setup!$D$10+IF($AN66-90&lt;0,MAX(Setup!$D$22,$AN66-61),$AN66-61)</f>
        <v>46363</v>
      </c>
      <c r="AJ66" s="93" t="n">
        <f aca="false">Setup!$D$10+MAX(0,$AN66-120)</f>
        <v>46335</v>
      </c>
      <c r="AK66" s="93" t="n">
        <f aca="false">Setup!$D$10+IF($AN66-120&lt;0,MAX(Setup!$D$22,$AN66-91),$AN66-91)</f>
        <v>46363</v>
      </c>
      <c r="AL66" s="93" t="n">
        <f aca="false">IF(Setup!$D$23="Yes",2958465,Setup!$D$10)</f>
        <v>2958465</v>
      </c>
      <c r="AM66" s="93" t="n">
        <f aca="false">IF(AL66=2958465,AL66,Setup!$D$10+Setup!$D$22)</f>
        <v>2958465</v>
      </c>
      <c r="AN66" s="94" t="n">
        <f aca="false">IF(N(L66)=0,Setup!$D$20,L66)</f>
        <v>60</v>
      </c>
      <c r="AO66" s="94" t="n">
        <f aca="false">MAX(1,ROUND(N(K66),0))</f>
        <v>1</v>
      </c>
      <c r="AP66" s="95" t="str">
        <f aca="false">IF(I66="Doubtful","X",IF(N(J66)=0,"A",IF(I66="Specific date","S",IF(I66="Spread over days","D",IF(I66="Monthly on set day","M",IF(I66="Monthly fixed amount","F","A"))))))</f>
        <v>A</v>
      </c>
    </row>
    <row r="67" customFormat="false" ht="15" hidden="false" customHeight="false" outlineLevel="0" collapsed="false">
      <c r="A67" s="87" t="n">
        <v>59</v>
      </c>
      <c r="B67" s="55"/>
      <c r="C67" s="88"/>
      <c r="D67" s="88"/>
      <c r="E67" s="88"/>
      <c r="F67" s="88"/>
      <c r="G67" s="88"/>
      <c r="H67" s="89" t="n">
        <f aca="false">SUM(C67:G67)</f>
        <v>0</v>
      </c>
      <c r="I67" s="58"/>
      <c r="J67" s="90"/>
      <c r="K67" s="91"/>
      <c r="L67" s="80"/>
      <c r="M67" s="53" t="n">
        <f aca="false">IF($H67=0,0,IF($AP67="X",0,IF($AP67="S",$H67/$AO67*(MIN($AO67,MAX(0,INT((Lists!C$21-N($J67))/7)+1))-MIN($AO67,MAX(0,INT((Lists!C$22-N($J67))/7)+1))),IF($AP67="D",$H67*MAX(0,MIN(Lists!C$21,N($J67)+$AO67)-MAX(Lists!C$22,N($J67)))/$AO67,IF($AP67="M",$H67/$AO67*(IF(Lists!C$21&lt;$J67,0,MIN($AO67,(((YEAR(Lists!C$21)-YEAR($J67))*12+MONTH(Lists!C$21)-MONTH($J67))-(EDATE($J67,((YEAR(Lists!C$21)-YEAR($J67))*12+MONTH(Lists!C$21)-MONTH($J67)))&gt;Lists!C$21)+1)))-IF(Lists!C$22&lt;$J67,0,MIN($AO67,(((YEAR(Lists!C$22)-YEAR($J67))*12+MONTH(Lists!C$22)-MONTH($J67))-(EDATE($J67,((YEAR(Lists!C$22)-YEAR($J67))*12+MONTH(Lists!C$22)-MONTH($J67)))&gt;Lists!C$22)+1)))),IF($AP67="F",IF(N($K67)&lt;=0,0,MIN(MAX(0,$H67),N($K67)*IF(Lists!C$21&lt;$J67,0,(((YEAR(Lists!C$21)-YEAR($J67))*12+MONTH(Lists!C$21)-MONTH($J67))-(EDATE($J67,((YEAR(Lists!C$21)-YEAR($J67))*12+MONTH(Lists!C$21)-MONTH($J67)))&gt;Lists!C$21)+1)))-MIN(MAX(0,$H67),N($K67)*IF(Lists!C$22&lt;$J67,0,(((YEAR(Lists!C$22)-YEAR($J67))*12+MONTH(Lists!C$22)-MONTH($J67))-(EDATE($J67,((YEAR(Lists!C$22)-YEAR($J67))*12+MONTH(Lists!C$22)-MONTH($J67)))&gt;Lists!C$22)+1)))),N($C67)*IF($AE67-$AD67&lt;1,($AD67&gt;Lists!C$22)*($AD67&lt;=Lists!C$21),MAX(0,MIN(Lists!C$21,$AE67)-MAX(Lists!C$22,$AD67))/($AE67-$AD67))+N($D67)*IF($AG67-$AF67&lt;1,($AF67&gt;Lists!C$22)*($AF67&lt;=Lists!C$21),MAX(0,MIN(Lists!C$21,$AG67)-MAX(Lists!C$22,$AF67))/($AG67-$AF67))+N($E67)*IF($AI67-$AH67&lt;1,($AH67&gt;Lists!C$22)*($AH67&lt;=Lists!C$21),MAX(0,MIN(Lists!C$21,$AI67)-MAX(Lists!C$22,$AH67))/($AI67-$AH67))+N($F67)*IF($AK67-$AJ67&lt;1,($AJ67&gt;Lists!C$22)*($AJ67&lt;=Lists!C$21),MAX(0,MIN(Lists!C$21,$AK67)-MAX(Lists!C$22,$AJ67))/($AK67-$AJ67))+N($G67)*IF($AM67-$AL67&lt;1,($AL67&gt;Lists!C$22)*($AL67&lt;=Lists!C$21),MAX(0,MIN(Lists!C$21,$AM67)-MAX(Lists!C$22,$AL67))/($AM67-$AL67))))))))</f>
        <v>0</v>
      </c>
      <c r="N67" s="53" t="n">
        <f aca="false">IF($H67=0,0,IF($AP67="X",0,IF($AP67="S",$H67/$AO67*(MIN($AO67,MAX(0,INT((Lists!D$21-N($J67))/7)+1))-MIN($AO67,MAX(0,INT((Lists!D$22-N($J67))/7)+1))),IF($AP67="D",$H67*MAX(0,MIN(Lists!D$21,N($J67)+$AO67)-MAX(Lists!D$22,N($J67)))/$AO67,IF($AP67="M",$H67/$AO67*(IF(Lists!D$21&lt;$J67,0,MIN($AO67,(((YEAR(Lists!D$21)-YEAR($J67))*12+MONTH(Lists!D$21)-MONTH($J67))-(EDATE($J67,((YEAR(Lists!D$21)-YEAR($J67))*12+MONTH(Lists!D$21)-MONTH($J67)))&gt;Lists!D$21)+1)))-IF(Lists!D$22&lt;$J67,0,MIN($AO67,(((YEAR(Lists!D$22)-YEAR($J67))*12+MONTH(Lists!D$22)-MONTH($J67))-(EDATE($J67,((YEAR(Lists!D$22)-YEAR($J67))*12+MONTH(Lists!D$22)-MONTH($J67)))&gt;Lists!D$22)+1)))),IF($AP67="F",IF(N($K67)&lt;=0,0,MIN(MAX(0,$H67),N($K67)*IF(Lists!D$21&lt;$J67,0,(((YEAR(Lists!D$21)-YEAR($J67))*12+MONTH(Lists!D$21)-MONTH($J67))-(EDATE($J67,((YEAR(Lists!D$21)-YEAR($J67))*12+MONTH(Lists!D$21)-MONTH($J67)))&gt;Lists!D$21)+1)))-MIN(MAX(0,$H67),N($K67)*IF(Lists!D$22&lt;$J67,0,(((YEAR(Lists!D$22)-YEAR($J67))*12+MONTH(Lists!D$22)-MONTH($J67))-(EDATE($J67,((YEAR(Lists!D$22)-YEAR($J67))*12+MONTH(Lists!D$22)-MONTH($J67)))&gt;Lists!D$22)+1)))),N($C67)*IF($AE67-$AD67&lt;1,($AD67&gt;Lists!D$22)*($AD67&lt;=Lists!D$21),MAX(0,MIN(Lists!D$21,$AE67)-MAX(Lists!D$22,$AD67))/($AE67-$AD67))+N($D67)*IF($AG67-$AF67&lt;1,($AF67&gt;Lists!D$22)*($AF67&lt;=Lists!D$21),MAX(0,MIN(Lists!D$21,$AG67)-MAX(Lists!D$22,$AF67))/($AG67-$AF67))+N($E67)*IF($AI67-$AH67&lt;1,($AH67&gt;Lists!D$22)*($AH67&lt;=Lists!D$21),MAX(0,MIN(Lists!D$21,$AI67)-MAX(Lists!D$22,$AH67))/($AI67-$AH67))+N($F67)*IF($AK67-$AJ67&lt;1,($AJ67&gt;Lists!D$22)*($AJ67&lt;=Lists!D$21),MAX(0,MIN(Lists!D$21,$AK67)-MAX(Lists!D$22,$AJ67))/($AK67-$AJ67))+N($G67)*IF($AM67-$AL67&lt;1,($AL67&gt;Lists!D$22)*($AL67&lt;=Lists!D$21),MAX(0,MIN(Lists!D$21,$AM67)-MAX(Lists!D$22,$AL67))/($AM67-$AL67))))))))</f>
        <v>0</v>
      </c>
      <c r="O67" s="53" t="n">
        <f aca="false">IF($H67=0,0,IF($AP67="X",0,IF($AP67="S",$H67/$AO67*(MIN($AO67,MAX(0,INT((Lists!E$21-N($J67))/7)+1))-MIN($AO67,MAX(0,INT((Lists!E$22-N($J67))/7)+1))),IF($AP67="D",$H67*MAX(0,MIN(Lists!E$21,N($J67)+$AO67)-MAX(Lists!E$22,N($J67)))/$AO67,IF($AP67="M",$H67/$AO67*(IF(Lists!E$21&lt;$J67,0,MIN($AO67,(((YEAR(Lists!E$21)-YEAR($J67))*12+MONTH(Lists!E$21)-MONTH($J67))-(EDATE($J67,((YEAR(Lists!E$21)-YEAR($J67))*12+MONTH(Lists!E$21)-MONTH($J67)))&gt;Lists!E$21)+1)))-IF(Lists!E$22&lt;$J67,0,MIN($AO67,(((YEAR(Lists!E$22)-YEAR($J67))*12+MONTH(Lists!E$22)-MONTH($J67))-(EDATE($J67,((YEAR(Lists!E$22)-YEAR($J67))*12+MONTH(Lists!E$22)-MONTH($J67)))&gt;Lists!E$22)+1)))),IF($AP67="F",IF(N($K67)&lt;=0,0,MIN(MAX(0,$H67),N($K67)*IF(Lists!E$21&lt;$J67,0,(((YEAR(Lists!E$21)-YEAR($J67))*12+MONTH(Lists!E$21)-MONTH($J67))-(EDATE($J67,((YEAR(Lists!E$21)-YEAR($J67))*12+MONTH(Lists!E$21)-MONTH($J67)))&gt;Lists!E$21)+1)))-MIN(MAX(0,$H67),N($K67)*IF(Lists!E$22&lt;$J67,0,(((YEAR(Lists!E$22)-YEAR($J67))*12+MONTH(Lists!E$22)-MONTH($J67))-(EDATE($J67,((YEAR(Lists!E$22)-YEAR($J67))*12+MONTH(Lists!E$22)-MONTH($J67)))&gt;Lists!E$22)+1)))),N($C67)*IF($AE67-$AD67&lt;1,($AD67&gt;Lists!E$22)*($AD67&lt;=Lists!E$21),MAX(0,MIN(Lists!E$21,$AE67)-MAX(Lists!E$22,$AD67))/($AE67-$AD67))+N($D67)*IF($AG67-$AF67&lt;1,($AF67&gt;Lists!E$22)*($AF67&lt;=Lists!E$21),MAX(0,MIN(Lists!E$21,$AG67)-MAX(Lists!E$22,$AF67))/($AG67-$AF67))+N($E67)*IF($AI67-$AH67&lt;1,($AH67&gt;Lists!E$22)*($AH67&lt;=Lists!E$21),MAX(0,MIN(Lists!E$21,$AI67)-MAX(Lists!E$22,$AH67))/($AI67-$AH67))+N($F67)*IF($AK67-$AJ67&lt;1,($AJ67&gt;Lists!E$22)*($AJ67&lt;=Lists!E$21),MAX(0,MIN(Lists!E$21,$AK67)-MAX(Lists!E$22,$AJ67))/($AK67-$AJ67))+N($G67)*IF($AM67-$AL67&lt;1,($AL67&gt;Lists!E$22)*($AL67&lt;=Lists!E$21),MAX(0,MIN(Lists!E$21,$AM67)-MAX(Lists!E$22,$AL67))/($AM67-$AL67))))))))</f>
        <v>0</v>
      </c>
      <c r="P67" s="53" t="n">
        <f aca="false">IF($H67=0,0,IF($AP67="X",0,IF($AP67="S",$H67/$AO67*(MIN($AO67,MAX(0,INT((Lists!F$21-N($J67))/7)+1))-MIN($AO67,MAX(0,INT((Lists!F$22-N($J67))/7)+1))),IF($AP67="D",$H67*MAX(0,MIN(Lists!F$21,N($J67)+$AO67)-MAX(Lists!F$22,N($J67)))/$AO67,IF($AP67="M",$H67/$AO67*(IF(Lists!F$21&lt;$J67,0,MIN($AO67,(((YEAR(Lists!F$21)-YEAR($J67))*12+MONTH(Lists!F$21)-MONTH($J67))-(EDATE($J67,((YEAR(Lists!F$21)-YEAR($J67))*12+MONTH(Lists!F$21)-MONTH($J67)))&gt;Lists!F$21)+1)))-IF(Lists!F$22&lt;$J67,0,MIN($AO67,(((YEAR(Lists!F$22)-YEAR($J67))*12+MONTH(Lists!F$22)-MONTH($J67))-(EDATE($J67,((YEAR(Lists!F$22)-YEAR($J67))*12+MONTH(Lists!F$22)-MONTH($J67)))&gt;Lists!F$22)+1)))),IF($AP67="F",IF(N($K67)&lt;=0,0,MIN(MAX(0,$H67),N($K67)*IF(Lists!F$21&lt;$J67,0,(((YEAR(Lists!F$21)-YEAR($J67))*12+MONTH(Lists!F$21)-MONTH($J67))-(EDATE($J67,((YEAR(Lists!F$21)-YEAR($J67))*12+MONTH(Lists!F$21)-MONTH($J67)))&gt;Lists!F$21)+1)))-MIN(MAX(0,$H67),N($K67)*IF(Lists!F$22&lt;$J67,0,(((YEAR(Lists!F$22)-YEAR($J67))*12+MONTH(Lists!F$22)-MONTH($J67))-(EDATE($J67,((YEAR(Lists!F$22)-YEAR($J67))*12+MONTH(Lists!F$22)-MONTH($J67)))&gt;Lists!F$22)+1)))),N($C67)*IF($AE67-$AD67&lt;1,($AD67&gt;Lists!F$22)*($AD67&lt;=Lists!F$21),MAX(0,MIN(Lists!F$21,$AE67)-MAX(Lists!F$22,$AD67))/($AE67-$AD67))+N($D67)*IF($AG67-$AF67&lt;1,($AF67&gt;Lists!F$22)*($AF67&lt;=Lists!F$21),MAX(0,MIN(Lists!F$21,$AG67)-MAX(Lists!F$22,$AF67))/($AG67-$AF67))+N($E67)*IF($AI67-$AH67&lt;1,($AH67&gt;Lists!F$22)*($AH67&lt;=Lists!F$21),MAX(0,MIN(Lists!F$21,$AI67)-MAX(Lists!F$22,$AH67))/($AI67-$AH67))+N($F67)*IF($AK67-$AJ67&lt;1,($AJ67&gt;Lists!F$22)*($AJ67&lt;=Lists!F$21),MAX(0,MIN(Lists!F$21,$AK67)-MAX(Lists!F$22,$AJ67))/($AK67-$AJ67))+N($G67)*IF($AM67-$AL67&lt;1,($AL67&gt;Lists!F$22)*($AL67&lt;=Lists!F$21),MAX(0,MIN(Lists!F$21,$AM67)-MAX(Lists!F$22,$AL67))/($AM67-$AL67))))))))</f>
        <v>0</v>
      </c>
      <c r="Q67" s="53" t="n">
        <f aca="false">IF($H67=0,0,IF($AP67="X",0,IF($AP67="S",$H67/$AO67*(MIN($AO67,MAX(0,INT((Lists!G$21-N($J67))/7)+1))-MIN($AO67,MAX(0,INT((Lists!G$22-N($J67))/7)+1))),IF($AP67="D",$H67*MAX(0,MIN(Lists!G$21,N($J67)+$AO67)-MAX(Lists!G$22,N($J67)))/$AO67,IF($AP67="M",$H67/$AO67*(IF(Lists!G$21&lt;$J67,0,MIN($AO67,(((YEAR(Lists!G$21)-YEAR($J67))*12+MONTH(Lists!G$21)-MONTH($J67))-(EDATE($J67,((YEAR(Lists!G$21)-YEAR($J67))*12+MONTH(Lists!G$21)-MONTH($J67)))&gt;Lists!G$21)+1)))-IF(Lists!G$22&lt;$J67,0,MIN($AO67,(((YEAR(Lists!G$22)-YEAR($J67))*12+MONTH(Lists!G$22)-MONTH($J67))-(EDATE($J67,((YEAR(Lists!G$22)-YEAR($J67))*12+MONTH(Lists!G$22)-MONTH($J67)))&gt;Lists!G$22)+1)))),IF($AP67="F",IF(N($K67)&lt;=0,0,MIN(MAX(0,$H67),N($K67)*IF(Lists!G$21&lt;$J67,0,(((YEAR(Lists!G$21)-YEAR($J67))*12+MONTH(Lists!G$21)-MONTH($J67))-(EDATE($J67,((YEAR(Lists!G$21)-YEAR($J67))*12+MONTH(Lists!G$21)-MONTH($J67)))&gt;Lists!G$21)+1)))-MIN(MAX(0,$H67),N($K67)*IF(Lists!G$22&lt;$J67,0,(((YEAR(Lists!G$22)-YEAR($J67))*12+MONTH(Lists!G$22)-MONTH($J67))-(EDATE($J67,((YEAR(Lists!G$22)-YEAR($J67))*12+MONTH(Lists!G$22)-MONTH($J67)))&gt;Lists!G$22)+1)))),N($C67)*IF($AE67-$AD67&lt;1,($AD67&gt;Lists!G$22)*($AD67&lt;=Lists!G$21),MAX(0,MIN(Lists!G$21,$AE67)-MAX(Lists!G$22,$AD67))/($AE67-$AD67))+N($D67)*IF($AG67-$AF67&lt;1,($AF67&gt;Lists!G$22)*($AF67&lt;=Lists!G$21),MAX(0,MIN(Lists!G$21,$AG67)-MAX(Lists!G$22,$AF67))/($AG67-$AF67))+N($E67)*IF($AI67-$AH67&lt;1,($AH67&gt;Lists!G$22)*($AH67&lt;=Lists!G$21),MAX(0,MIN(Lists!G$21,$AI67)-MAX(Lists!G$22,$AH67))/($AI67-$AH67))+N($F67)*IF($AK67-$AJ67&lt;1,($AJ67&gt;Lists!G$22)*($AJ67&lt;=Lists!G$21),MAX(0,MIN(Lists!G$21,$AK67)-MAX(Lists!G$22,$AJ67))/($AK67-$AJ67))+N($G67)*IF($AM67-$AL67&lt;1,($AL67&gt;Lists!G$22)*($AL67&lt;=Lists!G$21),MAX(0,MIN(Lists!G$21,$AM67)-MAX(Lists!G$22,$AL67))/($AM67-$AL67))))))))</f>
        <v>0</v>
      </c>
      <c r="R67" s="53" t="n">
        <f aca="false">IF($H67=0,0,IF($AP67="X",0,IF($AP67="S",$H67/$AO67*(MIN($AO67,MAX(0,INT((Lists!H$21-N($J67))/7)+1))-MIN($AO67,MAX(0,INT((Lists!H$22-N($J67))/7)+1))),IF($AP67="D",$H67*MAX(0,MIN(Lists!H$21,N($J67)+$AO67)-MAX(Lists!H$22,N($J67)))/$AO67,IF($AP67="M",$H67/$AO67*(IF(Lists!H$21&lt;$J67,0,MIN($AO67,(((YEAR(Lists!H$21)-YEAR($J67))*12+MONTH(Lists!H$21)-MONTH($J67))-(EDATE($J67,((YEAR(Lists!H$21)-YEAR($J67))*12+MONTH(Lists!H$21)-MONTH($J67)))&gt;Lists!H$21)+1)))-IF(Lists!H$22&lt;$J67,0,MIN($AO67,(((YEAR(Lists!H$22)-YEAR($J67))*12+MONTH(Lists!H$22)-MONTH($J67))-(EDATE($J67,((YEAR(Lists!H$22)-YEAR($J67))*12+MONTH(Lists!H$22)-MONTH($J67)))&gt;Lists!H$22)+1)))),IF($AP67="F",IF(N($K67)&lt;=0,0,MIN(MAX(0,$H67),N($K67)*IF(Lists!H$21&lt;$J67,0,(((YEAR(Lists!H$21)-YEAR($J67))*12+MONTH(Lists!H$21)-MONTH($J67))-(EDATE($J67,((YEAR(Lists!H$21)-YEAR($J67))*12+MONTH(Lists!H$21)-MONTH($J67)))&gt;Lists!H$21)+1)))-MIN(MAX(0,$H67),N($K67)*IF(Lists!H$22&lt;$J67,0,(((YEAR(Lists!H$22)-YEAR($J67))*12+MONTH(Lists!H$22)-MONTH($J67))-(EDATE($J67,((YEAR(Lists!H$22)-YEAR($J67))*12+MONTH(Lists!H$22)-MONTH($J67)))&gt;Lists!H$22)+1)))),N($C67)*IF($AE67-$AD67&lt;1,($AD67&gt;Lists!H$22)*($AD67&lt;=Lists!H$21),MAX(0,MIN(Lists!H$21,$AE67)-MAX(Lists!H$22,$AD67))/($AE67-$AD67))+N($D67)*IF($AG67-$AF67&lt;1,($AF67&gt;Lists!H$22)*($AF67&lt;=Lists!H$21),MAX(0,MIN(Lists!H$21,$AG67)-MAX(Lists!H$22,$AF67))/($AG67-$AF67))+N($E67)*IF($AI67-$AH67&lt;1,($AH67&gt;Lists!H$22)*($AH67&lt;=Lists!H$21),MAX(0,MIN(Lists!H$21,$AI67)-MAX(Lists!H$22,$AH67))/($AI67-$AH67))+N($F67)*IF($AK67-$AJ67&lt;1,($AJ67&gt;Lists!H$22)*($AJ67&lt;=Lists!H$21),MAX(0,MIN(Lists!H$21,$AK67)-MAX(Lists!H$22,$AJ67))/($AK67-$AJ67))+N($G67)*IF($AM67-$AL67&lt;1,($AL67&gt;Lists!H$22)*($AL67&lt;=Lists!H$21),MAX(0,MIN(Lists!H$21,$AM67)-MAX(Lists!H$22,$AL67))/($AM67-$AL67))))))))</f>
        <v>0</v>
      </c>
      <c r="S67" s="53" t="n">
        <f aca="false">IF($H67=0,0,IF($AP67="X",0,IF($AP67="S",$H67/$AO67*(MIN($AO67,MAX(0,INT((Lists!I$21-N($J67))/7)+1))-MIN($AO67,MAX(0,INT((Lists!I$22-N($J67))/7)+1))),IF($AP67="D",$H67*MAX(0,MIN(Lists!I$21,N($J67)+$AO67)-MAX(Lists!I$22,N($J67)))/$AO67,IF($AP67="M",$H67/$AO67*(IF(Lists!I$21&lt;$J67,0,MIN($AO67,(((YEAR(Lists!I$21)-YEAR($J67))*12+MONTH(Lists!I$21)-MONTH($J67))-(EDATE($J67,((YEAR(Lists!I$21)-YEAR($J67))*12+MONTH(Lists!I$21)-MONTH($J67)))&gt;Lists!I$21)+1)))-IF(Lists!I$22&lt;$J67,0,MIN($AO67,(((YEAR(Lists!I$22)-YEAR($J67))*12+MONTH(Lists!I$22)-MONTH($J67))-(EDATE($J67,((YEAR(Lists!I$22)-YEAR($J67))*12+MONTH(Lists!I$22)-MONTH($J67)))&gt;Lists!I$22)+1)))),IF($AP67="F",IF(N($K67)&lt;=0,0,MIN(MAX(0,$H67),N($K67)*IF(Lists!I$21&lt;$J67,0,(((YEAR(Lists!I$21)-YEAR($J67))*12+MONTH(Lists!I$21)-MONTH($J67))-(EDATE($J67,((YEAR(Lists!I$21)-YEAR($J67))*12+MONTH(Lists!I$21)-MONTH($J67)))&gt;Lists!I$21)+1)))-MIN(MAX(0,$H67),N($K67)*IF(Lists!I$22&lt;$J67,0,(((YEAR(Lists!I$22)-YEAR($J67))*12+MONTH(Lists!I$22)-MONTH($J67))-(EDATE($J67,((YEAR(Lists!I$22)-YEAR($J67))*12+MONTH(Lists!I$22)-MONTH($J67)))&gt;Lists!I$22)+1)))),N($C67)*IF($AE67-$AD67&lt;1,($AD67&gt;Lists!I$22)*($AD67&lt;=Lists!I$21),MAX(0,MIN(Lists!I$21,$AE67)-MAX(Lists!I$22,$AD67))/($AE67-$AD67))+N($D67)*IF($AG67-$AF67&lt;1,($AF67&gt;Lists!I$22)*($AF67&lt;=Lists!I$21),MAX(0,MIN(Lists!I$21,$AG67)-MAX(Lists!I$22,$AF67))/($AG67-$AF67))+N($E67)*IF($AI67-$AH67&lt;1,($AH67&gt;Lists!I$22)*($AH67&lt;=Lists!I$21),MAX(0,MIN(Lists!I$21,$AI67)-MAX(Lists!I$22,$AH67))/($AI67-$AH67))+N($F67)*IF($AK67-$AJ67&lt;1,($AJ67&gt;Lists!I$22)*($AJ67&lt;=Lists!I$21),MAX(0,MIN(Lists!I$21,$AK67)-MAX(Lists!I$22,$AJ67))/($AK67-$AJ67))+N($G67)*IF($AM67-$AL67&lt;1,($AL67&gt;Lists!I$22)*($AL67&lt;=Lists!I$21),MAX(0,MIN(Lists!I$21,$AM67)-MAX(Lists!I$22,$AL67))/($AM67-$AL67))))))))</f>
        <v>0</v>
      </c>
      <c r="T67" s="53" t="n">
        <f aca="false">IF($H67=0,0,IF($AP67="X",0,IF($AP67="S",$H67/$AO67*(MIN($AO67,MAX(0,INT((Lists!J$21-N($J67))/7)+1))-MIN($AO67,MAX(0,INT((Lists!J$22-N($J67))/7)+1))),IF($AP67="D",$H67*MAX(0,MIN(Lists!J$21,N($J67)+$AO67)-MAX(Lists!J$22,N($J67)))/$AO67,IF($AP67="M",$H67/$AO67*(IF(Lists!J$21&lt;$J67,0,MIN($AO67,(((YEAR(Lists!J$21)-YEAR($J67))*12+MONTH(Lists!J$21)-MONTH($J67))-(EDATE($J67,((YEAR(Lists!J$21)-YEAR($J67))*12+MONTH(Lists!J$21)-MONTH($J67)))&gt;Lists!J$21)+1)))-IF(Lists!J$22&lt;$J67,0,MIN($AO67,(((YEAR(Lists!J$22)-YEAR($J67))*12+MONTH(Lists!J$22)-MONTH($J67))-(EDATE($J67,((YEAR(Lists!J$22)-YEAR($J67))*12+MONTH(Lists!J$22)-MONTH($J67)))&gt;Lists!J$22)+1)))),IF($AP67="F",IF(N($K67)&lt;=0,0,MIN(MAX(0,$H67),N($K67)*IF(Lists!J$21&lt;$J67,0,(((YEAR(Lists!J$21)-YEAR($J67))*12+MONTH(Lists!J$21)-MONTH($J67))-(EDATE($J67,((YEAR(Lists!J$21)-YEAR($J67))*12+MONTH(Lists!J$21)-MONTH($J67)))&gt;Lists!J$21)+1)))-MIN(MAX(0,$H67),N($K67)*IF(Lists!J$22&lt;$J67,0,(((YEAR(Lists!J$22)-YEAR($J67))*12+MONTH(Lists!J$22)-MONTH($J67))-(EDATE($J67,((YEAR(Lists!J$22)-YEAR($J67))*12+MONTH(Lists!J$22)-MONTH($J67)))&gt;Lists!J$22)+1)))),N($C67)*IF($AE67-$AD67&lt;1,($AD67&gt;Lists!J$22)*($AD67&lt;=Lists!J$21),MAX(0,MIN(Lists!J$21,$AE67)-MAX(Lists!J$22,$AD67))/($AE67-$AD67))+N($D67)*IF($AG67-$AF67&lt;1,($AF67&gt;Lists!J$22)*($AF67&lt;=Lists!J$21),MAX(0,MIN(Lists!J$21,$AG67)-MAX(Lists!J$22,$AF67))/($AG67-$AF67))+N($E67)*IF($AI67-$AH67&lt;1,($AH67&gt;Lists!J$22)*($AH67&lt;=Lists!J$21),MAX(0,MIN(Lists!J$21,$AI67)-MAX(Lists!J$22,$AH67))/($AI67-$AH67))+N($F67)*IF($AK67-$AJ67&lt;1,($AJ67&gt;Lists!J$22)*($AJ67&lt;=Lists!J$21),MAX(0,MIN(Lists!J$21,$AK67)-MAX(Lists!J$22,$AJ67))/($AK67-$AJ67))+N($G67)*IF($AM67-$AL67&lt;1,($AL67&gt;Lists!J$22)*($AL67&lt;=Lists!J$21),MAX(0,MIN(Lists!J$21,$AM67)-MAX(Lists!J$22,$AL67))/($AM67-$AL67))))))))</f>
        <v>0</v>
      </c>
      <c r="U67" s="53" t="n">
        <f aca="false">IF($H67=0,0,IF($AP67="X",0,IF($AP67="S",$H67/$AO67*(MIN($AO67,MAX(0,INT((Lists!K$21-N($J67))/7)+1))-MIN($AO67,MAX(0,INT((Lists!K$22-N($J67))/7)+1))),IF($AP67="D",$H67*MAX(0,MIN(Lists!K$21,N($J67)+$AO67)-MAX(Lists!K$22,N($J67)))/$AO67,IF($AP67="M",$H67/$AO67*(IF(Lists!K$21&lt;$J67,0,MIN($AO67,(((YEAR(Lists!K$21)-YEAR($J67))*12+MONTH(Lists!K$21)-MONTH($J67))-(EDATE($J67,((YEAR(Lists!K$21)-YEAR($J67))*12+MONTH(Lists!K$21)-MONTH($J67)))&gt;Lists!K$21)+1)))-IF(Lists!K$22&lt;$J67,0,MIN($AO67,(((YEAR(Lists!K$22)-YEAR($J67))*12+MONTH(Lists!K$22)-MONTH($J67))-(EDATE($J67,((YEAR(Lists!K$22)-YEAR($J67))*12+MONTH(Lists!K$22)-MONTH($J67)))&gt;Lists!K$22)+1)))),IF($AP67="F",IF(N($K67)&lt;=0,0,MIN(MAX(0,$H67),N($K67)*IF(Lists!K$21&lt;$J67,0,(((YEAR(Lists!K$21)-YEAR($J67))*12+MONTH(Lists!K$21)-MONTH($J67))-(EDATE($J67,((YEAR(Lists!K$21)-YEAR($J67))*12+MONTH(Lists!K$21)-MONTH($J67)))&gt;Lists!K$21)+1)))-MIN(MAX(0,$H67),N($K67)*IF(Lists!K$22&lt;$J67,0,(((YEAR(Lists!K$22)-YEAR($J67))*12+MONTH(Lists!K$22)-MONTH($J67))-(EDATE($J67,((YEAR(Lists!K$22)-YEAR($J67))*12+MONTH(Lists!K$22)-MONTH($J67)))&gt;Lists!K$22)+1)))),N($C67)*IF($AE67-$AD67&lt;1,($AD67&gt;Lists!K$22)*($AD67&lt;=Lists!K$21),MAX(0,MIN(Lists!K$21,$AE67)-MAX(Lists!K$22,$AD67))/($AE67-$AD67))+N($D67)*IF($AG67-$AF67&lt;1,($AF67&gt;Lists!K$22)*($AF67&lt;=Lists!K$21),MAX(0,MIN(Lists!K$21,$AG67)-MAX(Lists!K$22,$AF67))/($AG67-$AF67))+N($E67)*IF($AI67-$AH67&lt;1,($AH67&gt;Lists!K$22)*($AH67&lt;=Lists!K$21),MAX(0,MIN(Lists!K$21,$AI67)-MAX(Lists!K$22,$AH67))/($AI67-$AH67))+N($F67)*IF($AK67-$AJ67&lt;1,($AJ67&gt;Lists!K$22)*($AJ67&lt;=Lists!K$21),MAX(0,MIN(Lists!K$21,$AK67)-MAX(Lists!K$22,$AJ67))/($AK67-$AJ67))+N($G67)*IF($AM67-$AL67&lt;1,($AL67&gt;Lists!K$22)*($AL67&lt;=Lists!K$21),MAX(0,MIN(Lists!K$21,$AM67)-MAX(Lists!K$22,$AL67))/($AM67-$AL67))))))))</f>
        <v>0</v>
      </c>
      <c r="V67" s="53" t="n">
        <f aca="false">IF($H67=0,0,IF($AP67="X",0,IF($AP67="S",$H67/$AO67*(MIN($AO67,MAX(0,INT((Lists!L$21-N($J67))/7)+1))-MIN($AO67,MAX(0,INT((Lists!L$22-N($J67))/7)+1))),IF($AP67="D",$H67*MAX(0,MIN(Lists!L$21,N($J67)+$AO67)-MAX(Lists!L$22,N($J67)))/$AO67,IF($AP67="M",$H67/$AO67*(IF(Lists!L$21&lt;$J67,0,MIN($AO67,(((YEAR(Lists!L$21)-YEAR($J67))*12+MONTH(Lists!L$21)-MONTH($J67))-(EDATE($J67,((YEAR(Lists!L$21)-YEAR($J67))*12+MONTH(Lists!L$21)-MONTH($J67)))&gt;Lists!L$21)+1)))-IF(Lists!L$22&lt;$J67,0,MIN($AO67,(((YEAR(Lists!L$22)-YEAR($J67))*12+MONTH(Lists!L$22)-MONTH($J67))-(EDATE($J67,((YEAR(Lists!L$22)-YEAR($J67))*12+MONTH(Lists!L$22)-MONTH($J67)))&gt;Lists!L$22)+1)))),IF($AP67="F",IF(N($K67)&lt;=0,0,MIN(MAX(0,$H67),N($K67)*IF(Lists!L$21&lt;$J67,0,(((YEAR(Lists!L$21)-YEAR($J67))*12+MONTH(Lists!L$21)-MONTH($J67))-(EDATE($J67,((YEAR(Lists!L$21)-YEAR($J67))*12+MONTH(Lists!L$21)-MONTH($J67)))&gt;Lists!L$21)+1)))-MIN(MAX(0,$H67),N($K67)*IF(Lists!L$22&lt;$J67,0,(((YEAR(Lists!L$22)-YEAR($J67))*12+MONTH(Lists!L$22)-MONTH($J67))-(EDATE($J67,((YEAR(Lists!L$22)-YEAR($J67))*12+MONTH(Lists!L$22)-MONTH($J67)))&gt;Lists!L$22)+1)))),N($C67)*IF($AE67-$AD67&lt;1,($AD67&gt;Lists!L$22)*($AD67&lt;=Lists!L$21),MAX(0,MIN(Lists!L$21,$AE67)-MAX(Lists!L$22,$AD67))/($AE67-$AD67))+N($D67)*IF($AG67-$AF67&lt;1,($AF67&gt;Lists!L$22)*($AF67&lt;=Lists!L$21),MAX(0,MIN(Lists!L$21,$AG67)-MAX(Lists!L$22,$AF67))/($AG67-$AF67))+N($E67)*IF($AI67-$AH67&lt;1,($AH67&gt;Lists!L$22)*($AH67&lt;=Lists!L$21),MAX(0,MIN(Lists!L$21,$AI67)-MAX(Lists!L$22,$AH67))/($AI67-$AH67))+N($F67)*IF($AK67-$AJ67&lt;1,($AJ67&gt;Lists!L$22)*($AJ67&lt;=Lists!L$21),MAX(0,MIN(Lists!L$21,$AK67)-MAX(Lists!L$22,$AJ67))/($AK67-$AJ67))+N($G67)*IF($AM67-$AL67&lt;1,($AL67&gt;Lists!L$22)*($AL67&lt;=Lists!L$21),MAX(0,MIN(Lists!L$21,$AM67)-MAX(Lists!L$22,$AL67))/($AM67-$AL67))))))))</f>
        <v>0</v>
      </c>
      <c r="W67" s="53" t="n">
        <f aca="false">IF($H67=0,0,IF($AP67="X",0,IF($AP67="S",$H67/$AO67*(MIN($AO67,MAX(0,INT((Lists!M$21-N($J67))/7)+1))-MIN($AO67,MAX(0,INT((Lists!M$22-N($J67))/7)+1))),IF($AP67="D",$H67*MAX(0,MIN(Lists!M$21,N($J67)+$AO67)-MAX(Lists!M$22,N($J67)))/$AO67,IF($AP67="M",$H67/$AO67*(IF(Lists!M$21&lt;$J67,0,MIN($AO67,(((YEAR(Lists!M$21)-YEAR($J67))*12+MONTH(Lists!M$21)-MONTH($J67))-(EDATE($J67,((YEAR(Lists!M$21)-YEAR($J67))*12+MONTH(Lists!M$21)-MONTH($J67)))&gt;Lists!M$21)+1)))-IF(Lists!M$22&lt;$J67,0,MIN($AO67,(((YEAR(Lists!M$22)-YEAR($J67))*12+MONTH(Lists!M$22)-MONTH($J67))-(EDATE($J67,((YEAR(Lists!M$22)-YEAR($J67))*12+MONTH(Lists!M$22)-MONTH($J67)))&gt;Lists!M$22)+1)))),IF($AP67="F",IF(N($K67)&lt;=0,0,MIN(MAX(0,$H67),N($K67)*IF(Lists!M$21&lt;$J67,0,(((YEAR(Lists!M$21)-YEAR($J67))*12+MONTH(Lists!M$21)-MONTH($J67))-(EDATE($J67,((YEAR(Lists!M$21)-YEAR($J67))*12+MONTH(Lists!M$21)-MONTH($J67)))&gt;Lists!M$21)+1)))-MIN(MAX(0,$H67),N($K67)*IF(Lists!M$22&lt;$J67,0,(((YEAR(Lists!M$22)-YEAR($J67))*12+MONTH(Lists!M$22)-MONTH($J67))-(EDATE($J67,((YEAR(Lists!M$22)-YEAR($J67))*12+MONTH(Lists!M$22)-MONTH($J67)))&gt;Lists!M$22)+1)))),N($C67)*IF($AE67-$AD67&lt;1,($AD67&gt;Lists!M$22)*($AD67&lt;=Lists!M$21),MAX(0,MIN(Lists!M$21,$AE67)-MAX(Lists!M$22,$AD67))/($AE67-$AD67))+N($D67)*IF($AG67-$AF67&lt;1,($AF67&gt;Lists!M$22)*($AF67&lt;=Lists!M$21),MAX(0,MIN(Lists!M$21,$AG67)-MAX(Lists!M$22,$AF67))/($AG67-$AF67))+N($E67)*IF($AI67-$AH67&lt;1,($AH67&gt;Lists!M$22)*($AH67&lt;=Lists!M$21),MAX(0,MIN(Lists!M$21,$AI67)-MAX(Lists!M$22,$AH67))/($AI67-$AH67))+N($F67)*IF($AK67-$AJ67&lt;1,($AJ67&gt;Lists!M$22)*($AJ67&lt;=Lists!M$21),MAX(0,MIN(Lists!M$21,$AK67)-MAX(Lists!M$22,$AJ67))/($AK67-$AJ67))+N($G67)*IF($AM67-$AL67&lt;1,($AL67&gt;Lists!M$22)*($AL67&lt;=Lists!M$21),MAX(0,MIN(Lists!M$21,$AM67)-MAX(Lists!M$22,$AL67))/($AM67-$AL67))))))))</f>
        <v>0</v>
      </c>
      <c r="X67" s="53" t="n">
        <f aca="false">IF($H67=0,0,IF($AP67="X",0,IF($AP67="S",$H67/$AO67*(MIN($AO67,MAX(0,INT((Lists!N$21-N($J67))/7)+1))-MIN($AO67,MAX(0,INT((Lists!N$22-N($J67))/7)+1))),IF($AP67="D",$H67*MAX(0,MIN(Lists!N$21,N($J67)+$AO67)-MAX(Lists!N$22,N($J67)))/$AO67,IF($AP67="M",$H67/$AO67*(IF(Lists!N$21&lt;$J67,0,MIN($AO67,(((YEAR(Lists!N$21)-YEAR($J67))*12+MONTH(Lists!N$21)-MONTH($J67))-(EDATE($J67,((YEAR(Lists!N$21)-YEAR($J67))*12+MONTH(Lists!N$21)-MONTH($J67)))&gt;Lists!N$21)+1)))-IF(Lists!N$22&lt;$J67,0,MIN($AO67,(((YEAR(Lists!N$22)-YEAR($J67))*12+MONTH(Lists!N$22)-MONTH($J67))-(EDATE($J67,((YEAR(Lists!N$22)-YEAR($J67))*12+MONTH(Lists!N$22)-MONTH($J67)))&gt;Lists!N$22)+1)))),IF($AP67="F",IF(N($K67)&lt;=0,0,MIN(MAX(0,$H67),N($K67)*IF(Lists!N$21&lt;$J67,0,(((YEAR(Lists!N$21)-YEAR($J67))*12+MONTH(Lists!N$21)-MONTH($J67))-(EDATE($J67,((YEAR(Lists!N$21)-YEAR($J67))*12+MONTH(Lists!N$21)-MONTH($J67)))&gt;Lists!N$21)+1)))-MIN(MAX(0,$H67),N($K67)*IF(Lists!N$22&lt;$J67,0,(((YEAR(Lists!N$22)-YEAR($J67))*12+MONTH(Lists!N$22)-MONTH($J67))-(EDATE($J67,((YEAR(Lists!N$22)-YEAR($J67))*12+MONTH(Lists!N$22)-MONTH($J67)))&gt;Lists!N$22)+1)))),N($C67)*IF($AE67-$AD67&lt;1,($AD67&gt;Lists!N$22)*($AD67&lt;=Lists!N$21),MAX(0,MIN(Lists!N$21,$AE67)-MAX(Lists!N$22,$AD67))/($AE67-$AD67))+N($D67)*IF($AG67-$AF67&lt;1,($AF67&gt;Lists!N$22)*($AF67&lt;=Lists!N$21),MAX(0,MIN(Lists!N$21,$AG67)-MAX(Lists!N$22,$AF67))/($AG67-$AF67))+N($E67)*IF($AI67-$AH67&lt;1,($AH67&gt;Lists!N$22)*($AH67&lt;=Lists!N$21),MAX(0,MIN(Lists!N$21,$AI67)-MAX(Lists!N$22,$AH67))/($AI67-$AH67))+N($F67)*IF($AK67-$AJ67&lt;1,($AJ67&gt;Lists!N$22)*($AJ67&lt;=Lists!N$21),MAX(0,MIN(Lists!N$21,$AK67)-MAX(Lists!N$22,$AJ67))/($AK67-$AJ67))+N($G67)*IF($AM67-$AL67&lt;1,($AL67&gt;Lists!N$22)*($AL67&lt;=Lists!N$21),MAX(0,MIN(Lists!N$21,$AM67)-MAX(Lists!N$22,$AL67))/($AM67-$AL67))))))))</f>
        <v>0</v>
      </c>
      <c r="Y67" s="53" t="n">
        <f aca="false">IF($H67=0,0,IF($AP67="X",0,IF($AP67="S",$H67/$AO67*(MIN($AO67,MAX(0,INT((Lists!O$21-N($J67))/7)+1))-MIN($AO67,MAX(0,INT((Lists!O$22-N($J67))/7)+1))),IF($AP67="D",$H67*MAX(0,MIN(Lists!O$21,N($J67)+$AO67)-MAX(Lists!O$22,N($J67)))/$AO67,IF($AP67="M",$H67/$AO67*(IF(Lists!O$21&lt;$J67,0,MIN($AO67,(((YEAR(Lists!O$21)-YEAR($J67))*12+MONTH(Lists!O$21)-MONTH($J67))-(EDATE($J67,((YEAR(Lists!O$21)-YEAR($J67))*12+MONTH(Lists!O$21)-MONTH($J67)))&gt;Lists!O$21)+1)))-IF(Lists!O$22&lt;$J67,0,MIN($AO67,(((YEAR(Lists!O$22)-YEAR($J67))*12+MONTH(Lists!O$22)-MONTH($J67))-(EDATE($J67,((YEAR(Lists!O$22)-YEAR($J67))*12+MONTH(Lists!O$22)-MONTH($J67)))&gt;Lists!O$22)+1)))),IF($AP67="F",IF(N($K67)&lt;=0,0,MIN(MAX(0,$H67),N($K67)*IF(Lists!O$21&lt;$J67,0,(((YEAR(Lists!O$21)-YEAR($J67))*12+MONTH(Lists!O$21)-MONTH($J67))-(EDATE($J67,((YEAR(Lists!O$21)-YEAR($J67))*12+MONTH(Lists!O$21)-MONTH($J67)))&gt;Lists!O$21)+1)))-MIN(MAX(0,$H67),N($K67)*IF(Lists!O$22&lt;$J67,0,(((YEAR(Lists!O$22)-YEAR($J67))*12+MONTH(Lists!O$22)-MONTH($J67))-(EDATE($J67,((YEAR(Lists!O$22)-YEAR($J67))*12+MONTH(Lists!O$22)-MONTH($J67)))&gt;Lists!O$22)+1)))),N($C67)*IF($AE67-$AD67&lt;1,($AD67&gt;Lists!O$22)*($AD67&lt;=Lists!O$21),MAX(0,MIN(Lists!O$21,$AE67)-MAX(Lists!O$22,$AD67))/($AE67-$AD67))+N($D67)*IF($AG67-$AF67&lt;1,($AF67&gt;Lists!O$22)*($AF67&lt;=Lists!O$21),MAX(0,MIN(Lists!O$21,$AG67)-MAX(Lists!O$22,$AF67))/($AG67-$AF67))+N($E67)*IF($AI67-$AH67&lt;1,($AH67&gt;Lists!O$22)*($AH67&lt;=Lists!O$21),MAX(0,MIN(Lists!O$21,$AI67)-MAX(Lists!O$22,$AH67))/($AI67-$AH67))+N($F67)*IF($AK67-$AJ67&lt;1,($AJ67&gt;Lists!O$22)*($AJ67&lt;=Lists!O$21),MAX(0,MIN(Lists!O$21,$AK67)-MAX(Lists!O$22,$AJ67))/($AK67-$AJ67))+N($G67)*IF($AM67-$AL67&lt;1,($AL67&gt;Lists!O$22)*($AL67&lt;=Lists!O$21),MAX(0,MIN(Lists!O$21,$AM67)-MAX(Lists!O$22,$AL67))/($AM67-$AL67))))))))</f>
        <v>0</v>
      </c>
      <c r="Z67" s="46" t="n">
        <f aca="false">SUM(M67:Y67)</f>
        <v>0</v>
      </c>
      <c r="AA67" s="92" t="n">
        <f aca="false">H67-Z67</f>
        <v>0</v>
      </c>
      <c r="AB67" s="55"/>
      <c r="AC67" s="2"/>
      <c r="AD67" s="93" t="n">
        <f aca="false">Setup!$D$10+MAX(0,$AN67-30)</f>
        <v>46365</v>
      </c>
      <c r="AE67" s="93" t="n">
        <f aca="false">Setup!$D$10+IF($AN67-30&lt;0,MAX(Setup!$D$22,$AN67-0),$AN67-0)</f>
        <v>46395</v>
      </c>
      <c r="AF67" s="93" t="n">
        <f aca="false">Setup!$D$10+MAX(0,$AN67-60)</f>
        <v>46335</v>
      </c>
      <c r="AG67" s="93" t="n">
        <f aca="false">Setup!$D$10+IF($AN67-60&lt;0,MAX(Setup!$D$22,$AN67-31),$AN67-31)</f>
        <v>46364</v>
      </c>
      <c r="AH67" s="93" t="n">
        <f aca="false">Setup!$D$10+MAX(0,$AN67-90)</f>
        <v>46335</v>
      </c>
      <c r="AI67" s="93" t="n">
        <f aca="false">Setup!$D$10+IF($AN67-90&lt;0,MAX(Setup!$D$22,$AN67-61),$AN67-61)</f>
        <v>46363</v>
      </c>
      <c r="AJ67" s="93" t="n">
        <f aca="false">Setup!$D$10+MAX(0,$AN67-120)</f>
        <v>46335</v>
      </c>
      <c r="AK67" s="93" t="n">
        <f aca="false">Setup!$D$10+IF($AN67-120&lt;0,MAX(Setup!$D$22,$AN67-91),$AN67-91)</f>
        <v>46363</v>
      </c>
      <c r="AL67" s="93" t="n">
        <f aca="false">IF(Setup!$D$23="Yes",2958465,Setup!$D$10)</f>
        <v>2958465</v>
      </c>
      <c r="AM67" s="93" t="n">
        <f aca="false">IF(AL67=2958465,AL67,Setup!$D$10+Setup!$D$22)</f>
        <v>2958465</v>
      </c>
      <c r="AN67" s="94" t="n">
        <f aca="false">IF(N(L67)=0,Setup!$D$20,L67)</f>
        <v>60</v>
      </c>
      <c r="AO67" s="94" t="n">
        <f aca="false">MAX(1,ROUND(N(K67),0))</f>
        <v>1</v>
      </c>
      <c r="AP67" s="95" t="str">
        <f aca="false">IF(I67="Doubtful","X",IF(N(J67)=0,"A",IF(I67="Specific date","S",IF(I67="Spread over days","D",IF(I67="Monthly on set day","M",IF(I67="Monthly fixed amount","F","A"))))))</f>
        <v>A</v>
      </c>
    </row>
    <row r="68" customFormat="false" ht="15" hidden="false" customHeight="false" outlineLevel="0" collapsed="false">
      <c r="A68" s="87" t="n">
        <v>60</v>
      </c>
      <c r="B68" s="55"/>
      <c r="C68" s="88"/>
      <c r="D68" s="88"/>
      <c r="E68" s="88"/>
      <c r="F68" s="88"/>
      <c r="G68" s="88"/>
      <c r="H68" s="89" t="n">
        <f aca="false">SUM(C68:G68)</f>
        <v>0</v>
      </c>
      <c r="I68" s="58"/>
      <c r="J68" s="90"/>
      <c r="K68" s="91"/>
      <c r="L68" s="80"/>
      <c r="M68" s="53" t="n">
        <f aca="false">IF($H68=0,0,IF($AP68="X",0,IF($AP68="S",$H68/$AO68*(MIN($AO68,MAX(0,INT((Lists!C$21-N($J68))/7)+1))-MIN($AO68,MAX(0,INT((Lists!C$22-N($J68))/7)+1))),IF($AP68="D",$H68*MAX(0,MIN(Lists!C$21,N($J68)+$AO68)-MAX(Lists!C$22,N($J68)))/$AO68,IF($AP68="M",$H68/$AO68*(IF(Lists!C$21&lt;$J68,0,MIN($AO68,(((YEAR(Lists!C$21)-YEAR($J68))*12+MONTH(Lists!C$21)-MONTH($J68))-(EDATE($J68,((YEAR(Lists!C$21)-YEAR($J68))*12+MONTH(Lists!C$21)-MONTH($J68)))&gt;Lists!C$21)+1)))-IF(Lists!C$22&lt;$J68,0,MIN($AO68,(((YEAR(Lists!C$22)-YEAR($J68))*12+MONTH(Lists!C$22)-MONTH($J68))-(EDATE($J68,((YEAR(Lists!C$22)-YEAR($J68))*12+MONTH(Lists!C$22)-MONTH($J68)))&gt;Lists!C$22)+1)))),IF($AP68="F",IF(N($K68)&lt;=0,0,MIN(MAX(0,$H68),N($K68)*IF(Lists!C$21&lt;$J68,0,(((YEAR(Lists!C$21)-YEAR($J68))*12+MONTH(Lists!C$21)-MONTH($J68))-(EDATE($J68,((YEAR(Lists!C$21)-YEAR($J68))*12+MONTH(Lists!C$21)-MONTH($J68)))&gt;Lists!C$21)+1)))-MIN(MAX(0,$H68),N($K68)*IF(Lists!C$22&lt;$J68,0,(((YEAR(Lists!C$22)-YEAR($J68))*12+MONTH(Lists!C$22)-MONTH($J68))-(EDATE($J68,((YEAR(Lists!C$22)-YEAR($J68))*12+MONTH(Lists!C$22)-MONTH($J68)))&gt;Lists!C$22)+1)))),N($C68)*IF($AE68-$AD68&lt;1,($AD68&gt;Lists!C$22)*($AD68&lt;=Lists!C$21),MAX(0,MIN(Lists!C$21,$AE68)-MAX(Lists!C$22,$AD68))/($AE68-$AD68))+N($D68)*IF($AG68-$AF68&lt;1,($AF68&gt;Lists!C$22)*($AF68&lt;=Lists!C$21),MAX(0,MIN(Lists!C$21,$AG68)-MAX(Lists!C$22,$AF68))/($AG68-$AF68))+N($E68)*IF($AI68-$AH68&lt;1,($AH68&gt;Lists!C$22)*($AH68&lt;=Lists!C$21),MAX(0,MIN(Lists!C$21,$AI68)-MAX(Lists!C$22,$AH68))/($AI68-$AH68))+N($F68)*IF($AK68-$AJ68&lt;1,($AJ68&gt;Lists!C$22)*($AJ68&lt;=Lists!C$21),MAX(0,MIN(Lists!C$21,$AK68)-MAX(Lists!C$22,$AJ68))/($AK68-$AJ68))+N($G68)*IF($AM68-$AL68&lt;1,($AL68&gt;Lists!C$22)*($AL68&lt;=Lists!C$21),MAX(0,MIN(Lists!C$21,$AM68)-MAX(Lists!C$22,$AL68))/($AM68-$AL68))))))))</f>
        <v>0</v>
      </c>
      <c r="N68" s="53" t="n">
        <f aca="false">IF($H68=0,0,IF($AP68="X",0,IF($AP68="S",$H68/$AO68*(MIN($AO68,MAX(0,INT((Lists!D$21-N($J68))/7)+1))-MIN($AO68,MAX(0,INT((Lists!D$22-N($J68))/7)+1))),IF($AP68="D",$H68*MAX(0,MIN(Lists!D$21,N($J68)+$AO68)-MAX(Lists!D$22,N($J68)))/$AO68,IF($AP68="M",$H68/$AO68*(IF(Lists!D$21&lt;$J68,0,MIN($AO68,(((YEAR(Lists!D$21)-YEAR($J68))*12+MONTH(Lists!D$21)-MONTH($J68))-(EDATE($J68,((YEAR(Lists!D$21)-YEAR($J68))*12+MONTH(Lists!D$21)-MONTH($J68)))&gt;Lists!D$21)+1)))-IF(Lists!D$22&lt;$J68,0,MIN($AO68,(((YEAR(Lists!D$22)-YEAR($J68))*12+MONTH(Lists!D$22)-MONTH($J68))-(EDATE($J68,((YEAR(Lists!D$22)-YEAR($J68))*12+MONTH(Lists!D$22)-MONTH($J68)))&gt;Lists!D$22)+1)))),IF($AP68="F",IF(N($K68)&lt;=0,0,MIN(MAX(0,$H68),N($K68)*IF(Lists!D$21&lt;$J68,0,(((YEAR(Lists!D$21)-YEAR($J68))*12+MONTH(Lists!D$21)-MONTH($J68))-(EDATE($J68,((YEAR(Lists!D$21)-YEAR($J68))*12+MONTH(Lists!D$21)-MONTH($J68)))&gt;Lists!D$21)+1)))-MIN(MAX(0,$H68),N($K68)*IF(Lists!D$22&lt;$J68,0,(((YEAR(Lists!D$22)-YEAR($J68))*12+MONTH(Lists!D$22)-MONTH($J68))-(EDATE($J68,((YEAR(Lists!D$22)-YEAR($J68))*12+MONTH(Lists!D$22)-MONTH($J68)))&gt;Lists!D$22)+1)))),N($C68)*IF($AE68-$AD68&lt;1,($AD68&gt;Lists!D$22)*($AD68&lt;=Lists!D$21),MAX(0,MIN(Lists!D$21,$AE68)-MAX(Lists!D$22,$AD68))/($AE68-$AD68))+N($D68)*IF($AG68-$AF68&lt;1,($AF68&gt;Lists!D$22)*($AF68&lt;=Lists!D$21),MAX(0,MIN(Lists!D$21,$AG68)-MAX(Lists!D$22,$AF68))/($AG68-$AF68))+N($E68)*IF($AI68-$AH68&lt;1,($AH68&gt;Lists!D$22)*($AH68&lt;=Lists!D$21),MAX(0,MIN(Lists!D$21,$AI68)-MAX(Lists!D$22,$AH68))/($AI68-$AH68))+N($F68)*IF($AK68-$AJ68&lt;1,($AJ68&gt;Lists!D$22)*($AJ68&lt;=Lists!D$21),MAX(0,MIN(Lists!D$21,$AK68)-MAX(Lists!D$22,$AJ68))/($AK68-$AJ68))+N($G68)*IF($AM68-$AL68&lt;1,($AL68&gt;Lists!D$22)*($AL68&lt;=Lists!D$21),MAX(0,MIN(Lists!D$21,$AM68)-MAX(Lists!D$22,$AL68))/($AM68-$AL68))))))))</f>
        <v>0</v>
      </c>
      <c r="O68" s="53" t="n">
        <f aca="false">IF($H68=0,0,IF($AP68="X",0,IF($AP68="S",$H68/$AO68*(MIN($AO68,MAX(0,INT((Lists!E$21-N($J68))/7)+1))-MIN($AO68,MAX(0,INT((Lists!E$22-N($J68))/7)+1))),IF($AP68="D",$H68*MAX(0,MIN(Lists!E$21,N($J68)+$AO68)-MAX(Lists!E$22,N($J68)))/$AO68,IF($AP68="M",$H68/$AO68*(IF(Lists!E$21&lt;$J68,0,MIN($AO68,(((YEAR(Lists!E$21)-YEAR($J68))*12+MONTH(Lists!E$21)-MONTH($J68))-(EDATE($J68,((YEAR(Lists!E$21)-YEAR($J68))*12+MONTH(Lists!E$21)-MONTH($J68)))&gt;Lists!E$21)+1)))-IF(Lists!E$22&lt;$J68,0,MIN($AO68,(((YEAR(Lists!E$22)-YEAR($J68))*12+MONTH(Lists!E$22)-MONTH($J68))-(EDATE($J68,((YEAR(Lists!E$22)-YEAR($J68))*12+MONTH(Lists!E$22)-MONTH($J68)))&gt;Lists!E$22)+1)))),IF($AP68="F",IF(N($K68)&lt;=0,0,MIN(MAX(0,$H68),N($K68)*IF(Lists!E$21&lt;$J68,0,(((YEAR(Lists!E$21)-YEAR($J68))*12+MONTH(Lists!E$21)-MONTH($J68))-(EDATE($J68,((YEAR(Lists!E$21)-YEAR($J68))*12+MONTH(Lists!E$21)-MONTH($J68)))&gt;Lists!E$21)+1)))-MIN(MAX(0,$H68),N($K68)*IF(Lists!E$22&lt;$J68,0,(((YEAR(Lists!E$22)-YEAR($J68))*12+MONTH(Lists!E$22)-MONTH($J68))-(EDATE($J68,((YEAR(Lists!E$22)-YEAR($J68))*12+MONTH(Lists!E$22)-MONTH($J68)))&gt;Lists!E$22)+1)))),N($C68)*IF($AE68-$AD68&lt;1,($AD68&gt;Lists!E$22)*($AD68&lt;=Lists!E$21),MAX(0,MIN(Lists!E$21,$AE68)-MAX(Lists!E$22,$AD68))/($AE68-$AD68))+N($D68)*IF($AG68-$AF68&lt;1,($AF68&gt;Lists!E$22)*($AF68&lt;=Lists!E$21),MAX(0,MIN(Lists!E$21,$AG68)-MAX(Lists!E$22,$AF68))/($AG68-$AF68))+N($E68)*IF($AI68-$AH68&lt;1,($AH68&gt;Lists!E$22)*($AH68&lt;=Lists!E$21),MAX(0,MIN(Lists!E$21,$AI68)-MAX(Lists!E$22,$AH68))/($AI68-$AH68))+N($F68)*IF($AK68-$AJ68&lt;1,($AJ68&gt;Lists!E$22)*($AJ68&lt;=Lists!E$21),MAX(0,MIN(Lists!E$21,$AK68)-MAX(Lists!E$22,$AJ68))/($AK68-$AJ68))+N($G68)*IF($AM68-$AL68&lt;1,($AL68&gt;Lists!E$22)*($AL68&lt;=Lists!E$21),MAX(0,MIN(Lists!E$21,$AM68)-MAX(Lists!E$22,$AL68))/($AM68-$AL68))))))))</f>
        <v>0</v>
      </c>
      <c r="P68" s="53" t="n">
        <f aca="false">IF($H68=0,0,IF($AP68="X",0,IF($AP68="S",$H68/$AO68*(MIN($AO68,MAX(0,INT((Lists!F$21-N($J68))/7)+1))-MIN($AO68,MAX(0,INT((Lists!F$22-N($J68))/7)+1))),IF($AP68="D",$H68*MAX(0,MIN(Lists!F$21,N($J68)+$AO68)-MAX(Lists!F$22,N($J68)))/$AO68,IF($AP68="M",$H68/$AO68*(IF(Lists!F$21&lt;$J68,0,MIN($AO68,(((YEAR(Lists!F$21)-YEAR($J68))*12+MONTH(Lists!F$21)-MONTH($J68))-(EDATE($J68,((YEAR(Lists!F$21)-YEAR($J68))*12+MONTH(Lists!F$21)-MONTH($J68)))&gt;Lists!F$21)+1)))-IF(Lists!F$22&lt;$J68,0,MIN($AO68,(((YEAR(Lists!F$22)-YEAR($J68))*12+MONTH(Lists!F$22)-MONTH($J68))-(EDATE($J68,((YEAR(Lists!F$22)-YEAR($J68))*12+MONTH(Lists!F$22)-MONTH($J68)))&gt;Lists!F$22)+1)))),IF($AP68="F",IF(N($K68)&lt;=0,0,MIN(MAX(0,$H68),N($K68)*IF(Lists!F$21&lt;$J68,0,(((YEAR(Lists!F$21)-YEAR($J68))*12+MONTH(Lists!F$21)-MONTH($J68))-(EDATE($J68,((YEAR(Lists!F$21)-YEAR($J68))*12+MONTH(Lists!F$21)-MONTH($J68)))&gt;Lists!F$21)+1)))-MIN(MAX(0,$H68),N($K68)*IF(Lists!F$22&lt;$J68,0,(((YEAR(Lists!F$22)-YEAR($J68))*12+MONTH(Lists!F$22)-MONTH($J68))-(EDATE($J68,((YEAR(Lists!F$22)-YEAR($J68))*12+MONTH(Lists!F$22)-MONTH($J68)))&gt;Lists!F$22)+1)))),N($C68)*IF($AE68-$AD68&lt;1,($AD68&gt;Lists!F$22)*($AD68&lt;=Lists!F$21),MAX(0,MIN(Lists!F$21,$AE68)-MAX(Lists!F$22,$AD68))/($AE68-$AD68))+N($D68)*IF($AG68-$AF68&lt;1,($AF68&gt;Lists!F$22)*($AF68&lt;=Lists!F$21),MAX(0,MIN(Lists!F$21,$AG68)-MAX(Lists!F$22,$AF68))/($AG68-$AF68))+N($E68)*IF($AI68-$AH68&lt;1,($AH68&gt;Lists!F$22)*($AH68&lt;=Lists!F$21),MAX(0,MIN(Lists!F$21,$AI68)-MAX(Lists!F$22,$AH68))/($AI68-$AH68))+N($F68)*IF($AK68-$AJ68&lt;1,($AJ68&gt;Lists!F$22)*($AJ68&lt;=Lists!F$21),MAX(0,MIN(Lists!F$21,$AK68)-MAX(Lists!F$22,$AJ68))/($AK68-$AJ68))+N($G68)*IF($AM68-$AL68&lt;1,($AL68&gt;Lists!F$22)*($AL68&lt;=Lists!F$21),MAX(0,MIN(Lists!F$21,$AM68)-MAX(Lists!F$22,$AL68))/($AM68-$AL68))))))))</f>
        <v>0</v>
      </c>
      <c r="Q68" s="53" t="n">
        <f aca="false">IF($H68=0,0,IF($AP68="X",0,IF($AP68="S",$H68/$AO68*(MIN($AO68,MAX(0,INT((Lists!G$21-N($J68))/7)+1))-MIN($AO68,MAX(0,INT((Lists!G$22-N($J68))/7)+1))),IF($AP68="D",$H68*MAX(0,MIN(Lists!G$21,N($J68)+$AO68)-MAX(Lists!G$22,N($J68)))/$AO68,IF($AP68="M",$H68/$AO68*(IF(Lists!G$21&lt;$J68,0,MIN($AO68,(((YEAR(Lists!G$21)-YEAR($J68))*12+MONTH(Lists!G$21)-MONTH($J68))-(EDATE($J68,((YEAR(Lists!G$21)-YEAR($J68))*12+MONTH(Lists!G$21)-MONTH($J68)))&gt;Lists!G$21)+1)))-IF(Lists!G$22&lt;$J68,0,MIN($AO68,(((YEAR(Lists!G$22)-YEAR($J68))*12+MONTH(Lists!G$22)-MONTH($J68))-(EDATE($J68,((YEAR(Lists!G$22)-YEAR($J68))*12+MONTH(Lists!G$22)-MONTH($J68)))&gt;Lists!G$22)+1)))),IF($AP68="F",IF(N($K68)&lt;=0,0,MIN(MAX(0,$H68),N($K68)*IF(Lists!G$21&lt;$J68,0,(((YEAR(Lists!G$21)-YEAR($J68))*12+MONTH(Lists!G$21)-MONTH($J68))-(EDATE($J68,((YEAR(Lists!G$21)-YEAR($J68))*12+MONTH(Lists!G$21)-MONTH($J68)))&gt;Lists!G$21)+1)))-MIN(MAX(0,$H68),N($K68)*IF(Lists!G$22&lt;$J68,0,(((YEAR(Lists!G$22)-YEAR($J68))*12+MONTH(Lists!G$22)-MONTH($J68))-(EDATE($J68,((YEAR(Lists!G$22)-YEAR($J68))*12+MONTH(Lists!G$22)-MONTH($J68)))&gt;Lists!G$22)+1)))),N($C68)*IF($AE68-$AD68&lt;1,($AD68&gt;Lists!G$22)*($AD68&lt;=Lists!G$21),MAX(0,MIN(Lists!G$21,$AE68)-MAX(Lists!G$22,$AD68))/($AE68-$AD68))+N($D68)*IF($AG68-$AF68&lt;1,($AF68&gt;Lists!G$22)*($AF68&lt;=Lists!G$21),MAX(0,MIN(Lists!G$21,$AG68)-MAX(Lists!G$22,$AF68))/($AG68-$AF68))+N($E68)*IF($AI68-$AH68&lt;1,($AH68&gt;Lists!G$22)*($AH68&lt;=Lists!G$21),MAX(0,MIN(Lists!G$21,$AI68)-MAX(Lists!G$22,$AH68))/($AI68-$AH68))+N($F68)*IF($AK68-$AJ68&lt;1,($AJ68&gt;Lists!G$22)*($AJ68&lt;=Lists!G$21),MAX(0,MIN(Lists!G$21,$AK68)-MAX(Lists!G$22,$AJ68))/($AK68-$AJ68))+N($G68)*IF($AM68-$AL68&lt;1,($AL68&gt;Lists!G$22)*($AL68&lt;=Lists!G$21),MAX(0,MIN(Lists!G$21,$AM68)-MAX(Lists!G$22,$AL68))/($AM68-$AL68))))))))</f>
        <v>0</v>
      </c>
      <c r="R68" s="53" t="n">
        <f aca="false">IF($H68=0,0,IF($AP68="X",0,IF($AP68="S",$H68/$AO68*(MIN($AO68,MAX(0,INT((Lists!H$21-N($J68))/7)+1))-MIN($AO68,MAX(0,INT((Lists!H$22-N($J68))/7)+1))),IF($AP68="D",$H68*MAX(0,MIN(Lists!H$21,N($J68)+$AO68)-MAX(Lists!H$22,N($J68)))/$AO68,IF($AP68="M",$H68/$AO68*(IF(Lists!H$21&lt;$J68,0,MIN($AO68,(((YEAR(Lists!H$21)-YEAR($J68))*12+MONTH(Lists!H$21)-MONTH($J68))-(EDATE($J68,((YEAR(Lists!H$21)-YEAR($J68))*12+MONTH(Lists!H$21)-MONTH($J68)))&gt;Lists!H$21)+1)))-IF(Lists!H$22&lt;$J68,0,MIN($AO68,(((YEAR(Lists!H$22)-YEAR($J68))*12+MONTH(Lists!H$22)-MONTH($J68))-(EDATE($J68,((YEAR(Lists!H$22)-YEAR($J68))*12+MONTH(Lists!H$22)-MONTH($J68)))&gt;Lists!H$22)+1)))),IF($AP68="F",IF(N($K68)&lt;=0,0,MIN(MAX(0,$H68),N($K68)*IF(Lists!H$21&lt;$J68,0,(((YEAR(Lists!H$21)-YEAR($J68))*12+MONTH(Lists!H$21)-MONTH($J68))-(EDATE($J68,((YEAR(Lists!H$21)-YEAR($J68))*12+MONTH(Lists!H$21)-MONTH($J68)))&gt;Lists!H$21)+1)))-MIN(MAX(0,$H68),N($K68)*IF(Lists!H$22&lt;$J68,0,(((YEAR(Lists!H$22)-YEAR($J68))*12+MONTH(Lists!H$22)-MONTH($J68))-(EDATE($J68,((YEAR(Lists!H$22)-YEAR($J68))*12+MONTH(Lists!H$22)-MONTH($J68)))&gt;Lists!H$22)+1)))),N($C68)*IF($AE68-$AD68&lt;1,($AD68&gt;Lists!H$22)*($AD68&lt;=Lists!H$21),MAX(0,MIN(Lists!H$21,$AE68)-MAX(Lists!H$22,$AD68))/($AE68-$AD68))+N($D68)*IF($AG68-$AF68&lt;1,($AF68&gt;Lists!H$22)*($AF68&lt;=Lists!H$21),MAX(0,MIN(Lists!H$21,$AG68)-MAX(Lists!H$22,$AF68))/($AG68-$AF68))+N($E68)*IF($AI68-$AH68&lt;1,($AH68&gt;Lists!H$22)*($AH68&lt;=Lists!H$21),MAX(0,MIN(Lists!H$21,$AI68)-MAX(Lists!H$22,$AH68))/($AI68-$AH68))+N($F68)*IF($AK68-$AJ68&lt;1,($AJ68&gt;Lists!H$22)*($AJ68&lt;=Lists!H$21),MAX(0,MIN(Lists!H$21,$AK68)-MAX(Lists!H$22,$AJ68))/($AK68-$AJ68))+N($G68)*IF($AM68-$AL68&lt;1,($AL68&gt;Lists!H$22)*($AL68&lt;=Lists!H$21),MAX(0,MIN(Lists!H$21,$AM68)-MAX(Lists!H$22,$AL68))/($AM68-$AL68))))))))</f>
        <v>0</v>
      </c>
      <c r="S68" s="53" t="n">
        <f aca="false">IF($H68=0,0,IF($AP68="X",0,IF($AP68="S",$H68/$AO68*(MIN($AO68,MAX(0,INT((Lists!I$21-N($J68))/7)+1))-MIN($AO68,MAX(0,INT((Lists!I$22-N($J68))/7)+1))),IF($AP68="D",$H68*MAX(0,MIN(Lists!I$21,N($J68)+$AO68)-MAX(Lists!I$22,N($J68)))/$AO68,IF($AP68="M",$H68/$AO68*(IF(Lists!I$21&lt;$J68,0,MIN($AO68,(((YEAR(Lists!I$21)-YEAR($J68))*12+MONTH(Lists!I$21)-MONTH($J68))-(EDATE($J68,((YEAR(Lists!I$21)-YEAR($J68))*12+MONTH(Lists!I$21)-MONTH($J68)))&gt;Lists!I$21)+1)))-IF(Lists!I$22&lt;$J68,0,MIN($AO68,(((YEAR(Lists!I$22)-YEAR($J68))*12+MONTH(Lists!I$22)-MONTH($J68))-(EDATE($J68,((YEAR(Lists!I$22)-YEAR($J68))*12+MONTH(Lists!I$22)-MONTH($J68)))&gt;Lists!I$22)+1)))),IF($AP68="F",IF(N($K68)&lt;=0,0,MIN(MAX(0,$H68),N($K68)*IF(Lists!I$21&lt;$J68,0,(((YEAR(Lists!I$21)-YEAR($J68))*12+MONTH(Lists!I$21)-MONTH($J68))-(EDATE($J68,((YEAR(Lists!I$21)-YEAR($J68))*12+MONTH(Lists!I$21)-MONTH($J68)))&gt;Lists!I$21)+1)))-MIN(MAX(0,$H68),N($K68)*IF(Lists!I$22&lt;$J68,0,(((YEAR(Lists!I$22)-YEAR($J68))*12+MONTH(Lists!I$22)-MONTH($J68))-(EDATE($J68,((YEAR(Lists!I$22)-YEAR($J68))*12+MONTH(Lists!I$22)-MONTH($J68)))&gt;Lists!I$22)+1)))),N($C68)*IF($AE68-$AD68&lt;1,($AD68&gt;Lists!I$22)*($AD68&lt;=Lists!I$21),MAX(0,MIN(Lists!I$21,$AE68)-MAX(Lists!I$22,$AD68))/($AE68-$AD68))+N($D68)*IF($AG68-$AF68&lt;1,($AF68&gt;Lists!I$22)*($AF68&lt;=Lists!I$21),MAX(0,MIN(Lists!I$21,$AG68)-MAX(Lists!I$22,$AF68))/($AG68-$AF68))+N($E68)*IF($AI68-$AH68&lt;1,($AH68&gt;Lists!I$22)*($AH68&lt;=Lists!I$21),MAX(0,MIN(Lists!I$21,$AI68)-MAX(Lists!I$22,$AH68))/($AI68-$AH68))+N($F68)*IF($AK68-$AJ68&lt;1,($AJ68&gt;Lists!I$22)*($AJ68&lt;=Lists!I$21),MAX(0,MIN(Lists!I$21,$AK68)-MAX(Lists!I$22,$AJ68))/($AK68-$AJ68))+N($G68)*IF($AM68-$AL68&lt;1,($AL68&gt;Lists!I$22)*($AL68&lt;=Lists!I$21),MAX(0,MIN(Lists!I$21,$AM68)-MAX(Lists!I$22,$AL68))/($AM68-$AL68))))))))</f>
        <v>0</v>
      </c>
      <c r="T68" s="53" t="n">
        <f aca="false">IF($H68=0,0,IF($AP68="X",0,IF($AP68="S",$H68/$AO68*(MIN($AO68,MAX(0,INT((Lists!J$21-N($J68))/7)+1))-MIN($AO68,MAX(0,INT((Lists!J$22-N($J68))/7)+1))),IF($AP68="D",$H68*MAX(0,MIN(Lists!J$21,N($J68)+$AO68)-MAX(Lists!J$22,N($J68)))/$AO68,IF($AP68="M",$H68/$AO68*(IF(Lists!J$21&lt;$J68,0,MIN($AO68,(((YEAR(Lists!J$21)-YEAR($J68))*12+MONTH(Lists!J$21)-MONTH($J68))-(EDATE($J68,((YEAR(Lists!J$21)-YEAR($J68))*12+MONTH(Lists!J$21)-MONTH($J68)))&gt;Lists!J$21)+1)))-IF(Lists!J$22&lt;$J68,0,MIN($AO68,(((YEAR(Lists!J$22)-YEAR($J68))*12+MONTH(Lists!J$22)-MONTH($J68))-(EDATE($J68,((YEAR(Lists!J$22)-YEAR($J68))*12+MONTH(Lists!J$22)-MONTH($J68)))&gt;Lists!J$22)+1)))),IF($AP68="F",IF(N($K68)&lt;=0,0,MIN(MAX(0,$H68),N($K68)*IF(Lists!J$21&lt;$J68,0,(((YEAR(Lists!J$21)-YEAR($J68))*12+MONTH(Lists!J$21)-MONTH($J68))-(EDATE($J68,((YEAR(Lists!J$21)-YEAR($J68))*12+MONTH(Lists!J$21)-MONTH($J68)))&gt;Lists!J$21)+1)))-MIN(MAX(0,$H68),N($K68)*IF(Lists!J$22&lt;$J68,0,(((YEAR(Lists!J$22)-YEAR($J68))*12+MONTH(Lists!J$22)-MONTH($J68))-(EDATE($J68,((YEAR(Lists!J$22)-YEAR($J68))*12+MONTH(Lists!J$22)-MONTH($J68)))&gt;Lists!J$22)+1)))),N($C68)*IF($AE68-$AD68&lt;1,($AD68&gt;Lists!J$22)*($AD68&lt;=Lists!J$21),MAX(0,MIN(Lists!J$21,$AE68)-MAX(Lists!J$22,$AD68))/($AE68-$AD68))+N($D68)*IF($AG68-$AF68&lt;1,($AF68&gt;Lists!J$22)*($AF68&lt;=Lists!J$21),MAX(0,MIN(Lists!J$21,$AG68)-MAX(Lists!J$22,$AF68))/($AG68-$AF68))+N($E68)*IF($AI68-$AH68&lt;1,($AH68&gt;Lists!J$22)*($AH68&lt;=Lists!J$21),MAX(0,MIN(Lists!J$21,$AI68)-MAX(Lists!J$22,$AH68))/($AI68-$AH68))+N($F68)*IF($AK68-$AJ68&lt;1,($AJ68&gt;Lists!J$22)*($AJ68&lt;=Lists!J$21),MAX(0,MIN(Lists!J$21,$AK68)-MAX(Lists!J$22,$AJ68))/($AK68-$AJ68))+N($G68)*IF($AM68-$AL68&lt;1,($AL68&gt;Lists!J$22)*($AL68&lt;=Lists!J$21),MAX(0,MIN(Lists!J$21,$AM68)-MAX(Lists!J$22,$AL68))/($AM68-$AL68))))))))</f>
        <v>0</v>
      </c>
      <c r="U68" s="53" t="n">
        <f aca="false">IF($H68=0,0,IF($AP68="X",0,IF($AP68="S",$H68/$AO68*(MIN($AO68,MAX(0,INT((Lists!K$21-N($J68))/7)+1))-MIN($AO68,MAX(0,INT((Lists!K$22-N($J68))/7)+1))),IF($AP68="D",$H68*MAX(0,MIN(Lists!K$21,N($J68)+$AO68)-MAX(Lists!K$22,N($J68)))/$AO68,IF($AP68="M",$H68/$AO68*(IF(Lists!K$21&lt;$J68,0,MIN($AO68,(((YEAR(Lists!K$21)-YEAR($J68))*12+MONTH(Lists!K$21)-MONTH($J68))-(EDATE($J68,((YEAR(Lists!K$21)-YEAR($J68))*12+MONTH(Lists!K$21)-MONTH($J68)))&gt;Lists!K$21)+1)))-IF(Lists!K$22&lt;$J68,0,MIN($AO68,(((YEAR(Lists!K$22)-YEAR($J68))*12+MONTH(Lists!K$22)-MONTH($J68))-(EDATE($J68,((YEAR(Lists!K$22)-YEAR($J68))*12+MONTH(Lists!K$22)-MONTH($J68)))&gt;Lists!K$22)+1)))),IF($AP68="F",IF(N($K68)&lt;=0,0,MIN(MAX(0,$H68),N($K68)*IF(Lists!K$21&lt;$J68,0,(((YEAR(Lists!K$21)-YEAR($J68))*12+MONTH(Lists!K$21)-MONTH($J68))-(EDATE($J68,((YEAR(Lists!K$21)-YEAR($J68))*12+MONTH(Lists!K$21)-MONTH($J68)))&gt;Lists!K$21)+1)))-MIN(MAX(0,$H68),N($K68)*IF(Lists!K$22&lt;$J68,0,(((YEAR(Lists!K$22)-YEAR($J68))*12+MONTH(Lists!K$22)-MONTH($J68))-(EDATE($J68,((YEAR(Lists!K$22)-YEAR($J68))*12+MONTH(Lists!K$22)-MONTH($J68)))&gt;Lists!K$22)+1)))),N($C68)*IF($AE68-$AD68&lt;1,($AD68&gt;Lists!K$22)*($AD68&lt;=Lists!K$21),MAX(0,MIN(Lists!K$21,$AE68)-MAX(Lists!K$22,$AD68))/($AE68-$AD68))+N($D68)*IF($AG68-$AF68&lt;1,($AF68&gt;Lists!K$22)*($AF68&lt;=Lists!K$21),MAX(0,MIN(Lists!K$21,$AG68)-MAX(Lists!K$22,$AF68))/($AG68-$AF68))+N($E68)*IF($AI68-$AH68&lt;1,($AH68&gt;Lists!K$22)*($AH68&lt;=Lists!K$21),MAX(0,MIN(Lists!K$21,$AI68)-MAX(Lists!K$22,$AH68))/($AI68-$AH68))+N($F68)*IF($AK68-$AJ68&lt;1,($AJ68&gt;Lists!K$22)*($AJ68&lt;=Lists!K$21),MAX(0,MIN(Lists!K$21,$AK68)-MAX(Lists!K$22,$AJ68))/($AK68-$AJ68))+N($G68)*IF($AM68-$AL68&lt;1,($AL68&gt;Lists!K$22)*($AL68&lt;=Lists!K$21),MAX(0,MIN(Lists!K$21,$AM68)-MAX(Lists!K$22,$AL68))/($AM68-$AL68))))))))</f>
        <v>0</v>
      </c>
      <c r="V68" s="53" t="n">
        <f aca="false">IF($H68=0,0,IF($AP68="X",0,IF($AP68="S",$H68/$AO68*(MIN($AO68,MAX(0,INT((Lists!L$21-N($J68))/7)+1))-MIN($AO68,MAX(0,INT((Lists!L$22-N($J68))/7)+1))),IF($AP68="D",$H68*MAX(0,MIN(Lists!L$21,N($J68)+$AO68)-MAX(Lists!L$22,N($J68)))/$AO68,IF($AP68="M",$H68/$AO68*(IF(Lists!L$21&lt;$J68,0,MIN($AO68,(((YEAR(Lists!L$21)-YEAR($J68))*12+MONTH(Lists!L$21)-MONTH($J68))-(EDATE($J68,((YEAR(Lists!L$21)-YEAR($J68))*12+MONTH(Lists!L$21)-MONTH($J68)))&gt;Lists!L$21)+1)))-IF(Lists!L$22&lt;$J68,0,MIN($AO68,(((YEAR(Lists!L$22)-YEAR($J68))*12+MONTH(Lists!L$22)-MONTH($J68))-(EDATE($J68,((YEAR(Lists!L$22)-YEAR($J68))*12+MONTH(Lists!L$22)-MONTH($J68)))&gt;Lists!L$22)+1)))),IF($AP68="F",IF(N($K68)&lt;=0,0,MIN(MAX(0,$H68),N($K68)*IF(Lists!L$21&lt;$J68,0,(((YEAR(Lists!L$21)-YEAR($J68))*12+MONTH(Lists!L$21)-MONTH($J68))-(EDATE($J68,((YEAR(Lists!L$21)-YEAR($J68))*12+MONTH(Lists!L$21)-MONTH($J68)))&gt;Lists!L$21)+1)))-MIN(MAX(0,$H68),N($K68)*IF(Lists!L$22&lt;$J68,0,(((YEAR(Lists!L$22)-YEAR($J68))*12+MONTH(Lists!L$22)-MONTH($J68))-(EDATE($J68,((YEAR(Lists!L$22)-YEAR($J68))*12+MONTH(Lists!L$22)-MONTH($J68)))&gt;Lists!L$22)+1)))),N($C68)*IF($AE68-$AD68&lt;1,($AD68&gt;Lists!L$22)*($AD68&lt;=Lists!L$21),MAX(0,MIN(Lists!L$21,$AE68)-MAX(Lists!L$22,$AD68))/($AE68-$AD68))+N($D68)*IF($AG68-$AF68&lt;1,($AF68&gt;Lists!L$22)*($AF68&lt;=Lists!L$21),MAX(0,MIN(Lists!L$21,$AG68)-MAX(Lists!L$22,$AF68))/($AG68-$AF68))+N($E68)*IF($AI68-$AH68&lt;1,($AH68&gt;Lists!L$22)*($AH68&lt;=Lists!L$21),MAX(0,MIN(Lists!L$21,$AI68)-MAX(Lists!L$22,$AH68))/($AI68-$AH68))+N($F68)*IF($AK68-$AJ68&lt;1,($AJ68&gt;Lists!L$22)*($AJ68&lt;=Lists!L$21),MAX(0,MIN(Lists!L$21,$AK68)-MAX(Lists!L$22,$AJ68))/($AK68-$AJ68))+N($G68)*IF($AM68-$AL68&lt;1,($AL68&gt;Lists!L$22)*($AL68&lt;=Lists!L$21),MAX(0,MIN(Lists!L$21,$AM68)-MAX(Lists!L$22,$AL68))/($AM68-$AL68))))))))</f>
        <v>0</v>
      </c>
      <c r="W68" s="53" t="n">
        <f aca="false">IF($H68=0,0,IF($AP68="X",0,IF($AP68="S",$H68/$AO68*(MIN($AO68,MAX(0,INT((Lists!M$21-N($J68))/7)+1))-MIN($AO68,MAX(0,INT((Lists!M$22-N($J68))/7)+1))),IF($AP68="D",$H68*MAX(0,MIN(Lists!M$21,N($J68)+$AO68)-MAX(Lists!M$22,N($J68)))/$AO68,IF($AP68="M",$H68/$AO68*(IF(Lists!M$21&lt;$J68,0,MIN($AO68,(((YEAR(Lists!M$21)-YEAR($J68))*12+MONTH(Lists!M$21)-MONTH($J68))-(EDATE($J68,((YEAR(Lists!M$21)-YEAR($J68))*12+MONTH(Lists!M$21)-MONTH($J68)))&gt;Lists!M$21)+1)))-IF(Lists!M$22&lt;$J68,0,MIN($AO68,(((YEAR(Lists!M$22)-YEAR($J68))*12+MONTH(Lists!M$22)-MONTH($J68))-(EDATE($J68,((YEAR(Lists!M$22)-YEAR($J68))*12+MONTH(Lists!M$22)-MONTH($J68)))&gt;Lists!M$22)+1)))),IF($AP68="F",IF(N($K68)&lt;=0,0,MIN(MAX(0,$H68),N($K68)*IF(Lists!M$21&lt;$J68,0,(((YEAR(Lists!M$21)-YEAR($J68))*12+MONTH(Lists!M$21)-MONTH($J68))-(EDATE($J68,((YEAR(Lists!M$21)-YEAR($J68))*12+MONTH(Lists!M$21)-MONTH($J68)))&gt;Lists!M$21)+1)))-MIN(MAX(0,$H68),N($K68)*IF(Lists!M$22&lt;$J68,0,(((YEAR(Lists!M$22)-YEAR($J68))*12+MONTH(Lists!M$22)-MONTH($J68))-(EDATE($J68,((YEAR(Lists!M$22)-YEAR($J68))*12+MONTH(Lists!M$22)-MONTH($J68)))&gt;Lists!M$22)+1)))),N($C68)*IF($AE68-$AD68&lt;1,($AD68&gt;Lists!M$22)*($AD68&lt;=Lists!M$21),MAX(0,MIN(Lists!M$21,$AE68)-MAX(Lists!M$22,$AD68))/($AE68-$AD68))+N($D68)*IF($AG68-$AF68&lt;1,($AF68&gt;Lists!M$22)*($AF68&lt;=Lists!M$21),MAX(0,MIN(Lists!M$21,$AG68)-MAX(Lists!M$22,$AF68))/($AG68-$AF68))+N($E68)*IF($AI68-$AH68&lt;1,($AH68&gt;Lists!M$22)*($AH68&lt;=Lists!M$21),MAX(0,MIN(Lists!M$21,$AI68)-MAX(Lists!M$22,$AH68))/($AI68-$AH68))+N($F68)*IF($AK68-$AJ68&lt;1,($AJ68&gt;Lists!M$22)*($AJ68&lt;=Lists!M$21),MAX(0,MIN(Lists!M$21,$AK68)-MAX(Lists!M$22,$AJ68))/($AK68-$AJ68))+N($G68)*IF($AM68-$AL68&lt;1,($AL68&gt;Lists!M$22)*($AL68&lt;=Lists!M$21),MAX(0,MIN(Lists!M$21,$AM68)-MAX(Lists!M$22,$AL68))/($AM68-$AL68))))))))</f>
        <v>0</v>
      </c>
      <c r="X68" s="53" t="n">
        <f aca="false">IF($H68=0,0,IF($AP68="X",0,IF($AP68="S",$H68/$AO68*(MIN($AO68,MAX(0,INT((Lists!N$21-N($J68))/7)+1))-MIN($AO68,MAX(0,INT((Lists!N$22-N($J68))/7)+1))),IF($AP68="D",$H68*MAX(0,MIN(Lists!N$21,N($J68)+$AO68)-MAX(Lists!N$22,N($J68)))/$AO68,IF($AP68="M",$H68/$AO68*(IF(Lists!N$21&lt;$J68,0,MIN($AO68,(((YEAR(Lists!N$21)-YEAR($J68))*12+MONTH(Lists!N$21)-MONTH($J68))-(EDATE($J68,((YEAR(Lists!N$21)-YEAR($J68))*12+MONTH(Lists!N$21)-MONTH($J68)))&gt;Lists!N$21)+1)))-IF(Lists!N$22&lt;$J68,0,MIN($AO68,(((YEAR(Lists!N$22)-YEAR($J68))*12+MONTH(Lists!N$22)-MONTH($J68))-(EDATE($J68,((YEAR(Lists!N$22)-YEAR($J68))*12+MONTH(Lists!N$22)-MONTH($J68)))&gt;Lists!N$22)+1)))),IF($AP68="F",IF(N($K68)&lt;=0,0,MIN(MAX(0,$H68),N($K68)*IF(Lists!N$21&lt;$J68,0,(((YEAR(Lists!N$21)-YEAR($J68))*12+MONTH(Lists!N$21)-MONTH($J68))-(EDATE($J68,((YEAR(Lists!N$21)-YEAR($J68))*12+MONTH(Lists!N$21)-MONTH($J68)))&gt;Lists!N$21)+1)))-MIN(MAX(0,$H68),N($K68)*IF(Lists!N$22&lt;$J68,0,(((YEAR(Lists!N$22)-YEAR($J68))*12+MONTH(Lists!N$22)-MONTH($J68))-(EDATE($J68,((YEAR(Lists!N$22)-YEAR($J68))*12+MONTH(Lists!N$22)-MONTH($J68)))&gt;Lists!N$22)+1)))),N($C68)*IF($AE68-$AD68&lt;1,($AD68&gt;Lists!N$22)*($AD68&lt;=Lists!N$21),MAX(0,MIN(Lists!N$21,$AE68)-MAX(Lists!N$22,$AD68))/($AE68-$AD68))+N($D68)*IF($AG68-$AF68&lt;1,($AF68&gt;Lists!N$22)*($AF68&lt;=Lists!N$21),MAX(0,MIN(Lists!N$21,$AG68)-MAX(Lists!N$22,$AF68))/($AG68-$AF68))+N($E68)*IF($AI68-$AH68&lt;1,($AH68&gt;Lists!N$22)*($AH68&lt;=Lists!N$21),MAX(0,MIN(Lists!N$21,$AI68)-MAX(Lists!N$22,$AH68))/($AI68-$AH68))+N($F68)*IF($AK68-$AJ68&lt;1,($AJ68&gt;Lists!N$22)*($AJ68&lt;=Lists!N$21),MAX(0,MIN(Lists!N$21,$AK68)-MAX(Lists!N$22,$AJ68))/($AK68-$AJ68))+N($G68)*IF($AM68-$AL68&lt;1,($AL68&gt;Lists!N$22)*($AL68&lt;=Lists!N$21),MAX(0,MIN(Lists!N$21,$AM68)-MAX(Lists!N$22,$AL68))/($AM68-$AL68))))))))</f>
        <v>0</v>
      </c>
      <c r="Y68" s="53" t="n">
        <f aca="false">IF($H68=0,0,IF($AP68="X",0,IF($AP68="S",$H68/$AO68*(MIN($AO68,MAX(0,INT((Lists!O$21-N($J68))/7)+1))-MIN($AO68,MAX(0,INT((Lists!O$22-N($J68))/7)+1))),IF($AP68="D",$H68*MAX(0,MIN(Lists!O$21,N($J68)+$AO68)-MAX(Lists!O$22,N($J68)))/$AO68,IF($AP68="M",$H68/$AO68*(IF(Lists!O$21&lt;$J68,0,MIN($AO68,(((YEAR(Lists!O$21)-YEAR($J68))*12+MONTH(Lists!O$21)-MONTH($J68))-(EDATE($J68,((YEAR(Lists!O$21)-YEAR($J68))*12+MONTH(Lists!O$21)-MONTH($J68)))&gt;Lists!O$21)+1)))-IF(Lists!O$22&lt;$J68,0,MIN($AO68,(((YEAR(Lists!O$22)-YEAR($J68))*12+MONTH(Lists!O$22)-MONTH($J68))-(EDATE($J68,((YEAR(Lists!O$22)-YEAR($J68))*12+MONTH(Lists!O$22)-MONTH($J68)))&gt;Lists!O$22)+1)))),IF($AP68="F",IF(N($K68)&lt;=0,0,MIN(MAX(0,$H68),N($K68)*IF(Lists!O$21&lt;$J68,0,(((YEAR(Lists!O$21)-YEAR($J68))*12+MONTH(Lists!O$21)-MONTH($J68))-(EDATE($J68,((YEAR(Lists!O$21)-YEAR($J68))*12+MONTH(Lists!O$21)-MONTH($J68)))&gt;Lists!O$21)+1)))-MIN(MAX(0,$H68),N($K68)*IF(Lists!O$22&lt;$J68,0,(((YEAR(Lists!O$22)-YEAR($J68))*12+MONTH(Lists!O$22)-MONTH($J68))-(EDATE($J68,((YEAR(Lists!O$22)-YEAR($J68))*12+MONTH(Lists!O$22)-MONTH($J68)))&gt;Lists!O$22)+1)))),N($C68)*IF($AE68-$AD68&lt;1,($AD68&gt;Lists!O$22)*($AD68&lt;=Lists!O$21),MAX(0,MIN(Lists!O$21,$AE68)-MAX(Lists!O$22,$AD68))/($AE68-$AD68))+N($D68)*IF($AG68-$AF68&lt;1,($AF68&gt;Lists!O$22)*($AF68&lt;=Lists!O$21),MAX(0,MIN(Lists!O$21,$AG68)-MAX(Lists!O$22,$AF68))/($AG68-$AF68))+N($E68)*IF($AI68-$AH68&lt;1,($AH68&gt;Lists!O$22)*($AH68&lt;=Lists!O$21),MAX(0,MIN(Lists!O$21,$AI68)-MAX(Lists!O$22,$AH68))/($AI68-$AH68))+N($F68)*IF($AK68-$AJ68&lt;1,($AJ68&gt;Lists!O$22)*($AJ68&lt;=Lists!O$21),MAX(0,MIN(Lists!O$21,$AK68)-MAX(Lists!O$22,$AJ68))/($AK68-$AJ68))+N($G68)*IF($AM68-$AL68&lt;1,($AL68&gt;Lists!O$22)*($AL68&lt;=Lists!O$21),MAX(0,MIN(Lists!O$21,$AM68)-MAX(Lists!O$22,$AL68))/($AM68-$AL68))))))))</f>
        <v>0</v>
      </c>
      <c r="Z68" s="46" t="n">
        <f aca="false">SUM(M68:Y68)</f>
        <v>0</v>
      </c>
      <c r="AA68" s="92" t="n">
        <f aca="false">H68-Z68</f>
        <v>0</v>
      </c>
      <c r="AB68" s="55"/>
      <c r="AC68" s="2"/>
      <c r="AD68" s="93" t="n">
        <f aca="false">Setup!$D$10+MAX(0,$AN68-30)</f>
        <v>46365</v>
      </c>
      <c r="AE68" s="93" t="n">
        <f aca="false">Setup!$D$10+IF($AN68-30&lt;0,MAX(Setup!$D$22,$AN68-0),$AN68-0)</f>
        <v>46395</v>
      </c>
      <c r="AF68" s="93" t="n">
        <f aca="false">Setup!$D$10+MAX(0,$AN68-60)</f>
        <v>46335</v>
      </c>
      <c r="AG68" s="93" t="n">
        <f aca="false">Setup!$D$10+IF($AN68-60&lt;0,MAX(Setup!$D$22,$AN68-31),$AN68-31)</f>
        <v>46364</v>
      </c>
      <c r="AH68" s="93" t="n">
        <f aca="false">Setup!$D$10+MAX(0,$AN68-90)</f>
        <v>46335</v>
      </c>
      <c r="AI68" s="93" t="n">
        <f aca="false">Setup!$D$10+IF($AN68-90&lt;0,MAX(Setup!$D$22,$AN68-61),$AN68-61)</f>
        <v>46363</v>
      </c>
      <c r="AJ68" s="93" t="n">
        <f aca="false">Setup!$D$10+MAX(0,$AN68-120)</f>
        <v>46335</v>
      </c>
      <c r="AK68" s="93" t="n">
        <f aca="false">Setup!$D$10+IF($AN68-120&lt;0,MAX(Setup!$D$22,$AN68-91),$AN68-91)</f>
        <v>46363</v>
      </c>
      <c r="AL68" s="93" t="n">
        <f aca="false">IF(Setup!$D$23="Yes",2958465,Setup!$D$10)</f>
        <v>2958465</v>
      </c>
      <c r="AM68" s="93" t="n">
        <f aca="false">IF(AL68=2958465,AL68,Setup!$D$10+Setup!$D$22)</f>
        <v>2958465</v>
      </c>
      <c r="AN68" s="94" t="n">
        <f aca="false">IF(N(L68)=0,Setup!$D$20,L68)</f>
        <v>60</v>
      </c>
      <c r="AO68" s="94" t="n">
        <f aca="false">MAX(1,ROUND(N(K68),0))</f>
        <v>1</v>
      </c>
      <c r="AP68" s="95" t="str">
        <f aca="false">IF(I68="Doubtful","X",IF(N(J68)=0,"A",IF(I68="Specific date","S",IF(I68="Spread over days","D",IF(I68="Monthly on set day","M",IF(I68="Monthly fixed amount","F","A"))))))</f>
        <v>A</v>
      </c>
    </row>
    <row r="69" customFormat="false" ht="15" hidden="false" customHeight="false" outlineLevel="0" collapsed="false">
      <c r="A69" s="2"/>
      <c r="B69" s="15" t="s">
        <v>412</v>
      </c>
      <c r="C69" s="48" t="n">
        <f aca="false">SUM(C9:C68)</f>
        <v>400000</v>
      </c>
      <c r="D69" s="48" t="n">
        <f aca="false">SUM(D9:D68)</f>
        <v>300000</v>
      </c>
      <c r="E69" s="48" t="n">
        <f aca="false">SUM(E9:E68)</f>
        <v>70000</v>
      </c>
      <c r="F69" s="48" t="n">
        <f aca="false">SUM(F9:F68)</f>
        <v>15000</v>
      </c>
      <c r="G69" s="48" t="n">
        <f aca="false">SUM(G9:G68)</f>
        <v>5000</v>
      </c>
      <c r="H69" s="48" t="n">
        <f aca="false">SUM(H9:H68)</f>
        <v>790000</v>
      </c>
      <c r="I69" s="2"/>
      <c r="J69" s="2"/>
      <c r="K69" s="2"/>
      <c r="L69" s="2"/>
      <c r="M69" s="48" t="n">
        <f aca="false">SUM(M9:M68)</f>
        <v>40369.4581280788</v>
      </c>
      <c r="N69" s="48" t="n">
        <f aca="false">SUM(N9:N68)</f>
        <v>70646.5517241379</v>
      </c>
      <c r="O69" s="48" t="n">
        <f aca="false">SUM(O9:O68)</f>
        <v>70646.5517241379</v>
      </c>
      <c r="P69" s="48" t="n">
        <f aca="false">SUM(P9:P68)</f>
        <v>70646.5517241379</v>
      </c>
      <c r="Q69" s="48" t="n">
        <f aca="false">SUM(Q9:Q68)</f>
        <v>62575.9441707718</v>
      </c>
      <c r="R69" s="48" t="n">
        <f aca="false">SUM(R9:R68)</f>
        <v>87097.7011494253</v>
      </c>
      <c r="S69" s="48" t="n">
        <f aca="false">SUM(S9:S68)</f>
        <v>87097.7011494253</v>
      </c>
      <c r="T69" s="48" t="n">
        <f aca="false">SUM(T9:T68)</f>
        <v>87097.7011494253</v>
      </c>
      <c r="U69" s="48" t="n">
        <f aca="false">SUM(U9:U68)</f>
        <v>83821.8390804598</v>
      </c>
      <c r="V69" s="48" t="n">
        <f aca="false">SUM(V9:V68)</f>
        <v>29166.6666666667</v>
      </c>
      <c r="W69" s="48" t="n">
        <f aca="false">SUM(W9:W68)</f>
        <v>29166.6666666667</v>
      </c>
      <c r="X69" s="48" t="n">
        <f aca="false">SUM(X9:X68)</f>
        <v>29166.6666666667</v>
      </c>
      <c r="Y69" s="48" t="n">
        <f aca="false">SUM(Y9:Y68)</f>
        <v>29166.6666666667</v>
      </c>
      <c r="Z69" s="48" t="n">
        <f aca="false">SUM(Z9:Z68)</f>
        <v>776666.666666667</v>
      </c>
      <c r="AA69" s="48" t="n">
        <f aca="false">SUM(AA9:AA68)</f>
        <v>13333.3333333333</v>
      </c>
      <c r="AB69" s="2"/>
      <c r="AC69" s="2"/>
      <c r="AD69" s="2"/>
      <c r="AE69" s="2"/>
      <c r="AF69" s="2"/>
      <c r="AG69" s="2"/>
      <c r="AH69" s="2"/>
      <c r="AI69" s="2"/>
      <c r="AJ69" s="2"/>
      <c r="AK69" s="2"/>
      <c r="AL69" s="2"/>
      <c r="AM69" s="2"/>
      <c r="AN69" s="2"/>
      <c r="AO69" s="2"/>
      <c r="AP69" s="2"/>
    </row>
    <row r="70" customFormat="false" ht="1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row>
    <row r="71" customFormat="false" ht="15" hidden="false" customHeight="false" outlineLevel="0" collapsed="false">
      <c r="A71" s="2"/>
      <c r="B71" s="15" t="s">
        <v>413</v>
      </c>
      <c r="C71" s="2"/>
      <c r="D71" s="2"/>
      <c r="E71" s="2"/>
      <c r="F71" s="2"/>
      <c r="G71" s="2"/>
      <c r="H71" s="88"/>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row>
    <row r="72" customFormat="false" ht="15" hidden="false" customHeight="false" outlineLevel="0" collapsed="false">
      <c r="A72" s="2"/>
      <c r="B72" s="15" t="s">
        <v>414</v>
      </c>
      <c r="C72" s="2"/>
      <c r="D72" s="2"/>
      <c r="E72" s="2"/>
      <c r="F72" s="2"/>
      <c r="G72" s="2"/>
      <c r="H72" s="89" t="str">
        <f aca="false">IF(H71="","",H69-H71)</f>
        <v/>
      </c>
      <c r="I72" s="31" t="str">
        <f aca="false">IF(H71="","",IF(ABS(H72)&lt;1,"✓ Agrees","✗ Does not agree – check the lines above"))</f>
        <v/>
      </c>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row>
  </sheetData>
  <sheetProtection sheet="true" formatCells="false" formatColumns="false" formatRows="false"/>
  <dataValidations count="2">
    <dataValidation allowBlank="true" error="Please enter a date, e.g. 15/11/2026" errorStyle="stop" errorTitle="Date needed" operator="greaterThan" showDropDown="false" showErrorMessage="false" showInputMessage="false" sqref="J9:J68" type="date">
      <formula1>36526</formula1>
      <formula2>0</formula2>
    </dataValidation>
    <dataValidation allowBlank="true" error="Please pick from the list." errorStyle="stop" errorTitle="Choose from the list" operator="between" showDropDown="false" showErrorMessage="false" showInputMessage="false" sqref="I9:I68" type="list">
      <formula1>Lists!$G$2:$G$7</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P7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4"/>
    <col collapsed="false" customWidth="true" hidden="false" outlineLevel="0" max="7" min="3" style="1" width="11"/>
    <col collapsed="false" customWidth="true" hidden="false" outlineLevel="0" max="8" min="8" style="1" width="12"/>
    <col collapsed="false" customWidth="true" hidden="false" outlineLevel="0" max="9" min="9" style="1" width="13"/>
    <col collapsed="false" customWidth="true" hidden="false" outlineLevel="0" max="10" min="10" style="1" width="12"/>
    <col collapsed="false" customWidth="true" hidden="false" outlineLevel="0" max="12" min="11" style="1" width="9"/>
    <col collapsed="false" customWidth="true" hidden="false" outlineLevel="0" max="25" min="13" style="1" width="11"/>
    <col collapsed="false" customWidth="true" hidden="false" outlineLevel="0" max="26" min="26" style="1" width="12"/>
    <col collapsed="false" customWidth="true" hidden="false" outlineLevel="0" max="27" min="27" style="1" width="13"/>
    <col collapsed="false" customWidth="true" hidden="false" outlineLevel="0" max="28" min="28" style="1" width="30"/>
    <col collapsed="false" customWidth="true" hidden="true" outlineLevel="0" max="29" min="29" style="1" width="3"/>
    <col collapsed="false" customWidth="true" hidden="true" outlineLevel="0" max="42" min="30" style="1" width="10"/>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customFormat="false" ht="15" hidden="false" customHeight="false" outlineLevel="0" collapsed="false">
      <c r="A2" s="4" t="s">
        <v>415</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row>
    <row r="3" customFormat="false" ht="15" hidden="false" customHeight="false" outlineLevel="0" collapsed="false">
      <c r="A3" s="21" t="s">
        <v>416</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row>
    <row r="5" customFormat="false" ht="15" hidden="false" customHeight="false" outlineLevel="0" collapsed="false">
      <c r="A5" s="2"/>
      <c r="B5" s="2"/>
      <c r="C5" s="2"/>
      <c r="D5" s="2"/>
      <c r="E5" s="2"/>
      <c r="F5" s="2"/>
      <c r="G5" s="2"/>
      <c r="H5" s="2"/>
      <c r="I5" s="2"/>
      <c r="J5" s="2"/>
      <c r="K5" s="2"/>
      <c r="L5" s="2"/>
      <c r="M5" s="42" t="str">
        <f aca="false">"Week "&amp;Lists!C$20</f>
        <v>Week 1</v>
      </c>
      <c r="N5" s="42" t="str">
        <f aca="false">"Week "&amp;Lists!D$20</f>
        <v>Week 2</v>
      </c>
      <c r="O5" s="42" t="str">
        <f aca="false">"Week "&amp;Lists!E$20</f>
        <v>Week 3</v>
      </c>
      <c r="P5" s="42" t="str">
        <f aca="false">"Week "&amp;Lists!F$20</f>
        <v>Week 4</v>
      </c>
      <c r="Q5" s="42" t="str">
        <f aca="false">"Week "&amp;Lists!G$20</f>
        <v>Week 5</v>
      </c>
      <c r="R5" s="42" t="str">
        <f aca="false">"Week "&amp;Lists!H$20</f>
        <v>Week 6</v>
      </c>
      <c r="S5" s="42" t="str">
        <f aca="false">"Week "&amp;Lists!I$20</f>
        <v>Week 7</v>
      </c>
      <c r="T5" s="42" t="str">
        <f aca="false">"Week "&amp;Lists!J$20</f>
        <v>Week 8</v>
      </c>
      <c r="U5" s="42" t="str">
        <f aca="false">"Week "&amp;Lists!K$20</f>
        <v>Week 9</v>
      </c>
      <c r="V5" s="42" t="str">
        <f aca="false">"Week "&amp;Lists!L$20</f>
        <v>Week 10</v>
      </c>
      <c r="W5" s="42" t="str">
        <f aca="false">"Week "&amp;Lists!M$20</f>
        <v>Week 11</v>
      </c>
      <c r="X5" s="42" t="str">
        <f aca="false">"Week "&amp;Lists!N$20</f>
        <v>Week 12</v>
      </c>
      <c r="Y5" s="42" t="str">
        <f aca="false">"Week "&amp;Lists!O$20</f>
        <v>Week 13</v>
      </c>
      <c r="Z5" s="42" t="s">
        <v>253</v>
      </c>
      <c r="AA5" s="2"/>
      <c r="AB5" s="2"/>
      <c r="AC5" s="2"/>
      <c r="AD5" s="2"/>
      <c r="AE5" s="2"/>
      <c r="AF5" s="2"/>
      <c r="AG5" s="2"/>
      <c r="AH5" s="2"/>
      <c r="AI5" s="2"/>
      <c r="AJ5" s="2"/>
      <c r="AK5" s="2"/>
      <c r="AL5" s="2"/>
      <c r="AM5" s="2"/>
      <c r="AN5" s="2"/>
      <c r="AO5" s="2"/>
      <c r="AP5" s="2"/>
    </row>
    <row r="6" customFormat="false" ht="15" hidden="false" customHeight="false" outlineLevel="0" collapsed="false">
      <c r="A6" s="2"/>
      <c r="B6" s="2"/>
      <c r="C6" s="2"/>
      <c r="D6" s="2"/>
      <c r="E6" s="2"/>
      <c r="F6" s="2"/>
      <c r="G6" s="2"/>
      <c r="H6" s="2"/>
      <c r="I6" s="2"/>
      <c r="J6" s="2"/>
      <c r="K6" s="2"/>
      <c r="L6" s="2"/>
      <c r="M6" s="45" t="n">
        <f aca="false">Lists!C$21</f>
        <v>46339</v>
      </c>
      <c r="N6" s="45" t="n">
        <f aca="false">Lists!D$21</f>
        <v>46346</v>
      </c>
      <c r="O6" s="45" t="n">
        <f aca="false">Lists!E$21</f>
        <v>46353</v>
      </c>
      <c r="P6" s="45" t="n">
        <f aca="false">Lists!F$21</f>
        <v>46360</v>
      </c>
      <c r="Q6" s="45" t="n">
        <f aca="false">Lists!G$21</f>
        <v>46367</v>
      </c>
      <c r="R6" s="45" t="n">
        <f aca="false">Lists!H$21</f>
        <v>46374</v>
      </c>
      <c r="S6" s="45" t="n">
        <f aca="false">Lists!I$21</f>
        <v>46381</v>
      </c>
      <c r="T6" s="45" t="n">
        <f aca="false">Lists!J$21</f>
        <v>46388</v>
      </c>
      <c r="U6" s="45" t="n">
        <f aca="false">Lists!K$21</f>
        <v>46395</v>
      </c>
      <c r="V6" s="45" t="n">
        <f aca="false">Lists!L$21</f>
        <v>46402</v>
      </c>
      <c r="W6" s="45" t="n">
        <f aca="false">Lists!M$21</f>
        <v>46409</v>
      </c>
      <c r="X6" s="45" t="n">
        <f aca="false">Lists!N$21</f>
        <v>46416</v>
      </c>
      <c r="Y6" s="45" t="n">
        <f aca="false">Lists!O$21</f>
        <v>46423</v>
      </c>
      <c r="Z6" s="42" t="s">
        <v>254</v>
      </c>
      <c r="AA6" s="2"/>
      <c r="AB6" s="2"/>
      <c r="AC6" s="2"/>
      <c r="AD6" s="2"/>
      <c r="AE6" s="2"/>
      <c r="AF6" s="2"/>
      <c r="AG6" s="2"/>
      <c r="AH6" s="2"/>
      <c r="AI6" s="2"/>
      <c r="AJ6" s="2"/>
      <c r="AK6" s="2"/>
      <c r="AL6" s="2"/>
      <c r="AM6" s="2"/>
      <c r="AN6" s="2"/>
      <c r="AO6" s="2"/>
      <c r="AP6" s="2"/>
    </row>
    <row r="7" customFormat="false" ht="15" hidden="false" customHeight="false" outlineLevel="0" collapsed="false">
      <c r="A7" s="5" t="s">
        <v>417</v>
      </c>
      <c r="B7" s="6"/>
      <c r="C7" s="6"/>
      <c r="D7" s="6"/>
      <c r="E7" s="6"/>
      <c r="F7" s="6"/>
      <c r="G7" s="6"/>
      <c r="H7" s="6"/>
      <c r="I7" s="6"/>
      <c r="J7" s="6"/>
      <c r="K7" s="6"/>
      <c r="L7" s="6"/>
      <c r="M7" s="6"/>
      <c r="N7" s="6"/>
      <c r="O7" s="6"/>
      <c r="P7" s="6"/>
      <c r="Q7" s="6"/>
      <c r="R7" s="6"/>
      <c r="S7" s="6"/>
      <c r="T7" s="6"/>
      <c r="U7" s="6"/>
      <c r="V7" s="6"/>
      <c r="W7" s="6"/>
      <c r="X7" s="6"/>
      <c r="Y7" s="6"/>
      <c r="Z7" s="6"/>
      <c r="AA7" s="6"/>
      <c r="AB7" s="6"/>
      <c r="AC7" s="2"/>
      <c r="AD7" s="63" t="s">
        <v>376</v>
      </c>
      <c r="AE7" s="2"/>
      <c r="AF7" s="2"/>
      <c r="AG7" s="2"/>
      <c r="AH7" s="2"/>
      <c r="AI7" s="2"/>
      <c r="AJ7" s="2"/>
      <c r="AK7" s="2"/>
      <c r="AL7" s="2"/>
      <c r="AM7" s="2"/>
      <c r="AN7" s="2"/>
      <c r="AO7" s="2"/>
      <c r="AP7" s="2"/>
    </row>
    <row r="8" customFormat="false" ht="54" hidden="false" customHeight="true" outlineLevel="0" collapsed="false">
      <c r="A8" s="56" t="s">
        <v>377</v>
      </c>
      <c r="B8" s="56" t="s">
        <v>418</v>
      </c>
      <c r="C8" s="56" t="s">
        <v>379</v>
      </c>
      <c r="D8" s="56" t="s">
        <v>380</v>
      </c>
      <c r="E8" s="56" t="s">
        <v>381</v>
      </c>
      <c r="F8" s="56" t="s">
        <v>382</v>
      </c>
      <c r="G8" s="56" t="s">
        <v>383</v>
      </c>
      <c r="H8" s="56" t="s">
        <v>384</v>
      </c>
      <c r="I8" s="56" t="s">
        <v>419</v>
      </c>
      <c r="J8" s="56" t="s">
        <v>386</v>
      </c>
      <c r="K8" s="56" t="s">
        <v>387</v>
      </c>
      <c r="L8" s="56" t="s">
        <v>420</v>
      </c>
      <c r="M8" s="56" t="s">
        <v>389</v>
      </c>
      <c r="N8" s="56" t="s">
        <v>389</v>
      </c>
      <c r="O8" s="56" t="s">
        <v>389</v>
      </c>
      <c r="P8" s="56" t="s">
        <v>389</v>
      </c>
      <c r="Q8" s="56" t="s">
        <v>389</v>
      </c>
      <c r="R8" s="56" t="s">
        <v>389</v>
      </c>
      <c r="S8" s="56" t="s">
        <v>389</v>
      </c>
      <c r="T8" s="56" t="s">
        <v>389</v>
      </c>
      <c r="U8" s="56" t="s">
        <v>389</v>
      </c>
      <c r="V8" s="56" t="s">
        <v>389</v>
      </c>
      <c r="W8" s="56" t="s">
        <v>389</v>
      </c>
      <c r="X8" s="56" t="s">
        <v>389</v>
      </c>
      <c r="Y8" s="56" t="s">
        <v>389</v>
      </c>
      <c r="Z8" s="56" t="s">
        <v>390</v>
      </c>
      <c r="AA8" s="56" t="s">
        <v>391</v>
      </c>
      <c r="AB8" s="56" t="s">
        <v>392</v>
      </c>
      <c r="AC8" s="2"/>
      <c r="AD8" s="56" t="s">
        <v>393</v>
      </c>
      <c r="AE8" s="56" t="s">
        <v>394</v>
      </c>
      <c r="AF8" s="56" t="s">
        <v>395</v>
      </c>
      <c r="AG8" s="56" t="s">
        <v>396</v>
      </c>
      <c r="AH8" s="56" t="s">
        <v>397</v>
      </c>
      <c r="AI8" s="56" t="s">
        <v>398</v>
      </c>
      <c r="AJ8" s="56" t="s">
        <v>399</v>
      </c>
      <c r="AK8" s="56" t="s">
        <v>400</v>
      </c>
      <c r="AL8" s="56" t="s">
        <v>401</v>
      </c>
      <c r="AM8" s="56" t="s">
        <v>402</v>
      </c>
      <c r="AN8" s="56" t="s">
        <v>403</v>
      </c>
      <c r="AO8" s="56" t="s">
        <v>404</v>
      </c>
      <c r="AP8" s="56" t="s">
        <v>405</v>
      </c>
    </row>
    <row r="9" customFormat="false" ht="15" hidden="false" customHeight="false" outlineLevel="0" collapsed="false">
      <c r="A9" s="87" t="n">
        <v>1</v>
      </c>
      <c r="B9" s="55" t="s">
        <v>421</v>
      </c>
      <c r="C9" s="88" t="n">
        <v>92000</v>
      </c>
      <c r="D9" s="88" t="n">
        <v>48000</v>
      </c>
      <c r="E9" s="88"/>
      <c r="F9" s="88"/>
      <c r="G9" s="88"/>
      <c r="H9" s="89" t="n">
        <f aca="false">SUM(C9:G9)</f>
        <v>140000</v>
      </c>
      <c r="I9" s="58" t="s">
        <v>407</v>
      </c>
      <c r="J9" s="90"/>
      <c r="K9" s="91"/>
      <c r="L9" s="80"/>
      <c r="M9" s="53" t="n">
        <f aca="false">IF($H9=0,0,IF($AP9="X",0,IF($AP9="S",$H9/$AO9*(MIN($AO9,MAX(0,INT((Lists!C$21-N($J9))/7)+1))-MIN($AO9,MAX(0,INT((Lists!C$22-N($J9))/7)+1))),IF($AP9="D",$H9*MAX(0,MIN(Lists!C$21,N($J9)+$AO9)-MAX(Lists!C$22,N($J9)))/$AO9,IF($AP9="M",$H9/$AO9*(IF(Lists!C$21&lt;$J9,0,MIN($AO9,(((YEAR(Lists!C$21)-YEAR($J9))*12+MONTH(Lists!C$21)-MONTH($J9))-(EDATE($J9,((YEAR(Lists!C$21)-YEAR($J9))*12+MONTH(Lists!C$21)-MONTH($J9)))&gt;Lists!C$21)+1)))-IF(Lists!C$22&lt;$J9,0,MIN($AO9,(((YEAR(Lists!C$22)-YEAR($J9))*12+MONTH(Lists!C$22)-MONTH($J9))-(EDATE($J9,((YEAR(Lists!C$22)-YEAR($J9))*12+MONTH(Lists!C$22)-MONTH($J9)))&gt;Lists!C$22)+1)))),IF($AP9="F",IF(N($K9)&lt;=0,0,MIN(MAX(0,$H9),N($K9)*IF(Lists!C$21&lt;$J9,0,(((YEAR(Lists!C$21)-YEAR($J9))*12+MONTH(Lists!C$21)-MONTH($J9))-(EDATE($J9,((YEAR(Lists!C$21)-YEAR($J9))*12+MONTH(Lists!C$21)-MONTH($J9)))&gt;Lists!C$21)+1)))-MIN(MAX(0,$H9),N($K9)*IF(Lists!C$22&lt;$J9,0,(((YEAR(Lists!C$22)-YEAR($J9))*12+MONTH(Lists!C$22)-MONTH($J9))-(EDATE($J9,((YEAR(Lists!C$22)-YEAR($J9))*12+MONTH(Lists!C$22)-MONTH($J9)))&gt;Lists!C$22)+1)))),N($C9)*IF($AE9-$AD9&lt;1,($AD9&gt;Lists!C$22)*($AD9&lt;=Lists!C$21),MAX(0,MIN(Lists!C$21,$AE9)-MAX(Lists!C$22,$AD9))/($AE9-$AD9))+N($D9)*IF($AG9-$AF9&lt;1,($AF9&gt;Lists!C$22)*($AF9&lt;=Lists!C$21),MAX(0,MIN(Lists!C$21,$AG9)-MAX(Lists!C$22,$AF9))/($AG9-$AF9))+N($E9)*IF($AI9-$AH9&lt;1,($AH9&gt;Lists!C$22)*($AH9&lt;=Lists!C$21),MAX(0,MIN(Lists!C$21,$AI9)-MAX(Lists!C$22,$AH9))/($AI9-$AH9))+N($F9)*IF($AK9-$AJ9&lt;1,($AJ9&gt;Lists!C$22)*($AJ9&lt;=Lists!C$21),MAX(0,MIN(Lists!C$21,$AK9)-MAX(Lists!C$22,$AJ9))/($AK9-$AJ9))+N($G9)*IF($AM9-$AL9&lt;1,($AL9&gt;Lists!C$22)*($AL9&lt;=Lists!C$21),MAX(0,MIN(Lists!C$21,$AM9)-MAX(Lists!C$22,$AL9))/($AM9-$AL9))))))))</f>
        <v>6857.14285714286</v>
      </c>
      <c r="N9" s="53" t="n">
        <f aca="false">IF($H9=0,0,IF($AP9="X",0,IF($AP9="S",$H9/$AO9*(MIN($AO9,MAX(0,INT((Lists!D$21-N($J9))/7)+1))-MIN($AO9,MAX(0,INT((Lists!D$22-N($J9))/7)+1))),IF($AP9="D",$H9*MAX(0,MIN(Lists!D$21,N($J9)+$AO9)-MAX(Lists!D$22,N($J9)))/$AO9,IF($AP9="M",$H9/$AO9*(IF(Lists!D$21&lt;$J9,0,MIN($AO9,(((YEAR(Lists!D$21)-YEAR($J9))*12+MONTH(Lists!D$21)-MONTH($J9))-(EDATE($J9,((YEAR(Lists!D$21)-YEAR($J9))*12+MONTH(Lists!D$21)-MONTH($J9)))&gt;Lists!D$21)+1)))-IF(Lists!D$22&lt;$J9,0,MIN($AO9,(((YEAR(Lists!D$22)-YEAR($J9))*12+MONTH(Lists!D$22)-MONTH($J9))-(EDATE($J9,((YEAR(Lists!D$22)-YEAR($J9))*12+MONTH(Lists!D$22)-MONTH($J9)))&gt;Lists!D$22)+1)))),IF($AP9="F",IF(N($K9)&lt;=0,0,MIN(MAX(0,$H9),N($K9)*IF(Lists!D$21&lt;$J9,0,(((YEAR(Lists!D$21)-YEAR($J9))*12+MONTH(Lists!D$21)-MONTH($J9))-(EDATE($J9,((YEAR(Lists!D$21)-YEAR($J9))*12+MONTH(Lists!D$21)-MONTH($J9)))&gt;Lists!D$21)+1)))-MIN(MAX(0,$H9),N($K9)*IF(Lists!D$22&lt;$J9,0,(((YEAR(Lists!D$22)-YEAR($J9))*12+MONTH(Lists!D$22)-MONTH($J9))-(EDATE($J9,((YEAR(Lists!D$22)-YEAR($J9))*12+MONTH(Lists!D$22)-MONTH($J9)))&gt;Lists!D$22)+1)))),N($C9)*IF($AE9-$AD9&lt;1,($AD9&gt;Lists!D$22)*($AD9&lt;=Lists!D$21),MAX(0,MIN(Lists!D$21,$AE9)-MAX(Lists!D$22,$AD9))/($AE9-$AD9))+N($D9)*IF($AG9-$AF9&lt;1,($AF9&gt;Lists!D$22)*($AF9&lt;=Lists!D$21),MAX(0,MIN(Lists!D$21,$AG9)-MAX(Lists!D$22,$AF9))/($AG9-$AF9))+N($E9)*IF($AI9-$AH9&lt;1,($AH9&gt;Lists!D$22)*($AH9&lt;=Lists!D$21),MAX(0,MIN(Lists!D$21,$AI9)-MAX(Lists!D$22,$AH9))/($AI9-$AH9))+N($F9)*IF($AK9-$AJ9&lt;1,($AJ9&gt;Lists!D$22)*($AJ9&lt;=Lists!D$21),MAX(0,MIN(Lists!D$21,$AK9)-MAX(Lists!D$22,$AJ9))/($AK9-$AJ9))+N($G9)*IF($AM9-$AL9&lt;1,($AL9&gt;Lists!D$22)*($AL9&lt;=Lists!D$21),MAX(0,MIN(Lists!D$21,$AM9)-MAX(Lists!D$22,$AL9))/($AM9-$AL9))))))))</f>
        <v>15066.6666666667</v>
      </c>
      <c r="O9" s="53" t="n">
        <f aca="false">IF($H9=0,0,IF($AP9="X",0,IF($AP9="S",$H9/$AO9*(MIN($AO9,MAX(0,INT((Lists!E$21-N($J9))/7)+1))-MIN($AO9,MAX(0,INT((Lists!E$22-N($J9))/7)+1))),IF($AP9="D",$H9*MAX(0,MIN(Lists!E$21,N($J9)+$AO9)-MAX(Lists!E$22,N($J9)))/$AO9,IF($AP9="M",$H9/$AO9*(IF(Lists!E$21&lt;$J9,0,MIN($AO9,(((YEAR(Lists!E$21)-YEAR($J9))*12+MONTH(Lists!E$21)-MONTH($J9))-(EDATE($J9,((YEAR(Lists!E$21)-YEAR($J9))*12+MONTH(Lists!E$21)-MONTH($J9)))&gt;Lists!E$21)+1)))-IF(Lists!E$22&lt;$J9,0,MIN($AO9,(((YEAR(Lists!E$22)-YEAR($J9))*12+MONTH(Lists!E$22)-MONTH($J9))-(EDATE($J9,((YEAR(Lists!E$22)-YEAR($J9))*12+MONTH(Lists!E$22)-MONTH($J9)))&gt;Lists!E$22)+1)))),IF($AP9="F",IF(N($K9)&lt;=0,0,MIN(MAX(0,$H9),N($K9)*IF(Lists!E$21&lt;$J9,0,(((YEAR(Lists!E$21)-YEAR($J9))*12+MONTH(Lists!E$21)-MONTH($J9))-(EDATE($J9,((YEAR(Lists!E$21)-YEAR($J9))*12+MONTH(Lists!E$21)-MONTH($J9)))&gt;Lists!E$21)+1)))-MIN(MAX(0,$H9),N($K9)*IF(Lists!E$22&lt;$J9,0,(((YEAR(Lists!E$22)-YEAR($J9))*12+MONTH(Lists!E$22)-MONTH($J9))-(EDATE($J9,((YEAR(Lists!E$22)-YEAR($J9))*12+MONTH(Lists!E$22)-MONTH($J9)))&gt;Lists!E$22)+1)))),N($C9)*IF($AE9-$AD9&lt;1,($AD9&gt;Lists!E$22)*($AD9&lt;=Lists!E$21),MAX(0,MIN(Lists!E$21,$AE9)-MAX(Lists!E$22,$AD9))/($AE9-$AD9))+N($D9)*IF($AG9-$AF9&lt;1,($AF9&gt;Lists!E$22)*($AF9&lt;=Lists!E$21),MAX(0,MIN(Lists!E$21,$AG9)-MAX(Lists!E$22,$AF9))/($AG9-$AF9))+N($E9)*IF($AI9-$AH9&lt;1,($AH9&gt;Lists!E$22)*($AH9&lt;=Lists!E$21),MAX(0,MIN(Lists!E$21,$AI9)-MAX(Lists!E$22,$AH9))/($AI9-$AH9))+N($F9)*IF($AK9-$AJ9&lt;1,($AJ9&gt;Lists!E$22)*($AJ9&lt;=Lists!E$21),MAX(0,MIN(Lists!E$21,$AK9)-MAX(Lists!E$22,$AJ9))/($AK9-$AJ9))+N($G9)*IF($AM9-$AL9&lt;1,($AL9&gt;Lists!E$22)*($AL9&lt;=Lists!E$21),MAX(0,MIN(Lists!E$21,$AM9)-MAX(Lists!E$22,$AL9))/($AM9-$AL9))))))))</f>
        <v>33466.6666666667</v>
      </c>
      <c r="P9" s="53" t="n">
        <f aca="false">IF($H9=0,0,IF($AP9="X",0,IF($AP9="S",$H9/$AO9*(MIN($AO9,MAX(0,INT((Lists!F$21-N($J9))/7)+1))-MIN($AO9,MAX(0,INT((Lists!F$22-N($J9))/7)+1))),IF($AP9="D",$H9*MAX(0,MIN(Lists!F$21,N($J9)+$AO9)-MAX(Lists!F$22,N($J9)))/$AO9,IF($AP9="M",$H9/$AO9*(IF(Lists!F$21&lt;$J9,0,MIN($AO9,(((YEAR(Lists!F$21)-YEAR($J9))*12+MONTH(Lists!F$21)-MONTH($J9))-(EDATE($J9,((YEAR(Lists!F$21)-YEAR($J9))*12+MONTH(Lists!F$21)-MONTH($J9)))&gt;Lists!F$21)+1)))-IF(Lists!F$22&lt;$J9,0,MIN($AO9,(((YEAR(Lists!F$22)-YEAR($J9))*12+MONTH(Lists!F$22)-MONTH($J9))-(EDATE($J9,((YEAR(Lists!F$22)-YEAR($J9))*12+MONTH(Lists!F$22)-MONTH($J9)))&gt;Lists!F$22)+1)))),IF($AP9="F",IF(N($K9)&lt;=0,0,MIN(MAX(0,$H9),N($K9)*IF(Lists!F$21&lt;$J9,0,(((YEAR(Lists!F$21)-YEAR($J9))*12+MONTH(Lists!F$21)-MONTH($J9))-(EDATE($J9,((YEAR(Lists!F$21)-YEAR($J9))*12+MONTH(Lists!F$21)-MONTH($J9)))&gt;Lists!F$21)+1)))-MIN(MAX(0,$H9),N($K9)*IF(Lists!F$22&lt;$J9,0,(((YEAR(Lists!F$22)-YEAR($J9))*12+MONTH(Lists!F$22)-MONTH($J9))-(EDATE($J9,((YEAR(Lists!F$22)-YEAR($J9))*12+MONTH(Lists!F$22)-MONTH($J9)))&gt;Lists!F$22)+1)))),N($C9)*IF($AE9-$AD9&lt;1,($AD9&gt;Lists!F$22)*($AD9&lt;=Lists!F$21),MAX(0,MIN(Lists!F$21,$AE9)-MAX(Lists!F$22,$AD9))/($AE9-$AD9))+N($D9)*IF($AG9-$AF9&lt;1,($AF9&gt;Lists!F$22)*($AF9&lt;=Lists!F$21),MAX(0,MIN(Lists!F$21,$AG9)-MAX(Lists!F$22,$AF9))/($AG9-$AF9))+N($E9)*IF($AI9-$AH9&lt;1,($AH9&gt;Lists!F$22)*($AH9&lt;=Lists!F$21),MAX(0,MIN(Lists!F$21,$AI9)-MAX(Lists!F$22,$AH9))/($AI9-$AH9))+N($F9)*IF($AK9-$AJ9&lt;1,($AJ9&gt;Lists!F$22)*($AJ9&lt;=Lists!F$21),MAX(0,MIN(Lists!F$21,$AK9)-MAX(Lists!F$22,$AJ9))/($AK9-$AJ9))+N($G9)*IF($AM9-$AL9&lt;1,($AL9&gt;Lists!F$22)*($AL9&lt;=Lists!F$21),MAX(0,MIN(Lists!F$21,$AM9)-MAX(Lists!F$22,$AL9))/($AM9-$AL9))))))))</f>
        <v>33466.6666666667</v>
      </c>
      <c r="Q9" s="53" t="n">
        <f aca="false">IF($H9=0,0,IF($AP9="X",0,IF($AP9="S",$H9/$AO9*(MIN($AO9,MAX(0,INT((Lists!G$21-N($J9))/7)+1))-MIN($AO9,MAX(0,INT((Lists!G$22-N($J9))/7)+1))),IF($AP9="D",$H9*MAX(0,MIN(Lists!G$21,N($J9)+$AO9)-MAX(Lists!G$22,N($J9)))/$AO9,IF($AP9="M",$H9/$AO9*(IF(Lists!G$21&lt;$J9,0,MIN($AO9,(((YEAR(Lists!G$21)-YEAR($J9))*12+MONTH(Lists!G$21)-MONTH($J9))-(EDATE($J9,((YEAR(Lists!G$21)-YEAR($J9))*12+MONTH(Lists!G$21)-MONTH($J9)))&gt;Lists!G$21)+1)))-IF(Lists!G$22&lt;$J9,0,MIN($AO9,(((YEAR(Lists!G$22)-YEAR($J9))*12+MONTH(Lists!G$22)-MONTH($J9))-(EDATE($J9,((YEAR(Lists!G$22)-YEAR($J9))*12+MONTH(Lists!G$22)-MONTH($J9)))&gt;Lists!G$22)+1)))),IF($AP9="F",IF(N($K9)&lt;=0,0,MIN(MAX(0,$H9),N($K9)*IF(Lists!G$21&lt;$J9,0,(((YEAR(Lists!G$21)-YEAR($J9))*12+MONTH(Lists!G$21)-MONTH($J9))-(EDATE($J9,((YEAR(Lists!G$21)-YEAR($J9))*12+MONTH(Lists!G$21)-MONTH($J9)))&gt;Lists!G$21)+1)))-MIN(MAX(0,$H9),N($K9)*IF(Lists!G$22&lt;$J9,0,(((YEAR(Lists!G$22)-YEAR($J9))*12+MONTH(Lists!G$22)-MONTH($J9))-(EDATE($J9,((YEAR(Lists!G$22)-YEAR($J9))*12+MONTH(Lists!G$22)-MONTH($J9)))&gt;Lists!G$22)+1)))),N($C9)*IF($AE9-$AD9&lt;1,($AD9&gt;Lists!G$22)*($AD9&lt;=Lists!G$21),MAX(0,MIN(Lists!G$21,$AE9)-MAX(Lists!G$22,$AD9))/($AE9-$AD9))+N($D9)*IF($AG9-$AF9&lt;1,($AF9&gt;Lists!G$22)*($AF9&lt;=Lists!G$21),MAX(0,MIN(Lists!G$21,$AG9)-MAX(Lists!G$22,$AF9))/($AG9-$AF9))+N($E9)*IF($AI9-$AH9&lt;1,($AH9&gt;Lists!G$22)*($AH9&lt;=Lists!G$21),MAX(0,MIN(Lists!G$21,$AI9)-MAX(Lists!G$22,$AH9))/($AI9-$AH9))+N($F9)*IF($AK9-$AJ9&lt;1,($AJ9&gt;Lists!G$22)*($AJ9&lt;=Lists!G$21),MAX(0,MIN(Lists!G$21,$AK9)-MAX(Lists!G$22,$AJ9))/($AK9-$AJ9))+N($G9)*IF($AM9-$AL9&lt;1,($AL9&gt;Lists!G$22)*($AL9&lt;=Lists!G$21),MAX(0,MIN(Lists!G$21,$AM9)-MAX(Lists!G$22,$AL9))/($AM9-$AL9))))))))</f>
        <v>26609.5238095238</v>
      </c>
      <c r="R9" s="53" t="n">
        <f aca="false">IF($H9=0,0,IF($AP9="X",0,IF($AP9="S",$H9/$AO9*(MIN($AO9,MAX(0,INT((Lists!H$21-N($J9))/7)+1))-MIN($AO9,MAX(0,INT((Lists!H$22-N($J9))/7)+1))),IF($AP9="D",$H9*MAX(0,MIN(Lists!H$21,N($J9)+$AO9)-MAX(Lists!H$22,N($J9)))/$AO9,IF($AP9="M",$H9/$AO9*(IF(Lists!H$21&lt;$J9,0,MIN($AO9,(((YEAR(Lists!H$21)-YEAR($J9))*12+MONTH(Lists!H$21)-MONTH($J9))-(EDATE($J9,((YEAR(Lists!H$21)-YEAR($J9))*12+MONTH(Lists!H$21)-MONTH($J9)))&gt;Lists!H$21)+1)))-IF(Lists!H$22&lt;$J9,0,MIN($AO9,(((YEAR(Lists!H$22)-YEAR($J9))*12+MONTH(Lists!H$22)-MONTH($J9))-(EDATE($J9,((YEAR(Lists!H$22)-YEAR($J9))*12+MONTH(Lists!H$22)-MONTH($J9)))&gt;Lists!H$22)+1)))),IF($AP9="F",IF(N($K9)&lt;=0,0,MIN(MAX(0,$H9),N($K9)*IF(Lists!H$21&lt;$J9,0,(((YEAR(Lists!H$21)-YEAR($J9))*12+MONTH(Lists!H$21)-MONTH($J9))-(EDATE($J9,((YEAR(Lists!H$21)-YEAR($J9))*12+MONTH(Lists!H$21)-MONTH($J9)))&gt;Lists!H$21)+1)))-MIN(MAX(0,$H9),N($K9)*IF(Lists!H$22&lt;$J9,0,(((YEAR(Lists!H$22)-YEAR($J9))*12+MONTH(Lists!H$22)-MONTH($J9))-(EDATE($J9,((YEAR(Lists!H$22)-YEAR($J9))*12+MONTH(Lists!H$22)-MONTH($J9)))&gt;Lists!H$22)+1)))),N($C9)*IF($AE9-$AD9&lt;1,($AD9&gt;Lists!H$22)*($AD9&lt;=Lists!H$21),MAX(0,MIN(Lists!H$21,$AE9)-MAX(Lists!H$22,$AD9))/($AE9-$AD9))+N($D9)*IF($AG9-$AF9&lt;1,($AF9&gt;Lists!H$22)*($AF9&lt;=Lists!H$21),MAX(0,MIN(Lists!H$21,$AG9)-MAX(Lists!H$22,$AF9))/($AG9-$AF9))+N($E9)*IF($AI9-$AH9&lt;1,($AH9&gt;Lists!H$22)*($AH9&lt;=Lists!H$21),MAX(0,MIN(Lists!H$21,$AI9)-MAX(Lists!H$22,$AH9))/($AI9-$AH9))+N($F9)*IF($AK9-$AJ9&lt;1,($AJ9&gt;Lists!H$22)*($AJ9&lt;=Lists!H$21),MAX(0,MIN(Lists!H$21,$AK9)-MAX(Lists!H$22,$AJ9))/($AK9-$AJ9))+N($G9)*IF($AM9-$AL9&lt;1,($AL9&gt;Lists!H$22)*($AL9&lt;=Lists!H$21),MAX(0,MIN(Lists!H$21,$AM9)-MAX(Lists!H$22,$AL9))/($AM9-$AL9))))))))</f>
        <v>21466.6666666667</v>
      </c>
      <c r="S9" s="53" t="n">
        <f aca="false">IF($H9=0,0,IF($AP9="X",0,IF($AP9="S",$H9/$AO9*(MIN($AO9,MAX(0,INT((Lists!I$21-N($J9))/7)+1))-MIN($AO9,MAX(0,INT((Lists!I$22-N($J9))/7)+1))),IF($AP9="D",$H9*MAX(0,MIN(Lists!I$21,N($J9)+$AO9)-MAX(Lists!I$22,N($J9)))/$AO9,IF($AP9="M",$H9/$AO9*(IF(Lists!I$21&lt;$J9,0,MIN($AO9,(((YEAR(Lists!I$21)-YEAR($J9))*12+MONTH(Lists!I$21)-MONTH($J9))-(EDATE($J9,((YEAR(Lists!I$21)-YEAR($J9))*12+MONTH(Lists!I$21)-MONTH($J9)))&gt;Lists!I$21)+1)))-IF(Lists!I$22&lt;$J9,0,MIN($AO9,(((YEAR(Lists!I$22)-YEAR($J9))*12+MONTH(Lists!I$22)-MONTH($J9))-(EDATE($J9,((YEAR(Lists!I$22)-YEAR($J9))*12+MONTH(Lists!I$22)-MONTH($J9)))&gt;Lists!I$22)+1)))),IF($AP9="F",IF(N($K9)&lt;=0,0,MIN(MAX(0,$H9),N($K9)*IF(Lists!I$21&lt;$J9,0,(((YEAR(Lists!I$21)-YEAR($J9))*12+MONTH(Lists!I$21)-MONTH($J9))-(EDATE($J9,((YEAR(Lists!I$21)-YEAR($J9))*12+MONTH(Lists!I$21)-MONTH($J9)))&gt;Lists!I$21)+1)))-MIN(MAX(0,$H9),N($K9)*IF(Lists!I$22&lt;$J9,0,(((YEAR(Lists!I$22)-YEAR($J9))*12+MONTH(Lists!I$22)-MONTH($J9))-(EDATE($J9,((YEAR(Lists!I$22)-YEAR($J9))*12+MONTH(Lists!I$22)-MONTH($J9)))&gt;Lists!I$22)+1)))),N($C9)*IF($AE9-$AD9&lt;1,($AD9&gt;Lists!I$22)*($AD9&lt;=Lists!I$21),MAX(0,MIN(Lists!I$21,$AE9)-MAX(Lists!I$22,$AD9))/($AE9-$AD9))+N($D9)*IF($AG9-$AF9&lt;1,($AF9&gt;Lists!I$22)*($AF9&lt;=Lists!I$21),MAX(0,MIN(Lists!I$21,$AG9)-MAX(Lists!I$22,$AF9))/($AG9-$AF9))+N($E9)*IF($AI9-$AH9&lt;1,($AH9&gt;Lists!I$22)*($AH9&lt;=Lists!I$21),MAX(0,MIN(Lists!I$21,$AI9)-MAX(Lists!I$22,$AH9))/($AI9-$AH9))+N($F9)*IF($AK9-$AJ9&lt;1,($AJ9&gt;Lists!I$22)*($AJ9&lt;=Lists!I$21),MAX(0,MIN(Lists!I$21,$AK9)-MAX(Lists!I$22,$AJ9))/($AK9-$AJ9))+N($G9)*IF($AM9-$AL9&lt;1,($AL9&gt;Lists!I$22)*($AL9&lt;=Lists!I$21),MAX(0,MIN(Lists!I$21,$AM9)-MAX(Lists!I$22,$AL9))/($AM9-$AL9))))))))</f>
        <v>3066.66666666667</v>
      </c>
      <c r="T9" s="53" t="n">
        <f aca="false">IF($H9=0,0,IF($AP9="X",0,IF($AP9="S",$H9/$AO9*(MIN($AO9,MAX(0,INT((Lists!J$21-N($J9))/7)+1))-MIN($AO9,MAX(0,INT((Lists!J$22-N($J9))/7)+1))),IF($AP9="D",$H9*MAX(0,MIN(Lists!J$21,N($J9)+$AO9)-MAX(Lists!J$22,N($J9)))/$AO9,IF($AP9="M",$H9/$AO9*(IF(Lists!J$21&lt;$J9,0,MIN($AO9,(((YEAR(Lists!J$21)-YEAR($J9))*12+MONTH(Lists!J$21)-MONTH($J9))-(EDATE($J9,((YEAR(Lists!J$21)-YEAR($J9))*12+MONTH(Lists!J$21)-MONTH($J9)))&gt;Lists!J$21)+1)))-IF(Lists!J$22&lt;$J9,0,MIN($AO9,(((YEAR(Lists!J$22)-YEAR($J9))*12+MONTH(Lists!J$22)-MONTH($J9))-(EDATE($J9,((YEAR(Lists!J$22)-YEAR($J9))*12+MONTH(Lists!J$22)-MONTH($J9)))&gt;Lists!J$22)+1)))),IF($AP9="F",IF(N($K9)&lt;=0,0,MIN(MAX(0,$H9),N($K9)*IF(Lists!J$21&lt;$J9,0,(((YEAR(Lists!J$21)-YEAR($J9))*12+MONTH(Lists!J$21)-MONTH($J9))-(EDATE($J9,((YEAR(Lists!J$21)-YEAR($J9))*12+MONTH(Lists!J$21)-MONTH($J9)))&gt;Lists!J$21)+1)))-MIN(MAX(0,$H9),N($K9)*IF(Lists!J$22&lt;$J9,0,(((YEAR(Lists!J$22)-YEAR($J9))*12+MONTH(Lists!J$22)-MONTH($J9))-(EDATE($J9,((YEAR(Lists!J$22)-YEAR($J9))*12+MONTH(Lists!J$22)-MONTH($J9)))&gt;Lists!J$22)+1)))),N($C9)*IF($AE9-$AD9&lt;1,($AD9&gt;Lists!J$22)*($AD9&lt;=Lists!J$21),MAX(0,MIN(Lists!J$21,$AE9)-MAX(Lists!J$22,$AD9))/($AE9-$AD9))+N($D9)*IF($AG9-$AF9&lt;1,($AF9&gt;Lists!J$22)*($AF9&lt;=Lists!J$21),MAX(0,MIN(Lists!J$21,$AG9)-MAX(Lists!J$22,$AF9))/($AG9-$AF9))+N($E9)*IF($AI9-$AH9&lt;1,($AH9&gt;Lists!J$22)*($AH9&lt;=Lists!J$21),MAX(0,MIN(Lists!J$21,$AI9)-MAX(Lists!J$22,$AH9))/($AI9-$AH9))+N($F9)*IF($AK9-$AJ9&lt;1,($AJ9&gt;Lists!J$22)*($AJ9&lt;=Lists!J$21),MAX(0,MIN(Lists!J$21,$AK9)-MAX(Lists!J$22,$AJ9))/($AK9-$AJ9))+N($G9)*IF($AM9-$AL9&lt;1,($AL9&gt;Lists!J$22)*($AL9&lt;=Lists!J$21),MAX(0,MIN(Lists!J$21,$AM9)-MAX(Lists!J$22,$AL9))/($AM9-$AL9))))))))</f>
        <v>0</v>
      </c>
      <c r="U9" s="53" t="n">
        <f aca="false">IF($H9=0,0,IF($AP9="X",0,IF($AP9="S",$H9/$AO9*(MIN($AO9,MAX(0,INT((Lists!K$21-N($J9))/7)+1))-MIN($AO9,MAX(0,INT((Lists!K$22-N($J9))/7)+1))),IF($AP9="D",$H9*MAX(0,MIN(Lists!K$21,N($J9)+$AO9)-MAX(Lists!K$22,N($J9)))/$AO9,IF($AP9="M",$H9/$AO9*(IF(Lists!K$21&lt;$J9,0,MIN($AO9,(((YEAR(Lists!K$21)-YEAR($J9))*12+MONTH(Lists!K$21)-MONTH($J9))-(EDATE($J9,((YEAR(Lists!K$21)-YEAR($J9))*12+MONTH(Lists!K$21)-MONTH($J9)))&gt;Lists!K$21)+1)))-IF(Lists!K$22&lt;$J9,0,MIN($AO9,(((YEAR(Lists!K$22)-YEAR($J9))*12+MONTH(Lists!K$22)-MONTH($J9))-(EDATE($J9,((YEAR(Lists!K$22)-YEAR($J9))*12+MONTH(Lists!K$22)-MONTH($J9)))&gt;Lists!K$22)+1)))),IF($AP9="F",IF(N($K9)&lt;=0,0,MIN(MAX(0,$H9),N($K9)*IF(Lists!K$21&lt;$J9,0,(((YEAR(Lists!K$21)-YEAR($J9))*12+MONTH(Lists!K$21)-MONTH($J9))-(EDATE($J9,((YEAR(Lists!K$21)-YEAR($J9))*12+MONTH(Lists!K$21)-MONTH($J9)))&gt;Lists!K$21)+1)))-MIN(MAX(0,$H9),N($K9)*IF(Lists!K$22&lt;$J9,0,(((YEAR(Lists!K$22)-YEAR($J9))*12+MONTH(Lists!K$22)-MONTH($J9))-(EDATE($J9,((YEAR(Lists!K$22)-YEAR($J9))*12+MONTH(Lists!K$22)-MONTH($J9)))&gt;Lists!K$22)+1)))),N($C9)*IF($AE9-$AD9&lt;1,($AD9&gt;Lists!K$22)*($AD9&lt;=Lists!K$21),MAX(0,MIN(Lists!K$21,$AE9)-MAX(Lists!K$22,$AD9))/($AE9-$AD9))+N($D9)*IF($AG9-$AF9&lt;1,($AF9&gt;Lists!K$22)*($AF9&lt;=Lists!K$21),MAX(0,MIN(Lists!K$21,$AG9)-MAX(Lists!K$22,$AF9))/($AG9-$AF9))+N($E9)*IF($AI9-$AH9&lt;1,($AH9&gt;Lists!K$22)*($AH9&lt;=Lists!K$21),MAX(0,MIN(Lists!K$21,$AI9)-MAX(Lists!K$22,$AH9))/($AI9-$AH9))+N($F9)*IF($AK9-$AJ9&lt;1,($AJ9&gt;Lists!K$22)*($AJ9&lt;=Lists!K$21),MAX(0,MIN(Lists!K$21,$AK9)-MAX(Lists!K$22,$AJ9))/($AK9-$AJ9))+N($G9)*IF($AM9-$AL9&lt;1,($AL9&gt;Lists!K$22)*($AL9&lt;=Lists!K$21),MAX(0,MIN(Lists!K$21,$AM9)-MAX(Lists!K$22,$AL9))/($AM9-$AL9))))))))</f>
        <v>0</v>
      </c>
      <c r="V9" s="53" t="n">
        <f aca="false">IF($H9=0,0,IF($AP9="X",0,IF($AP9="S",$H9/$AO9*(MIN($AO9,MAX(0,INT((Lists!L$21-N($J9))/7)+1))-MIN($AO9,MAX(0,INT((Lists!L$22-N($J9))/7)+1))),IF($AP9="D",$H9*MAX(0,MIN(Lists!L$21,N($J9)+$AO9)-MAX(Lists!L$22,N($J9)))/$AO9,IF($AP9="M",$H9/$AO9*(IF(Lists!L$21&lt;$J9,0,MIN($AO9,(((YEAR(Lists!L$21)-YEAR($J9))*12+MONTH(Lists!L$21)-MONTH($J9))-(EDATE($J9,((YEAR(Lists!L$21)-YEAR($J9))*12+MONTH(Lists!L$21)-MONTH($J9)))&gt;Lists!L$21)+1)))-IF(Lists!L$22&lt;$J9,0,MIN($AO9,(((YEAR(Lists!L$22)-YEAR($J9))*12+MONTH(Lists!L$22)-MONTH($J9))-(EDATE($J9,((YEAR(Lists!L$22)-YEAR($J9))*12+MONTH(Lists!L$22)-MONTH($J9)))&gt;Lists!L$22)+1)))),IF($AP9="F",IF(N($K9)&lt;=0,0,MIN(MAX(0,$H9),N($K9)*IF(Lists!L$21&lt;$J9,0,(((YEAR(Lists!L$21)-YEAR($J9))*12+MONTH(Lists!L$21)-MONTH($J9))-(EDATE($J9,((YEAR(Lists!L$21)-YEAR($J9))*12+MONTH(Lists!L$21)-MONTH($J9)))&gt;Lists!L$21)+1)))-MIN(MAX(0,$H9),N($K9)*IF(Lists!L$22&lt;$J9,0,(((YEAR(Lists!L$22)-YEAR($J9))*12+MONTH(Lists!L$22)-MONTH($J9))-(EDATE($J9,((YEAR(Lists!L$22)-YEAR($J9))*12+MONTH(Lists!L$22)-MONTH($J9)))&gt;Lists!L$22)+1)))),N($C9)*IF($AE9-$AD9&lt;1,($AD9&gt;Lists!L$22)*($AD9&lt;=Lists!L$21),MAX(0,MIN(Lists!L$21,$AE9)-MAX(Lists!L$22,$AD9))/($AE9-$AD9))+N($D9)*IF($AG9-$AF9&lt;1,($AF9&gt;Lists!L$22)*($AF9&lt;=Lists!L$21),MAX(0,MIN(Lists!L$21,$AG9)-MAX(Lists!L$22,$AF9))/($AG9-$AF9))+N($E9)*IF($AI9-$AH9&lt;1,($AH9&gt;Lists!L$22)*($AH9&lt;=Lists!L$21),MAX(0,MIN(Lists!L$21,$AI9)-MAX(Lists!L$22,$AH9))/($AI9-$AH9))+N($F9)*IF($AK9-$AJ9&lt;1,($AJ9&gt;Lists!L$22)*($AJ9&lt;=Lists!L$21),MAX(0,MIN(Lists!L$21,$AK9)-MAX(Lists!L$22,$AJ9))/($AK9-$AJ9))+N($G9)*IF($AM9-$AL9&lt;1,($AL9&gt;Lists!L$22)*($AL9&lt;=Lists!L$21),MAX(0,MIN(Lists!L$21,$AM9)-MAX(Lists!L$22,$AL9))/($AM9-$AL9))))))))</f>
        <v>0</v>
      </c>
      <c r="W9" s="53" t="n">
        <f aca="false">IF($H9=0,0,IF($AP9="X",0,IF($AP9="S",$H9/$AO9*(MIN($AO9,MAX(0,INT((Lists!M$21-N($J9))/7)+1))-MIN($AO9,MAX(0,INT((Lists!M$22-N($J9))/7)+1))),IF($AP9="D",$H9*MAX(0,MIN(Lists!M$21,N($J9)+$AO9)-MAX(Lists!M$22,N($J9)))/$AO9,IF($AP9="M",$H9/$AO9*(IF(Lists!M$21&lt;$J9,0,MIN($AO9,(((YEAR(Lists!M$21)-YEAR($J9))*12+MONTH(Lists!M$21)-MONTH($J9))-(EDATE($J9,((YEAR(Lists!M$21)-YEAR($J9))*12+MONTH(Lists!M$21)-MONTH($J9)))&gt;Lists!M$21)+1)))-IF(Lists!M$22&lt;$J9,0,MIN($AO9,(((YEAR(Lists!M$22)-YEAR($J9))*12+MONTH(Lists!M$22)-MONTH($J9))-(EDATE($J9,((YEAR(Lists!M$22)-YEAR($J9))*12+MONTH(Lists!M$22)-MONTH($J9)))&gt;Lists!M$22)+1)))),IF($AP9="F",IF(N($K9)&lt;=0,0,MIN(MAX(0,$H9),N($K9)*IF(Lists!M$21&lt;$J9,0,(((YEAR(Lists!M$21)-YEAR($J9))*12+MONTH(Lists!M$21)-MONTH($J9))-(EDATE($J9,((YEAR(Lists!M$21)-YEAR($J9))*12+MONTH(Lists!M$21)-MONTH($J9)))&gt;Lists!M$21)+1)))-MIN(MAX(0,$H9),N($K9)*IF(Lists!M$22&lt;$J9,0,(((YEAR(Lists!M$22)-YEAR($J9))*12+MONTH(Lists!M$22)-MONTH($J9))-(EDATE($J9,((YEAR(Lists!M$22)-YEAR($J9))*12+MONTH(Lists!M$22)-MONTH($J9)))&gt;Lists!M$22)+1)))),N($C9)*IF($AE9-$AD9&lt;1,($AD9&gt;Lists!M$22)*($AD9&lt;=Lists!M$21),MAX(0,MIN(Lists!M$21,$AE9)-MAX(Lists!M$22,$AD9))/($AE9-$AD9))+N($D9)*IF($AG9-$AF9&lt;1,($AF9&gt;Lists!M$22)*($AF9&lt;=Lists!M$21),MAX(0,MIN(Lists!M$21,$AG9)-MAX(Lists!M$22,$AF9))/($AG9-$AF9))+N($E9)*IF($AI9-$AH9&lt;1,($AH9&gt;Lists!M$22)*($AH9&lt;=Lists!M$21),MAX(0,MIN(Lists!M$21,$AI9)-MAX(Lists!M$22,$AH9))/($AI9-$AH9))+N($F9)*IF($AK9-$AJ9&lt;1,($AJ9&gt;Lists!M$22)*($AJ9&lt;=Lists!M$21),MAX(0,MIN(Lists!M$21,$AK9)-MAX(Lists!M$22,$AJ9))/($AK9-$AJ9))+N($G9)*IF($AM9-$AL9&lt;1,($AL9&gt;Lists!M$22)*($AL9&lt;=Lists!M$21),MAX(0,MIN(Lists!M$21,$AM9)-MAX(Lists!M$22,$AL9))/($AM9-$AL9))))))))</f>
        <v>0</v>
      </c>
      <c r="X9" s="53" t="n">
        <f aca="false">IF($H9=0,0,IF($AP9="X",0,IF($AP9="S",$H9/$AO9*(MIN($AO9,MAX(0,INT((Lists!N$21-N($J9))/7)+1))-MIN($AO9,MAX(0,INT((Lists!N$22-N($J9))/7)+1))),IF($AP9="D",$H9*MAX(0,MIN(Lists!N$21,N($J9)+$AO9)-MAX(Lists!N$22,N($J9)))/$AO9,IF($AP9="M",$H9/$AO9*(IF(Lists!N$21&lt;$J9,0,MIN($AO9,(((YEAR(Lists!N$21)-YEAR($J9))*12+MONTH(Lists!N$21)-MONTH($J9))-(EDATE($J9,((YEAR(Lists!N$21)-YEAR($J9))*12+MONTH(Lists!N$21)-MONTH($J9)))&gt;Lists!N$21)+1)))-IF(Lists!N$22&lt;$J9,0,MIN($AO9,(((YEAR(Lists!N$22)-YEAR($J9))*12+MONTH(Lists!N$22)-MONTH($J9))-(EDATE($J9,((YEAR(Lists!N$22)-YEAR($J9))*12+MONTH(Lists!N$22)-MONTH($J9)))&gt;Lists!N$22)+1)))),IF($AP9="F",IF(N($K9)&lt;=0,0,MIN(MAX(0,$H9),N($K9)*IF(Lists!N$21&lt;$J9,0,(((YEAR(Lists!N$21)-YEAR($J9))*12+MONTH(Lists!N$21)-MONTH($J9))-(EDATE($J9,((YEAR(Lists!N$21)-YEAR($J9))*12+MONTH(Lists!N$21)-MONTH($J9)))&gt;Lists!N$21)+1)))-MIN(MAX(0,$H9),N($K9)*IF(Lists!N$22&lt;$J9,0,(((YEAR(Lists!N$22)-YEAR($J9))*12+MONTH(Lists!N$22)-MONTH($J9))-(EDATE($J9,((YEAR(Lists!N$22)-YEAR($J9))*12+MONTH(Lists!N$22)-MONTH($J9)))&gt;Lists!N$22)+1)))),N($C9)*IF($AE9-$AD9&lt;1,($AD9&gt;Lists!N$22)*($AD9&lt;=Lists!N$21),MAX(0,MIN(Lists!N$21,$AE9)-MAX(Lists!N$22,$AD9))/($AE9-$AD9))+N($D9)*IF($AG9-$AF9&lt;1,($AF9&gt;Lists!N$22)*($AF9&lt;=Lists!N$21),MAX(0,MIN(Lists!N$21,$AG9)-MAX(Lists!N$22,$AF9))/($AG9-$AF9))+N($E9)*IF($AI9-$AH9&lt;1,($AH9&gt;Lists!N$22)*($AH9&lt;=Lists!N$21),MAX(0,MIN(Lists!N$21,$AI9)-MAX(Lists!N$22,$AH9))/($AI9-$AH9))+N($F9)*IF($AK9-$AJ9&lt;1,($AJ9&gt;Lists!N$22)*($AJ9&lt;=Lists!N$21),MAX(0,MIN(Lists!N$21,$AK9)-MAX(Lists!N$22,$AJ9))/($AK9-$AJ9))+N($G9)*IF($AM9-$AL9&lt;1,($AL9&gt;Lists!N$22)*($AL9&lt;=Lists!N$21),MAX(0,MIN(Lists!N$21,$AM9)-MAX(Lists!N$22,$AL9))/($AM9-$AL9))))))))</f>
        <v>0</v>
      </c>
      <c r="Y9" s="53" t="n">
        <f aca="false">IF($H9=0,0,IF($AP9="X",0,IF($AP9="S",$H9/$AO9*(MIN($AO9,MAX(0,INT((Lists!O$21-N($J9))/7)+1))-MIN($AO9,MAX(0,INT((Lists!O$22-N($J9))/7)+1))),IF($AP9="D",$H9*MAX(0,MIN(Lists!O$21,N($J9)+$AO9)-MAX(Lists!O$22,N($J9)))/$AO9,IF($AP9="M",$H9/$AO9*(IF(Lists!O$21&lt;$J9,0,MIN($AO9,(((YEAR(Lists!O$21)-YEAR($J9))*12+MONTH(Lists!O$21)-MONTH($J9))-(EDATE($J9,((YEAR(Lists!O$21)-YEAR($J9))*12+MONTH(Lists!O$21)-MONTH($J9)))&gt;Lists!O$21)+1)))-IF(Lists!O$22&lt;$J9,0,MIN($AO9,(((YEAR(Lists!O$22)-YEAR($J9))*12+MONTH(Lists!O$22)-MONTH($J9))-(EDATE($J9,((YEAR(Lists!O$22)-YEAR($J9))*12+MONTH(Lists!O$22)-MONTH($J9)))&gt;Lists!O$22)+1)))),IF($AP9="F",IF(N($K9)&lt;=0,0,MIN(MAX(0,$H9),N($K9)*IF(Lists!O$21&lt;$J9,0,(((YEAR(Lists!O$21)-YEAR($J9))*12+MONTH(Lists!O$21)-MONTH($J9))-(EDATE($J9,((YEAR(Lists!O$21)-YEAR($J9))*12+MONTH(Lists!O$21)-MONTH($J9)))&gt;Lists!O$21)+1)))-MIN(MAX(0,$H9),N($K9)*IF(Lists!O$22&lt;$J9,0,(((YEAR(Lists!O$22)-YEAR($J9))*12+MONTH(Lists!O$22)-MONTH($J9))-(EDATE($J9,((YEAR(Lists!O$22)-YEAR($J9))*12+MONTH(Lists!O$22)-MONTH($J9)))&gt;Lists!O$22)+1)))),N($C9)*IF($AE9-$AD9&lt;1,($AD9&gt;Lists!O$22)*($AD9&lt;=Lists!O$21),MAX(0,MIN(Lists!O$21,$AE9)-MAX(Lists!O$22,$AD9))/($AE9-$AD9))+N($D9)*IF($AG9-$AF9&lt;1,($AF9&gt;Lists!O$22)*($AF9&lt;=Lists!O$21),MAX(0,MIN(Lists!O$21,$AG9)-MAX(Lists!O$22,$AF9))/($AG9-$AF9))+N($E9)*IF($AI9-$AH9&lt;1,($AH9&gt;Lists!O$22)*($AH9&lt;=Lists!O$21),MAX(0,MIN(Lists!O$21,$AI9)-MAX(Lists!O$22,$AH9))/($AI9-$AH9))+N($F9)*IF($AK9-$AJ9&lt;1,($AJ9&gt;Lists!O$22)*($AJ9&lt;=Lists!O$21),MAX(0,MIN(Lists!O$21,$AK9)-MAX(Lists!O$22,$AJ9))/($AK9-$AJ9))+N($G9)*IF($AM9-$AL9&lt;1,($AL9&gt;Lists!O$22)*($AL9&lt;=Lists!O$21),MAX(0,MIN(Lists!O$21,$AM9)-MAX(Lists!O$22,$AL9))/($AM9-$AL9))))))))</f>
        <v>0</v>
      </c>
      <c r="Z9" s="46" t="n">
        <f aca="false">SUM(M9:Y9)</f>
        <v>140000</v>
      </c>
      <c r="AA9" s="92" t="n">
        <f aca="false">H9-Z9</f>
        <v>0</v>
      </c>
      <c r="AB9" s="55"/>
      <c r="AC9" s="2"/>
      <c r="AD9" s="93" t="n">
        <f aca="false">Setup!$D$10+MAX(0,$AN9-30)</f>
        <v>46345</v>
      </c>
      <c r="AE9" s="93" t="n">
        <f aca="false">Setup!$D$10+IF($AN9-30&lt;0,MAX(Setup!$D$22,$AN9-0),$AN9-0)</f>
        <v>46375</v>
      </c>
      <c r="AF9" s="93" t="n">
        <f aca="false">Setup!$D$10+MAX(0,$AN9-60)</f>
        <v>46335</v>
      </c>
      <c r="AG9" s="93" t="n">
        <f aca="false">Setup!$D$10+IF($AN9-60&lt;0,MAX(Setup!$D$22,$AN9-31),$AN9-31)</f>
        <v>46363</v>
      </c>
      <c r="AH9" s="93" t="n">
        <f aca="false">Setup!$D$10+MAX(0,$AN9-90)</f>
        <v>46335</v>
      </c>
      <c r="AI9" s="93" t="n">
        <f aca="false">Setup!$D$10+IF($AN9-90&lt;0,MAX(Setup!$D$22,$AN9-61),$AN9-61)</f>
        <v>46363</v>
      </c>
      <c r="AJ9" s="93" t="n">
        <f aca="false">Setup!$D$10+MAX(0,$AN9-120)</f>
        <v>46335</v>
      </c>
      <c r="AK9" s="93" t="n">
        <f aca="false">Setup!$D$10+IF($AN9-120&lt;0,MAX(Setup!$D$22,$AN9-91),$AN9-91)</f>
        <v>46363</v>
      </c>
      <c r="AL9" s="93" t="n">
        <f aca="false">Setup!$D$10</f>
        <v>46335</v>
      </c>
      <c r="AM9" s="93" t="n">
        <f aca="false">IF(AL9=2958465,AL9,Setup!$D$10+Setup!$D$22)</f>
        <v>46363</v>
      </c>
      <c r="AN9" s="94" t="n">
        <f aca="false">IF(N(L9)=0,Setup!$D$21,L9)</f>
        <v>40</v>
      </c>
      <c r="AO9" s="94" t="n">
        <f aca="false">MAX(1,ROUND(N(K9),0))</f>
        <v>1</v>
      </c>
      <c r="AP9" s="95" t="str">
        <f aca="false">IF(I9="On hold","X",IF(N(J9)=0,"A",IF(I9="Specific date","S",IF(I9="Spread over days","D",IF(I9="Monthly on set day","M",IF(I9="Monthly fixed amount","F","A"))))))</f>
        <v>A</v>
      </c>
    </row>
    <row r="10" customFormat="false" ht="15" hidden="false" customHeight="false" outlineLevel="0" collapsed="false">
      <c r="A10" s="87" t="n">
        <v>2</v>
      </c>
      <c r="B10" s="55" t="s">
        <v>422</v>
      </c>
      <c r="C10" s="88" t="n">
        <v>66000</v>
      </c>
      <c r="D10" s="88"/>
      <c r="E10" s="88"/>
      <c r="F10" s="88"/>
      <c r="G10" s="88"/>
      <c r="H10" s="89" t="n">
        <f aca="false">SUM(C10:G10)</f>
        <v>66000</v>
      </c>
      <c r="I10" s="58" t="s">
        <v>114</v>
      </c>
      <c r="J10" s="90" t="n">
        <v>46393</v>
      </c>
      <c r="K10" s="91"/>
      <c r="L10" s="80"/>
      <c r="M10" s="53" t="n">
        <f aca="false">IF($H10=0,0,IF($AP10="X",0,IF($AP10="S",$H10/$AO10*(MIN($AO10,MAX(0,INT((Lists!C$21-N($J10))/7)+1))-MIN($AO10,MAX(0,INT((Lists!C$22-N($J10))/7)+1))),IF($AP10="D",$H10*MAX(0,MIN(Lists!C$21,N($J10)+$AO10)-MAX(Lists!C$22,N($J10)))/$AO10,IF($AP10="M",$H10/$AO10*(IF(Lists!C$21&lt;$J10,0,MIN($AO10,(((YEAR(Lists!C$21)-YEAR($J10))*12+MONTH(Lists!C$21)-MONTH($J10))-(EDATE($J10,((YEAR(Lists!C$21)-YEAR($J10))*12+MONTH(Lists!C$21)-MONTH($J10)))&gt;Lists!C$21)+1)))-IF(Lists!C$22&lt;$J10,0,MIN($AO10,(((YEAR(Lists!C$22)-YEAR($J10))*12+MONTH(Lists!C$22)-MONTH($J10))-(EDATE($J10,((YEAR(Lists!C$22)-YEAR($J10))*12+MONTH(Lists!C$22)-MONTH($J10)))&gt;Lists!C$22)+1)))),IF($AP10="F",IF(N($K10)&lt;=0,0,MIN(MAX(0,$H10),N($K10)*IF(Lists!C$21&lt;$J10,0,(((YEAR(Lists!C$21)-YEAR($J10))*12+MONTH(Lists!C$21)-MONTH($J10))-(EDATE($J10,((YEAR(Lists!C$21)-YEAR($J10))*12+MONTH(Lists!C$21)-MONTH($J10)))&gt;Lists!C$21)+1)))-MIN(MAX(0,$H10),N($K10)*IF(Lists!C$22&lt;$J10,0,(((YEAR(Lists!C$22)-YEAR($J10))*12+MONTH(Lists!C$22)-MONTH($J10))-(EDATE($J10,((YEAR(Lists!C$22)-YEAR($J10))*12+MONTH(Lists!C$22)-MONTH($J10)))&gt;Lists!C$22)+1)))),N($C10)*IF($AE10-$AD10&lt;1,($AD10&gt;Lists!C$22)*($AD10&lt;=Lists!C$21),MAX(0,MIN(Lists!C$21,$AE10)-MAX(Lists!C$22,$AD10))/($AE10-$AD10))+N($D10)*IF($AG10-$AF10&lt;1,($AF10&gt;Lists!C$22)*($AF10&lt;=Lists!C$21),MAX(0,MIN(Lists!C$21,$AG10)-MAX(Lists!C$22,$AF10))/($AG10-$AF10))+N($E10)*IF($AI10-$AH10&lt;1,($AH10&gt;Lists!C$22)*($AH10&lt;=Lists!C$21),MAX(0,MIN(Lists!C$21,$AI10)-MAX(Lists!C$22,$AH10))/($AI10-$AH10))+N($F10)*IF($AK10-$AJ10&lt;1,($AJ10&gt;Lists!C$22)*($AJ10&lt;=Lists!C$21),MAX(0,MIN(Lists!C$21,$AK10)-MAX(Lists!C$22,$AJ10))/($AK10-$AJ10))+N($G10)*IF($AM10-$AL10&lt;1,($AL10&gt;Lists!C$22)*($AL10&lt;=Lists!C$21),MAX(0,MIN(Lists!C$21,$AM10)-MAX(Lists!C$22,$AL10))/($AM10-$AL10))))))))</f>
        <v>0</v>
      </c>
      <c r="N10" s="53" t="n">
        <f aca="false">IF($H10=0,0,IF($AP10="X",0,IF($AP10="S",$H10/$AO10*(MIN($AO10,MAX(0,INT((Lists!D$21-N($J10))/7)+1))-MIN($AO10,MAX(0,INT((Lists!D$22-N($J10))/7)+1))),IF($AP10="D",$H10*MAX(0,MIN(Lists!D$21,N($J10)+$AO10)-MAX(Lists!D$22,N($J10)))/$AO10,IF($AP10="M",$H10/$AO10*(IF(Lists!D$21&lt;$J10,0,MIN($AO10,(((YEAR(Lists!D$21)-YEAR($J10))*12+MONTH(Lists!D$21)-MONTH($J10))-(EDATE($J10,((YEAR(Lists!D$21)-YEAR($J10))*12+MONTH(Lists!D$21)-MONTH($J10)))&gt;Lists!D$21)+1)))-IF(Lists!D$22&lt;$J10,0,MIN($AO10,(((YEAR(Lists!D$22)-YEAR($J10))*12+MONTH(Lists!D$22)-MONTH($J10))-(EDATE($J10,((YEAR(Lists!D$22)-YEAR($J10))*12+MONTH(Lists!D$22)-MONTH($J10)))&gt;Lists!D$22)+1)))),IF($AP10="F",IF(N($K10)&lt;=0,0,MIN(MAX(0,$H10),N($K10)*IF(Lists!D$21&lt;$J10,0,(((YEAR(Lists!D$21)-YEAR($J10))*12+MONTH(Lists!D$21)-MONTH($J10))-(EDATE($J10,((YEAR(Lists!D$21)-YEAR($J10))*12+MONTH(Lists!D$21)-MONTH($J10)))&gt;Lists!D$21)+1)))-MIN(MAX(0,$H10),N($K10)*IF(Lists!D$22&lt;$J10,0,(((YEAR(Lists!D$22)-YEAR($J10))*12+MONTH(Lists!D$22)-MONTH($J10))-(EDATE($J10,((YEAR(Lists!D$22)-YEAR($J10))*12+MONTH(Lists!D$22)-MONTH($J10)))&gt;Lists!D$22)+1)))),N($C10)*IF($AE10-$AD10&lt;1,($AD10&gt;Lists!D$22)*($AD10&lt;=Lists!D$21),MAX(0,MIN(Lists!D$21,$AE10)-MAX(Lists!D$22,$AD10))/($AE10-$AD10))+N($D10)*IF($AG10-$AF10&lt;1,($AF10&gt;Lists!D$22)*($AF10&lt;=Lists!D$21),MAX(0,MIN(Lists!D$21,$AG10)-MAX(Lists!D$22,$AF10))/($AG10-$AF10))+N($E10)*IF($AI10-$AH10&lt;1,($AH10&gt;Lists!D$22)*($AH10&lt;=Lists!D$21),MAX(0,MIN(Lists!D$21,$AI10)-MAX(Lists!D$22,$AH10))/($AI10-$AH10))+N($F10)*IF($AK10-$AJ10&lt;1,($AJ10&gt;Lists!D$22)*($AJ10&lt;=Lists!D$21),MAX(0,MIN(Lists!D$21,$AK10)-MAX(Lists!D$22,$AJ10))/($AK10-$AJ10))+N($G10)*IF($AM10-$AL10&lt;1,($AL10&gt;Lists!D$22)*($AL10&lt;=Lists!D$21),MAX(0,MIN(Lists!D$21,$AM10)-MAX(Lists!D$22,$AL10))/($AM10-$AL10))))))))</f>
        <v>0</v>
      </c>
      <c r="O10" s="53" t="n">
        <f aca="false">IF($H10=0,0,IF($AP10="X",0,IF($AP10="S",$H10/$AO10*(MIN($AO10,MAX(0,INT((Lists!E$21-N($J10))/7)+1))-MIN($AO10,MAX(0,INT((Lists!E$22-N($J10))/7)+1))),IF($AP10="D",$H10*MAX(0,MIN(Lists!E$21,N($J10)+$AO10)-MAX(Lists!E$22,N($J10)))/$AO10,IF($AP10="M",$H10/$AO10*(IF(Lists!E$21&lt;$J10,0,MIN($AO10,(((YEAR(Lists!E$21)-YEAR($J10))*12+MONTH(Lists!E$21)-MONTH($J10))-(EDATE($J10,((YEAR(Lists!E$21)-YEAR($J10))*12+MONTH(Lists!E$21)-MONTH($J10)))&gt;Lists!E$21)+1)))-IF(Lists!E$22&lt;$J10,0,MIN($AO10,(((YEAR(Lists!E$22)-YEAR($J10))*12+MONTH(Lists!E$22)-MONTH($J10))-(EDATE($J10,((YEAR(Lists!E$22)-YEAR($J10))*12+MONTH(Lists!E$22)-MONTH($J10)))&gt;Lists!E$22)+1)))),IF($AP10="F",IF(N($K10)&lt;=0,0,MIN(MAX(0,$H10),N($K10)*IF(Lists!E$21&lt;$J10,0,(((YEAR(Lists!E$21)-YEAR($J10))*12+MONTH(Lists!E$21)-MONTH($J10))-(EDATE($J10,((YEAR(Lists!E$21)-YEAR($J10))*12+MONTH(Lists!E$21)-MONTH($J10)))&gt;Lists!E$21)+1)))-MIN(MAX(0,$H10),N($K10)*IF(Lists!E$22&lt;$J10,0,(((YEAR(Lists!E$22)-YEAR($J10))*12+MONTH(Lists!E$22)-MONTH($J10))-(EDATE($J10,((YEAR(Lists!E$22)-YEAR($J10))*12+MONTH(Lists!E$22)-MONTH($J10)))&gt;Lists!E$22)+1)))),N($C10)*IF($AE10-$AD10&lt;1,($AD10&gt;Lists!E$22)*($AD10&lt;=Lists!E$21),MAX(0,MIN(Lists!E$21,$AE10)-MAX(Lists!E$22,$AD10))/($AE10-$AD10))+N($D10)*IF($AG10-$AF10&lt;1,($AF10&gt;Lists!E$22)*($AF10&lt;=Lists!E$21),MAX(0,MIN(Lists!E$21,$AG10)-MAX(Lists!E$22,$AF10))/($AG10-$AF10))+N($E10)*IF($AI10-$AH10&lt;1,($AH10&gt;Lists!E$22)*($AH10&lt;=Lists!E$21),MAX(0,MIN(Lists!E$21,$AI10)-MAX(Lists!E$22,$AH10))/($AI10-$AH10))+N($F10)*IF($AK10-$AJ10&lt;1,($AJ10&gt;Lists!E$22)*($AJ10&lt;=Lists!E$21),MAX(0,MIN(Lists!E$21,$AK10)-MAX(Lists!E$22,$AJ10))/($AK10-$AJ10))+N($G10)*IF($AM10-$AL10&lt;1,($AL10&gt;Lists!E$22)*($AL10&lt;=Lists!E$21),MAX(0,MIN(Lists!E$21,$AM10)-MAX(Lists!E$22,$AL10))/($AM10-$AL10))))))))</f>
        <v>0</v>
      </c>
      <c r="P10" s="53" t="n">
        <f aca="false">IF($H10=0,0,IF($AP10="X",0,IF($AP10="S",$H10/$AO10*(MIN($AO10,MAX(0,INT((Lists!F$21-N($J10))/7)+1))-MIN($AO10,MAX(0,INT((Lists!F$22-N($J10))/7)+1))),IF($AP10="D",$H10*MAX(0,MIN(Lists!F$21,N($J10)+$AO10)-MAX(Lists!F$22,N($J10)))/$AO10,IF($AP10="M",$H10/$AO10*(IF(Lists!F$21&lt;$J10,0,MIN($AO10,(((YEAR(Lists!F$21)-YEAR($J10))*12+MONTH(Lists!F$21)-MONTH($J10))-(EDATE($J10,((YEAR(Lists!F$21)-YEAR($J10))*12+MONTH(Lists!F$21)-MONTH($J10)))&gt;Lists!F$21)+1)))-IF(Lists!F$22&lt;$J10,0,MIN($AO10,(((YEAR(Lists!F$22)-YEAR($J10))*12+MONTH(Lists!F$22)-MONTH($J10))-(EDATE($J10,((YEAR(Lists!F$22)-YEAR($J10))*12+MONTH(Lists!F$22)-MONTH($J10)))&gt;Lists!F$22)+1)))),IF($AP10="F",IF(N($K10)&lt;=0,0,MIN(MAX(0,$H10),N($K10)*IF(Lists!F$21&lt;$J10,0,(((YEAR(Lists!F$21)-YEAR($J10))*12+MONTH(Lists!F$21)-MONTH($J10))-(EDATE($J10,((YEAR(Lists!F$21)-YEAR($J10))*12+MONTH(Lists!F$21)-MONTH($J10)))&gt;Lists!F$21)+1)))-MIN(MAX(0,$H10),N($K10)*IF(Lists!F$22&lt;$J10,0,(((YEAR(Lists!F$22)-YEAR($J10))*12+MONTH(Lists!F$22)-MONTH($J10))-(EDATE($J10,((YEAR(Lists!F$22)-YEAR($J10))*12+MONTH(Lists!F$22)-MONTH($J10)))&gt;Lists!F$22)+1)))),N($C10)*IF($AE10-$AD10&lt;1,($AD10&gt;Lists!F$22)*($AD10&lt;=Lists!F$21),MAX(0,MIN(Lists!F$21,$AE10)-MAX(Lists!F$22,$AD10))/($AE10-$AD10))+N($D10)*IF($AG10-$AF10&lt;1,($AF10&gt;Lists!F$22)*($AF10&lt;=Lists!F$21),MAX(0,MIN(Lists!F$21,$AG10)-MAX(Lists!F$22,$AF10))/($AG10-$AF10))+N($E10)*IF($AI10-$AH10&lt;1,($AH10&gt;Lists!F$22)*($AH10&lt;=Lists!F$21),MAX(0,MIN(Lists!F$21,$AI10)-MAX(Lists!F$22,$AH10))/($AI10-$AH10))+N($F10)*IF($AK10-$AJ10&lt;1,($AJ10&gt;Lists!F$22)*($AJ10&lt;=Lists!F$21),MAX(0,MIN(Lists!F$21,$AK10)-MAX(Lists!F$22,$AJ10))/($AK10-$AJ10))+N($G10)*IF($AM10-$AL10&lt;1,($AL10&gt;Lists!F$22)*($AL10&lt;=Lists!F$21),MAX(0,MIN(Lists!F$21,$AM10)-MAX(Lists!F$22,$AL10))/($AM10-$AL10))))))))</f>
        <v>0</v>
      </c>
      <c r="Q10" s="53" t="n">
        <f aca="false">IF($H10=0,0,IF($AP10="X",0,IF($AP10="S",$H10/$AO10*(MIN($AO10,MAX(0,INT((Lists!G$21-N($J10))/7)+1))-MIN($AO10,MAX(0,INT((Lists!G$22-N($J10))/7)+1))),IF($AP10="D",$H10*MAX(0,MIN(Lists!G$21,N($J10)+$AO10)-MAX(Lists!G$22,N($J10)))/$AO10,IF($AP10="M",$H10/$AO10*(IF(Lists!G$21&lt;$J10,0,MIN($AO10,(((YEAR(Lists!G$21)-YEAR($J10))*12+MONTH(Lists!G$21)-MONTH($J10))-(EDATE($J10,((YEAR(Lists!G$21)-YEAR($J10))*12+MONTH(Lists!G$21)-MONTH($J10)))&gt;Lists!G$21)+1)))-IF(Lists!G$22&lt;$J10,0,MIN($AO10,(((YEAR(Lists!G$22)-YEAR($J10))*12+MONTH(Lists!G$22)-MONTH($J10))-(EDATE($J10,((YEAR(Lists!G$22)-YEAR($J10))*12+MONTH(Lists!G$22)-MONTH($J10)))&gt;Lists!G$22)+1)))),IF($AP10="F",IF(N($K10)&lt;=0,0,MIN(MAX(0,$H10),N($K10)*IF(Lists!G$21&lt;$J10,0,(((YEAR(Lists!G$21)-YEAR($J10))*12+MONTH(Lists!G$21)-MONTH($J10))-(EDATE($J10,((YEAR(Lists!G$21)-YEAR($J10))*12+MONTH(Lists!G$21)-MONTH($J10)))&gt;Lists!G$21)+1)))-MIN(MAX(0,$H10),N($K10)*IF(Lists!G$22&lt;$J10,0,(((YEAR(Lists!G$22)-YEAR($J10))*12+MONTH(Lists!G$22)-MONTH($J10))-(EDATE($J10,((YEAR(Lists!G$22)-YEAR($J10))*12+MONTH(Lists!G$22)-MONTH($J10)))&gt;Lists!G$22)+1)))),N($C10)*IF($AE10-$AD10&lt;1,($AD10&gt;Lists!G$22)*($AD10&lt;=Lists!G$21),MAX(0,MIN(Lists!G$21,$AE10)-MAX(Lists!G$22,$AD10))/($AE10-$AD10))+N($D10)*IF($AG10-$AF10&lt;1,($AF10&gt;Lists!G$22)*($AF10&lt;=Lists!G$21),MAX(0,MIN(Lists!G$21,$AG10)-MAX(Lists!G$22,$AF10))/($AG10-$AF10))+N($E10)*IF($AI10-$AH10&lt;1,($AH10&gt;Lists!G$22)*($AH10&lt;=Lists!G$21),MAX(0,MIN(Lists!G$21,$AI10)-MAX(Lists!G$22,$AH10))/($AI10-$AH10))+N($F10)*IF($AK10-$AJ10&lt;1,($AJ10&gt;Lists!G$22)*($AJ10&lt;=Lists!G$21),MAX(0,MIN(Lists!G$21,$AK10)-MAX(Lists!G$22,$AJ10))/($AK10-$AJ10))+N($G10)*IF($AM10-$AL10&lt;1,($AL10&gt;Lists!G$22)*($AL10&lt;=Lists!G$21),MAX(0,MIN(Lists!G$21,$AM10)-MAX(Lists!G$22,$AL10))/($AM10-$AL10))))))))</f>
        <v>0</v>
      </c>
      <c r="R10" s="53" t="n">
        <f aca="false">IF($H10=0,0,IF($AP10="X",0,IF($AP10="S",$H10/$AO10*(MIN($AO10,MAX(0,INT((Lists!H$21-N($J10))/7)+1))-MIN($AO10,MAX(0,INT((Lists!H$22-N($J10))/7)+1))),IF($AP10="D",$H10*MAX(0,MIN(Lists!H$21,N($J10)+$AO10)-MAX(Lists!H$22,N($J10)))/$AO10,IF($AP10="M",$H10/$AO10*(IF(Lists!H$21&lt;$J10,0,MIN($AO10,(((YEAR(Lists!H$21)-YEAR($J10))*12+MONTH(Lists!H$21)-MONTH($J10))-(EDATE($J10,((YEAR(Lists!H$21)-YEAR($J10))*12+MONTH(Lists!H$21)-MONTH($J10)))&gt;Lists!H$21)+1)))-IF(Lists!H$22&lt;$J10,0,MIN($AO10,(((YEAR(Lists!H$22)-YEAR($J10))*12+MONTH(Lists!H$22)-MONTH($J10))-(EDATE($J10,((YEAR(Lists!H$22)-YEAR($J10))*12+MONTH(Lists!H$22)-MONTH($J10)))&gt;Lists!H$22)+1)))),IF($AP10="F",IF(N($K10)&lt;=0,0,MIN(MAX(0,$H10),N($K10)*IF(Lists!H$21&lt;$J10,0,(((YEAR(Lists!H$21)-YEAR($J10))*12+MONTH(Lists!H$21)-MONTH($J10))-(EDATE($J10,((YEAR(Lists!H$21)-YEAR($J10))*12+MONTH(Lists!H$21)-MONTH($J10)))&gt;Lists!H$21)+1)))-MIN(MAX(0,$H10),N($K10)*IF(Lists!H$22&lt;$J10,0,(((YEAR(Lists!H$22)-YEAR($J10))*12+MONTH(Lists!H$22)-MONTH($J10))-(EDATE($J10,((YEAR(Lists!H$22)-YEAR($J10))*12+MONTH(Lists!H$22)-MONTH($J10)))&gt;Lists!H$22)+1)))),N($C10)*IF($AE10-$AD10&lt;1,($AD10&gt;Lists!H$22)*($AD10&lt;=Lists!H$21),MAX(0,MIN(Lists!H$21,$AE10)-MAX(Lists!H$22,$AD10))/($AE10-$AD10))+N($D10)*IF($AG10-$AF10&lt;1,($AF10&gt;Lists!H$22)*($AF10&lt;=Lists!H$21),MAX(0,MIN(Lists!H$21,$AG10)-MAX(Lists!H$22,$AF10))/($AG10-$AF10))+N($E10)*IF($AI10-$AH10&lt;1,($AH10&gt;Lists!H$22)*($AH10&lt;=Lists!H$21),MAX(0,MIN(Lists!H$21,$AI10)-MAX(Lists!H$22,$AH10))/($AI10-$AH10))+N($F10)*IF($AK10-$AJ10&lt;1,($AJ10&gt;Lists!H$22)*($AJ10&lt;=Lists!H$21),MAX(0,MIN(Lists!H$21,$AK10)-MAX(Lists!H$22,$AJ10))/($AK10-$AJ10))+N($G10)*IF($AM10-$AL10&lt;1,($AL10&gt;Lists!H$22)*($AL10&lt;=Lists!H$21),MAX(0,MIN(Lists!H$21,$AM10)-MAX(Lists!H$22,$AL10))/($AM10-$AL10))))))))</f>
        <v>0</v>
      </c>
      <c r="S10" s="53" t="n">
        <f aca="false">IF($H10=0,0,IF($AP10="X",0,IF($AP10="S",$H10/$AO10*(MIN($AO10,MAX(0,INT((Lists!I$21-N($J10))/7)+1))-MIN($AO10,MAX(0,INT((Lists!I$22-N($J10))/7)+1))),IF($AP10="D",$H10*MAX(0,MIN(Lists!I$21,N($J10)+$AO10)-MAX(Lists!I$22,N($J10)))/$AO10,IF($AP10="M",$H10/$AO10*(IF(Lists!I$21&lt;$J10,0,MIN($AO10,(((YEAR(Lists!I$21)-YEAR($J10))*12+MONTH(Lists!I$21)-MONTH($J10))-(EDATE($J10,((YEAR(Lists!I$21)-YEAR($J10))*12+MONTH(Lists!I$21)-MONTH($J10)))&gt;Lists!I$21)+1)))-IF(Lists!I$22&lt;$J10,0,MIN($AO10,(((YEAR(Lists!I$22)-YEAR($J10))*12+MONTH(Lists!I$22)-MONTH($J10))-(EDATE($J10,((YEAR(Lists!I$22)-YEAR($J10))*12+MONTH(Lists!I$22)-MONTH($J10)))&gt;Lists!I$22)+1)))),IF($AP10="F",IF(N($K10)&lt;=0,0,MIN(MAX(0,$H10),N($K10)*IF(Lists!I$21&lt;$J10,0,(((YEAR(Lists!I$21)-YEAR($J10))*12+MONTH(Lists!I$21)-MONTH($J10))-(EDATE($J10,((YEAR(Lists!I$21)-YEAR($J10))*12+MONTH(Lists!I$21)-MONTH($J10)))&gt;Lists!I$21)+1)))-MIN(MAX(0,$H10),N($K10)*IF(Lists!I$22&lt;$J10,0,(((YEAR(Lists!I$22)-YEAR($J10))*12+MONTH(Lists!I$22)-MONTH($J10))-(EDATE($J10,((YEAR(Lists!I$22)-YEAR($J10))*12+MONTH(Lists!I$22)-MONTH($J10)))&gt;Lists!I$22)+1)))),N($C10)*IF($AE10-$AD10&lt;1,($AD10&gt;Lists!I$22)*($AD10&lt;=Lists!I$21),MAX(0,MIN(Lists!I$21,$AE10)-MAX(Lists!I$22,$AD10))/($AE10-$AD10))+N($D10)*IF($AG10-$AF10&lt;1,($AF10&gt;Lists!I$22)*($AF10&lt;=Lists!I$21),MAX(0,MIN(Lists!I$21,$AG10)-MAX(Lists!I$22,$AF10))/($AG10-$AF10))+N($E10)*IF($AI10-$AH10&lt;1,($AH10&gt;Lists!I$22)*($AH10&lt;=Lists!I$21),MAX(0,MIN(Lists!I$21,$AI10)-MAX(Lists!I$22,$AH10))/($AI10-$AH10))+N($F10)*IF($AK10-$AJ10&lt;1,($AJ10&gt;Lists!I$22)*($AJ10&lt;=Lists!I$21),MAX(0,MIN(Lists!I$21,$AK10)-MAX(Lists!I$22,$AJ10))/($AK10-$AJ10))+N($G10)*IF($AM10-$AL10&lt;1,($AL10&gt;Lists!I$22)*($AL10&lt;=Lists!I$21),MAX(0,MIN(Lists!I$21,$AM10)-MAX(Lists!I$22,$AL10))/($AM10-$AL10))))))))</f>
        <v>0</v>
      </c>
      <c r="T10" s="53" t="n">
        <f aca="false">IF($H10=0,0,IF($AP10="X",0,IF($AP10="S",$H10/$AO10*(MIN($AO10,MAX(0,INT((Lists!J$21-N($J10))/7)+1))-MIN($AO10,MAX(0,INT((Lists!J$22-N($J10))/7)+1))),IF($AP10="D",$H10*MAX(0,MIN(Lists!J$21,N($J10)+$AO10)-MAX(Lists!J$22,N($J10)))/$AO10,IF($AP10="M",$H10/$AO10*(IF(Lists!J$21&lt;$J10,0,MIN($AO10,(((YEAR(Lists!J$21)-YEAR($J10))*12+MONTH(Lists!J$21)-MONTH($J10))-(EDATE($J10,((YEAR(Lists!J$21)-YEAR($J10))*12+MONTH(Lists!J$21)-MONTH($J10)))&gt;Lists!J$21)+1)))-IF(Lists!J$22&lt;$J10,0,MIN($AO10,(((YEAR(Lists!J$22)-YEAR($J10))*12+MONTH(Lists!J$22)-MONTH($J10))-(EDATE($J10,((YEAR(Lists!J$22)-YEAR($J10))*12+MONTH(Lists!J$22)-MONTH($J10)))&gt;Lists!J$22)+1)))),IF($AP10="F",IF(N($K10)&lt;=0,0,MIN(MAX(0,$H10),N($K10)*IF(Lists!J$21&lt;$J10,0,(((YEAR(Lists!J$21)-YEAR($J10))*12+MONTH(Lists!J$21)-MONTH($J10))-(EDATE($J10,((YEAR(Lists!J$21)-YEAR($J10))*12+MONTH(Lists!J$21)-MONTH($J10)))&gt;Lists!J$21)+1)))-MIN(MAX(0,$H10),N($K10)*IF(Lists!J$22&lt;$J10,0,(((YEAR(Lists!J$22)-YEAR($J10))*12+MONTH(Lists!J$22)-MONTH($J10))-(EDATE($J10,((YEAR(Lists!J$22)-YEAR($J10))*12+MONTH(Lists!J$22)-MONTH($J10)))&gt;Lists!J$22)+1)))),N($C10)*IF($AE10-$AD10&lt;1,($AD10&gt;Lists!J$22)*($AD10&lt;=Lists!J$21),MAX(0,MIN(Lists!J$21,$AE10)-MAX(Lists!J$22,$AD10))/($AE10-$AD10))+N($D10)*IF($AG10-$AF10&lt;1,($AF10&gt;Lists!J$22)*($AF10&lt;=Lists!J$21),MAX(0,MIN(Lists!J$21,$AG10)-MAX(Lists!J$22,$AF10))/($AG10-$AF10))+N($E10)*IF($AI10-$AH10&lt;1,($AH10&gt;Lists!J$22)*($AH10&lt;=Lists!J$21),MAX(0,MIN(Lists!J$21,$AI10)-MAX(Lists!J$22,$AH10))/($AI10-$AH10))+N($F10)*IF($AK10-$AJ10&lt;1,($AJ10&gt;Lists!J$22)*($AJ10&lt;=Lists!J$21),MAX(0,MIN(Lists!J$21,$AK10)-MAX(Lists!J$22,$AJ10))/($AK10-$AJ10))+N($G10)*IF($AM10-$AL10&lt;1,($AL10&gt;Lists!J$22)*($AL10&lt;=Lists!J$21),MAX(0,MIN(Lists!J$21,$AM10)-MAX(Lists!J$22,$AL10))/($AM10-$AL10))))))))</f>
        <v>0</v>
      </c>
      <c r="U10" s="53" t="n">
        <f aca="false">IF($H10=0,0,IF($AP10="X",0,IF($AP10="S",$H10/$AO10*(MIN($AO10,MAX(0,INT((Lists!K$21-N($J10))/7)+1))-MIN($AO10,MAX(0,INT((Lists!K$22-N($J10))/7)+1))),IF($AP10="D",$H10*MAX(0,MIN(Lists!K$21,N($J10)+$AO10)-MAX(Lists!K$22,N($J10)))/$AO10,IF($AP10="M",$H10/$AO10*(IF(Lists!K$21&lt;$J10,0,MIN($AO10,(((YEAR(Lists!K$21)-YEAR($J10))*12+MONTH(Lists!K$21)-MONTH($J10))-(EDATE($J10,((YEAR(Lists!K$21)-YEAR($J10))*12+MONTH(Lists!K$21)-MONTH($J10)))&gt;Lists!K$21)+1)))-IF(Lists!K$22&lt;$J10,0,MIN($AO10,(((YEAR(Lists!K$22)-YEAR($J10))*12+MONTH(Lists!K$22)-MONTH($J10))-(EDATE($J10,((YEAR(Lists!K$22)-YEAR($J10))*12+MONTH(Lists!K$22)-MONTH($J10)))&gt;Lists!K$22)+1)))),IF($AP10="F",IF(N($K10)&lt;=0,0,MIN(MAX(0,$H10),N($K10)*IF(Lists!K$21&lt;$J10,0,(((YEAR(Lists!K$21)-YEAR($J10))*12+MONTH(Lists!K$21)-MONTH($J10))-(EDATE($J10,((YEAR(Lists!K$21)-YEAR($J10))*12+MONTH(Lists!K$21)-MONTH($J10)))&gt;Lists!K$21)+1)))-MIN(MAX(0,$H10),N($K10)*IF(Lists!K$22&lt;$J10,0,(((YEAR(Lists!K$22)-YEAR($J10))*12+MONTH(Lists!K$22)-MONTH($J10))-(EDATE($J10,((YEAR(Lists!K$22)-YEAR($J10))*12+MONTH(Lists!K$22)-MONTH($J10)))&gt;Lists!K$22)+1)))),N($C10)*IF($AE10-$AD10&lt;1,($AD10&gt;Lists!K$22)*($AD10&lt;=Lists!K$21),MAX(0,MIN(Lists!K$21,$AE10)-MAX(Lists!K$22,$AD10))/($AE10-$AD10))+N($D10)*IF($AG10-$AF10&lt;1,($AF10&gt;Lists!K$22)*($AF10&lt;=Lists!K$21),MAX(0,MIN(Lists!K$21,$AG10)-MAX(Lists!K$22,$AF10))/($AG10-$AF10))+N($E10)*IF($AI10-$AH10&lt;1,($AH10&gt;Lists!K$22)*($AH10&lt;=Lists!K$21),MAX(0,MIN(Lists!K$21,$AI10)-MAX(Lists!K$22,$AH10))/($AI10-$AH10))+N($F10)*IF($AK10-$AJ10&lt;1,($AJ10&gt;Lists!K$22)*($AJ10&lt;=Lists!K$21),MAX(0,MIN(Lists!K$21,$AK10)-MAX(Lists!K$22,$AJ10))/($AK10-$AJ10))+N($G10)*IF($AM10-$AL10&lt;1,($AL10&gt;Lists!K$22)*($AL10&lt;=Lists!K$21),MAX(0,MIN(Lists!K$21,$AM10)-MAX(Lists!K$22,$AL10))/($AM10-$AL10))))))))</f>
        <v>66000</v>
      </c>
      <c r="V10" s="53" t="n">
        <f aca="false">IF($H10=0,0,IF($AP10="X",0,IF($AP10="S",$H10/$AO10*(MIN($AO10,MAX(0,INT((Lists!L$21-N($J10))/7)+1))-MIN($AO10,MAX(0,INT((Lists!L$22-N($J10))/7)+1))),IF($AP10="D",$H10*MAX(0,MIN(Lists!L$21,N($J10)+$AO10)-MAX(Lists!L$22,N($J10)))/$AO10,IF($AP10="M",$H10/$AO10*(IF(Lists!L$21&lt;$J10,0,MIN($AO10,(((YEAR(Lists!L$21)-YEAR($J10))*12+MONTH(Lists!L$21)-MONTH($J10))-(EDATE($J10,((YEAR(Lists!L$21)-YEAR($J10))*12+MONTH(Lists!L$21)-MONTH($J10)))&gt;Lists!L$21)+1)))-IF(Lists!L$22&lt;$J10,0,MIN($AO10,(((YEAR(Lists!L$22)-YEAR($J10))*12+MONTH(Lists!L$22)-MONTH($J10))-(EDATE($J10,((YEAR(Lists!L$22)-YEAR($J10))*12+MONTH(Lists!L$22)-MONTH($J10)))&gt;Lists!L$22)+1)))),IF($AP10="F",IF(N($K10)&lt;=0,0,MIN(MAX(0,$H10),N($K10)*IF(Lists!L$21&lt;$J10,0,(((YEAR(Lists!L$21)-YEAR($J10))*12+MONTH(Lists!L$21)-MONTH($J10))-(EDATE($J10,((YEAR(Lists!L$21)-YEAR($J10))*12+MONTH(Lists!L$21)-MONTH($J10)))&gt;Lists!L$21)+1)))-MIN(MAX(0,$H10),N($K10)*IF(Lists!L$22&lt;$J10,0,(((YEAR(Lists!L$22)-YEAR($J10))*12+MONTH(Lists!L$22)-MONTH($J10))-(EDATE($J10,((YEAR(Lists!L$22)-YEAR($J10))*12+MONTH(Lists!L$22)-MONTH($J10)))&gt;Lists!L$22)+1)))),N($C10)*IF($AE10-$AD10&lt;1,($AD10&gt;Lists!L$22)*($AD10&lt;=Lists!L$21),MAX(0,MIN(Lists!L$21,$AE10)-MAX(Lists!L$22,$AD10))/($AE10-$AD10))+N($D10)*IF($AG10-$AF10&lt;1,($AF10&gt;Lists!L$22)*($AF10&lt;=Lists!L$21),MAX(0,MIN(Lists!L$21,$AG10)-MAX(Lists!L$22,$AF10))/($AG10-$AF10))+N($E10)*IF($AI10-$AH10&lt;1,($AH10&gt;Lists!L$22)*($AH10&lt;=Lists!L$21),MAX(0,MIN(Lists!L$21,$AI10)-MAX(Lists!L$22,$AH10))/($AI10-$AH10))+N($F10)*IF($AK10-$AJ10&lt;1,($AJ10&gt;Lists!L$22)*($AJ10&lt;=Lists!L$21),MAX(0,MIN(Lists!L$21,$AK10)-MAX(Lists!L$22,$AJ10))/($AK10-$AJ10))+N($G10)*IF($AM10-$AL10&lt;1,($AL10&gt;Lists!L$22)*($AL10&lt;=Lists!L$21),MAX(0,MIN(Lists!L$21,$AM10)-MAX(Lists!L$22,$AL10))/($AM10-$AL10))))))))</f>
        <v>0</v>
      </c>
      <c r="W10" s="53" t="n">
        <f aca="false">IF($H10=0,0,IF($AP10="X",0,IF($AP10="S",$H10/$AO10*(MIN($AO10,MAX(0,INT((Lists!M$21-N($J10))/7)+1))-MIN($AO10,MAX(0,INT((Lists!M$22-N($J10))/7)+1))),IF($AP10="D",$H10*MAX(0,MIN(Lists!M$21,N($J10)+$AO10)-MAX(Lists!M$22,N($J10)))/$AO10,IF($AP10="M",$H10/$AO10*(IF(Lists!M$21&lt;$J10,0,MIN($AO10,(((YEAR(Lists!M$21)-YEAR($J10))*12+MONTH(Lists!M$21)-MONTH($J10))-(EDATE($J10,((YEAR(Lists!M$21)-YEAR($J10))*12+MONTH(Lists!M$21)-MONTH($J10)))&gt;Lists!M$21)+1)))-IF(Lists!M$22&lt;$J10,0,MIN($AO10,(((YEAR(Lists!M$22)-YEAR($J10))*12+MONTH(Lists!M$22)-MONTH($J10))-(EDATE($J10,((YEAR(Lists!M$22)-YEAR($J10))*12+MONTH(Lists!M$22)-MONTH($J10)))&gt;Lists!M$22)+1)))),IF($AP10="F",IF(N($K10)&lt;=0,0,MIN(MAX(0,$H10),N($K10)*IF(Lists!M$21&lt;$J10,0,(((YEAR(Lists!M$21)-YEAR($J10))*12+MONTH(Lists!M$21)-MONTH($J10))-(EDATE($J10,((YEAR(Lists!M$21)-YEAR($J10))*12+MONTH(Lists!M$21)-MONTH($J10)))&gt;Lists!M$21)+1)))-MIN(MAX(0,$H10),N($K10)*IF(Lists!M$22&lt;$J10,0,(((YEAR(Lists!M$22)-YEAR($J10))*12+MONTH(Lists!M$22)-MONTH($J10))-(EDATE($J10,((YEAR(Lists!M$22)-YEAR($J10))*12+MONTH(Lists!M$22)-MONTH($J10)))&gt;Lists!M$22)+1)))),N($C10)*IF($AE10-$AD10&lt;1,($AD10&gt;Lists!M$22)*($AD10&lt;=Lists!M$21),MAX(0,MIN(Lists!M$21,$AE10)-MAX(Lists!M$22,$AD10))/($AE10-$AD10))+N($D10)*IF($AG10-$AF10&lt;1,($AF10&gt;Lists!M$22)*($AF10&lt;=Lists!M$21),MAX(0,MIN(Lists!M$21,$AG10)-MAX(Lists!M$22,$AF10))/($AG10-$AF10))+N($E10)*IF($AI10-$AH10&lt;1,($AH10&gt;Lists!M$22)*($AH10&lt;=Lists!M$21),MAX(0,MIN(Lists!M$21,$AI10)-MAX(Lists!M$22,$AH10))/($AI10-$AH10))+N($F10)*IF($AK10-$AJ10&lt;1,($AJ10&gt;Lists!M$22)*($AJ10&lt;=Lists!M$21),MAX(0,MIN(Lists!M$21,$AK10)-MAX(Lists!M$22,$AJ10))/($AK10-$AJ10))+N($G10)*IF($AM10-$AL10&lt;1,($AL10&gt;Lists!M$22)*($AL10&lt;=Lists!M$21),MAX(0,MIN(Lists!M$21,$AM10)-MAX(Lists!M$22,$AL10))/($AM10-$AL10))))))))</f>
        <v>0</v>
      </c>
      <c r="X10" s="53" t="n">
        <f aca="false">IF($H10=0,0,IF($AP10="X",0,IF($AP10="S",$H10/$AO10*(MIN($AO10,MAX(0,INT((Lists!N$21-N($J10))/7)+1))-MIN($AO10,MAX(0,INT((Lists!N$22-N($J10))/7)+1))),IF($AP10="D",$H10*MAX(0,MIN(Lists!N$21,N($J10)+$AO10)-MAX(Lists!N$22,N($J10)))/$AO10,IF($AP10="M",$H10/$AO10*(IF(Lists!N$21&lt;$J10,0,MIN($AO10,(((YEAR(Lists!N$21)-YEAR($J10))*12+MONTH(Lists!N$21)-MONTH($J10))-(EDATE($J10,((YEAR(Lists!N$21)-YEAR($J10))*12+MONTH(Lists!N$21)-MONTH($J10)))&gt;Lists!N$21)+1)))-IF(Lists!N$22&lt;$J10,0,MIN($AO10,(((YEAR(Lists!N$22)-YEAR($J10))*12+MONTH(Lists!N$22)-MONTH($J10))-(EDATE($J10,((YEAR(Lists!N$22)-YEAR($J10))*12+MONTH(Lists!N$22)-MONTH($J10)))&gt;Lists!N$22)+1)))),IF($AP10="F",IF(N($K10)&lt;=0,0,MIN(MAX(0,$H10),N($K10)*IF(Lists!N$21&lt;$J10,0,(((YEAR(Lists!N$21)-YEAR($J10))*12+MONTH(Lists!N$21)-MONTH($J10))-(EDATE($J10,((YEAR(Lists!N$21)-YEAR($J10))*12+MONTH(Lists!N$21)-MONTH($J10)))&gt;Lists!N$21)+1)))-MIN(MAX(0,$H10),N($K10)*IF(Lists!N$22&lt;$J10,0,(((YEAR(Lists!N$22)-YEAR($J10))*12+MONTH(Lists!N$22)-MONTH($J10))-(EDATE($J10,((YEAR(Lists!N$22)-YEAR($J10))*12+MONTH(Lists!N$22)-MONTH($J10)))&gt;Lists!N$22)+1)))),N($C10)*IF($AE10-$AD10&lt;1,($AD10&gt;Lists!N$22)*($AD10&lt;=Lists!N$21),MAX(0,MIN(Lists!N$21,$AE10)-MAX(Lists!N$22,$AD10))/($AE10-$AD10))+N($D10)*IF($AG10-$AF10&lt;1,($AF10&gt;Lists!N$22)*($AF10&lt;=Lists!N$21),MAX(0,MIN(Lists!N$21,$AG10)-MAX(Lists!N$22,$AF10))/($AG10-$AF10))+N($E10)*IF($AI10-$AH10&lt;1,($AH10&gt;Lists!N$22)*($AH10&lt;=Lists!N$21),MAX(0,MIN(Lists!N$21,$AI10)-MAX(Lists!N$22,$AH10))/($AI10-$AH10))+N($F10)*IF($AK10-$AJ10&lt;1,($AJ10&gt;Lists!N$22)*($AJ10&lt;=Lists!N$21),MAX(0,MIN(Lists!N$21,$AK10)-MAX(Lists!N$22,$AJ10))/($AK10-$AJ10))+N($G10)*IF($AM10-$AL10&lt;1,($AL10&gt;Lists!N$22)*($AL10&lt;=Lists!N$21),MAX(0,MIN(Lists!N$21,$AM10)-MAX(Lists!N$22,$AL10))/($AM10-$AL10))))))))</f>
        <v>0</v>
      </c>
      <c r="Y10" s="53" t="n">
        <f aca="false">IF($H10=0,0,IF($AP10="X",0,IF($AP10="S",$H10/$AO10*(MIN($AO10,MAX(0,INT((Lists!O$21-N($J10))/7)+1))-MIN($AO10,MAX(0,INT((Lists!O$22-N($J10))/7)+1))),IF($AP10="D",$H10*MAX(0,MIN(Lists!O$21,N($J10)+$AO10)-MAX(Lists!O$22,N($J10)))/$AO10,IF($AP10="M",$H10/$AO10*(IF(Lists!O$21&lt;$J10,0,MIN($AO10,(((YEAR(Lists!O$21)-YEAR($J10))*12+MONTH(Lists!O$21)-MONTH($J10))-(EDATE($J10,((YEAR(Lists!O$21)-YEAR($J10))*12+MONTH(Lists!O$21)-MONTH($J10)))&gt;Lists!O$21)+1)))-IF(Lists!O$22&lt;$J10,0,MIN($AO10,(((YEAR(Lists!O$22)-YEAR($J10))*12+MONTH(Lists!O$22)-MONTH($J10))-(EDATE($J10,((YEAR(Lists!O$22)-YEAR($J10))*12+MONTH(Lists!O$22)-MONTH($J10)))&gt;Lists!O$22)+1)))),IF($AP10="F",IF(N($K10)&lt;=0,0,MIN(MAX(0,$H10),N($K10)*IF(Lists!O$21&lt;$J10,0,(((YEAR(Lists!O$21)-YEAR($J10))*12+MONTH(Lists!O$21)-MONTH($J10))-(EDATE($J10,((YEAR(Lists!O$21)-YEAR($J10))*12+MONTH(Lists!O$21)-MONTH($J10)))&gt;Lists!O$21)+1)))-MIN(MAX(0,$H10),N($K10)*IF(Lists!O$22&lt;$J10,0,(((YEAR(Lists!O$22)-YEAR($J10))*12+MONTH(Lists!O$22)-MONTH($J10))-(EDATE($J10,((YEAR(Lists!O$22)-YEAR($J10))*12+MONTH(Lists!O$22)-MONTH($J10)))&gt;Lists!O$22)+1)))),N($C10)*IF($AE10-$AD10&lt;1,($AD10&gt;Lists!O$22)*($AD10&lt;=Lists!O$21),MAX(0,MIN(Lists!O$21,$AE10)-MAX(Lists!O$22,$AD10))/($AE10-$AD10))+N($D10)*IF($AG10-$AF10&lt;1,($AF10&gt;Lists!O$22)*($AF10&lt;=Lists!O$21),MAX(0,MIN(Lists!O$21,$AG10)-MAX(Lists!O$22,$AF10))/($AG10-$AF10))+N($E10)*IF($AI10-$AH10&lt;1,($AH10&gt;Lists!O$22)*($AH10&lt;=Lists!O$21),MAX(0,MIN(Lists!O$21,$AI10)-MAX(Lists!O$22,$AH10))/($AI10-$AH10))+N($F10)*IF($AK10-$AJ10&lt;1,($AJ10&gt;Lists!O$22)*($AJ10&lt;=Lists!O$21),MAX(0,MIN(Lists!O$21,$AK10)-MAX(Lists!O$22,$AJ10))/($AK10-$AJ10))+N($G10)*IF($AM10-$AL10&lt;1,($AL10&gt;Lists!O$22)*($AL10&lt;=Lists!O$21),MAX(0,MIN(Lists!O$21,$AM10)-MAX(Lists!O$22,$AL10))/($AM10-$AL10))))))))</f>
        <v>0</v>
      </c>
      <c r="Z10" s="46" t="n">
        <f aca="false">SUM(M10:Y10)</f>
        <v>66000</v>
      </c>
      <c r="AA10" s="92" t="n">
        <f aca="false">H10-Z10</f>
        <v>0</v>
      </c>
      <c r="AB10" s="55"/>
      <c r="AC10" s="2"/>
      <c r="AD10" s="93" t="n">
        <f aca="false">Setup!$D$10+MAX(0,$AN10-30)</f>
        <v>46345</v>
      </c>
      <c r="AE10" s="93" t="n">
        <f aca="false">Setup!$D$10+IF($AN10-30&lt;0,MAX(Setup!$D$22,$AN10-0),$AN10-0)</f>
        <v>46375</v>
      </c>
      <c r="AF10" s="93" t="n">
        <f aca="false">Setup!$D$10+MAX(0,$AN10-60)</f>
        <v>46335</v>
      </c>
      <c r="AG10" s="93" t="n">
        <f aca="false">Setup!$D$10+IF($AN10-60&lt;0,MAX(Setup!$D$22,$AN10-31),$AN10-31)</f>
        <v>46363</v>
      </c>
      <c r="AH10" s="93" t="n">
        <f aca="false">Setup!$D$10+MAX(0,$AN10-90)</f>
        <v>46335</v>
      </c>
      <c r="AI10" s="93" t="n">
        <f aca="false">Setup!$D$10+IF($AN10-90&lt;0,MAX(Setup!$D$22,$AN10-61),$AN10-61)</f>
        <v>46363</v>
      </c>
      <c r="AJ10" s="93" t="n">
        <f aca="false">Setup!$D$10+MAX(0,$AN10-120)</f>
        <v>46335</v>
      </c>
      <c r="AK10" s="93" t="n">
        <f aca="false">Setup!$D$10+IF($AN10-120&lt;0,MAX(Setup!$D$22,$AN10-91),$AN10-91)</f>
        <v>46363</v>
      </c>
      <c r="AL10" s="93" t="n">
        <f aca="false">Setup!$D$10</f>
        <v>46335</v>
      </c>
      <c r="AM10" s="93" t="n">
        <f aca="false">IF(AL10=2958465,AL10,Setup!$D$10+Setup!$D$22)</f>
        <v>46363</v>
      </c>
      <c r="AN10" s="94" t="n">
        <f aca="false">IF(N(L10)=0,Setup!$D$21,L10)</f>
        <v>40</v>
      </c>
      <c r="AO10" s="94" t="n">
        <f aca="false">MAX(1,ROUND(N(K10),0))</f>
        <v>1</v>
      </c>
      <c r="AP10" s="95" t="str">
        <f aca="false">IF(I10="On hold","X",IF(N(J10)=0,"A",IF(I10="Specific date","S",IF(I10="Spread over days","D",IF(I10="Monthly on set day","M",IF(I10="Monthly fixed amount","F","A"))))))</f>
        <v>S</v>
      </c>
    </row>
    <row r="11" customFormat="false" ht="15" hidden="false" customHeight="false" outlineLevel="0" collapsed="false">
      <c r="A11" s="87" t="n">
        <v>3</v>
      </c>
      <c r="B11" s="55" t="s">
        <v>423</v>
      </c>
      <c r="C11" s="88" t="n">
        <v>28000</v>
      </c>
      <c r="D11" s="88" t="n">
        <v>17000</v>
      </c>
      <c r="E11" s="88"/>
      <c r="F11" s="88"/>
      <c r="G11" s="88"/>
      <c r="H11" s="89" t="n">
        <f aca="false">SUM(C11:G11)</f>
        <v>45000</v>
      </c>
      <c r="I11" s="58" t="s">
        <v>407</v>
      </c>
      <c r="J11" s="90"/>
      <c r="K11" s="91"/>
      <c r="L11" s="80"/>
      <c r="M11" s="53" t="n">
        <f aca="false">IF($H11=0,0,IF($AP11="X",0,IF($AP11="S",$H11/$AO11*(MIN($AO11,MAX(0,INT((Lists!C$21-N($J11))/7)+1))-MIN($AO11,MAX(0,INT((Lists!C$22-N($J11))/7)+1))),IF($AP11="D",$H11*MAX(0,MIN(Lists!C$21,N($J11)+$AO11)-MAX(Lists!C$22,N($J11)))/$AO11,IF($AP11="M",$H11/$AO11*(IF(Lists!C$21&lt;$J11,0,MIN($AO11,(((YEAR(Lists!C$21)-YEAR($J11))*12+MONTH(Lists!C$21)-MONTH($J11))-(EDATE($J11,((YEAR(Lists!C$21)-YEAR($J11))*12+MONTH(Lists!C$21)-MONTH($J11)))&gt;Lists!C$21)+1)))-IF(Lists!C$22&lt;$J11,0,MIN($AO11,(((YEAR(Lists!C$22)-YEAR($J11))*12+MONTH(Lists!C$22)-MONTH($J11))-(EDATE($J11,((YEAR(Lists!C$22)-YEAR($J11))*12+MONTH(Lists!C$22)-MONTH($J11)))&gt;Lists!C$22)+1)))),IF($AP11="F",IF(N($K11)&lt;=0,0,MIN(MAX(0,$H11),N($K11)*IF(Lists!C$21&lt;$J11,0,(((YEAR(Lists!C$21)-YEAR($J11))*12+MONTH(Lists!C$21)-MONTH($J11))-(EDATE($J11,((YEAR(Lists!C$21)-YEAR($J11))*12+MONTH(Lists!C$21)-MONTH($J11)))&gt;Lists!C$21)+1)))-MIN(MAX(0,$H11),N($K11)*IF(Lists!C$22&lt;$J11,0,(((YEAR(Lists!C$22)-YEAR($J11))*12+MONTH(Lists!C$22)-MONTH($J11))-(EDATE($J11,((YEAR(Lists!C$22)-YEAR($J11))*12+MONTH(Lists!C$22)-MONTH($J11)))&gt;Lists!C$22)+1)))),N($C11)*IF($AE11-$AD11&lt;1,($AD11&gt;Lists!C$22)*($AD11&lt;=Lists!C$21),MAX(0,MIN(Lists!C$21,$AE11)-MAX(Lists!C$22,$AD11))/($AE11-$AD11))+N($D11)*IF($AG11-$AF11&lt;1,($AF11&gt;Lists!C$22)*($AF11&lt;=Lists!C$21),MAX(0,MIN(Lists!C$21,$AG11)-MAX(Lists!C$22,$AF11))/($AG11-$AF11))+N($E11)*IF($AI11-$AH11&lt;1,($AH11&gt;Lists!C$22)*($AH11&lt;=Lists!C$21),MAX(0,MIN(Lists!C$21,$AI11)-MAX(Lists!C$22,$AH11))/($AI11-$AH11))+N($F11)*IF($AK11-$AJ11&lt;1,($AJ11&gt;Lists!C$22)*($AJ11&lt;=Lists!C$21),MAX(0,MIN(Lists!C$21,$AK11)-MAX(Lists!C$22,$AJ11))/($AK11-$AJ11))+N($G11)*IF($AM11-$AL11&lt;1,($AL11&gt;Lists!C$22)*($AL11&lt;=Lists!C$21),MAX(0,MIN(Lists!C$21,$AM11)-MAX(Lists!C$22,$AL11))/($AM11-$AL11))))))))</f>
        <v>2428.57142857143</v>
      </c>
      <c r="N11" s="53" t="n">
        <f aca="false">IF($H11=0,0,IF($AP11="X",0,IF($AP11="S",$H11/$AO11*(MIN($AO11,MAX(0,INT((Lists!D$21-N($J11))/7)+1))-MIN($AO11,MAX(0,INT((Lists!D$22-N($J11))/7)+1))),IF($AP11="D",$H11*MAX(0,MIN(Lists!D$21,N($J11)+$AO11)-MAX(Lists!D$22,N($J11)))/$AO11,IF($AP11="M",$H11/$AO11*(IF(Lists!D$21&lt;$J11,0,MIN($AO11,(((YEAR(Lists!D$21)-YEAR($J11))*12+MONTH(Lists!D$21)-MONTH($J11))-(EDATE($J11,((YEAR(Lists!D$21)-YEAR($J11))*12+MONTH(Lists!D$21)-MONTH($J11)))&gt;Lists!D$21)+1)))-IF(Lists!D$22&lt;$J11,0,MIN($AO11,(((YEAR(Lists!D$22)-YEAR($J11))*12+MONTH(Lists!D$22)-MONTH($J11))-(EDATE($J11,((YEAR(Lists!D$22)-YEAR($J11))*12+MONTH(Lists!D$22)-MONTH($J11)))&gt;Lists!D$22)+1)))),IF($AP11="F",IF(N($K11)&lt;=0,0,MIN(MAX(0,$H11),N($K11)*IF(Lists!D$21&lt;$J11,0,(((YEAR(Lists!D$21)-YEAR($J11))*12+MONTH(Lists!D$21)-MONTH($J11))-(EDATE($J11,((YEAR(Lists!D$21)-YEAR($J11))*12+MONTH(Lists!D$21)-MONTH($J11)))&gt;Lists!D$21)+1)))-MIN(MAX(0,$H11),N($K11)*IF(Lists!D$22&lt;$J11,0,(((YEAR(Lists!D$22)-YEAR($J11))*12+MONTH(Lists!D$22)-MONTH($J11))-(EDATE($J11,((YEAR(Lists!D$22)-YEAR($J11))*12+MONTH(Lists!D$22)-MONTH($J11)))&gt;Lists!D$22)+1)))),N($C11)*IF($AE11-$AD11&lt;1,($AD11&gt;Lists!D$22)*($AD11&lt;=Lists!D$21),MAX(0,MIN(Lists!D$21,$AE11)-MAX(Lists!D$22,$AD11))/($AE11-$AD11))+N($D11)*IF($AG11-$AF11&lt;1,($AF11&gt;Lists!D$22)*($AF11&lt;=Lists!D$21),MAX(0,MIN(Lists!D$21,$AG11)-MAX(Lists!D$22,$AF11))/($AG11-$AF11))+N($E11)*IF($AI11-$AH11&lt;1,($AH11&gt;Lists!D$22)*($AH11&lt;=Lists!D$21),MAX(0,MIN(Lists!D$21,$AI11)-MAX(Lists!D$22,$AH11))/($AI11-$AH11))+N($F11)*IF($AK11-$AJ11&lt;1,($AJ11&gt;Lists!D$22)*($AJ11&lt;=Lists!D$21),MAX(0,MIN(Lists!D$21,$AK11)-MAX(Lists!D$22,$AJ11))/($AK11-$AJ11))+N($G11)*IF($AM11-$AL11&lt;1,($AL11&gt;Lists!D$22)*($AL11&lt;=Lists!D$21),MAX(0,MIN(Lists!D$21,$AM11)-MAX(Lists!D$22,$AL11))/($AM11-$AL11))))))))</f>
        <v>5183.33333333333</v>
      </c>
      <c r="O11" s="53" t="n">
        <f aca="false">IF($H11=0,0,IF($AP11="X",0,IF($AP11="S",$H11/$AO11*(MIN($AO11,MAX(0,INT((Lists!E$21-N($J11))/7)+1))-MIN($AO11,MAX(0,INT((Lists!E$22-N($J11))/7)+1))),IF($AP11="D",$H11*MAX(0,MIN(Lists!E$21,N($J11)+$AO11)-MAX(Lists!E$22,N($J11)))/$AO11,IF($AP11="M",$H11/$AO11*(IF(Lists!E$21&lt;$J11,0,MIN($AO11,(((YEAR(Lists!E$21)-YEAR($J11))*12+MONTH(Lists!E$21)-MONTH($J11))-(EDATE($J11,((YEAR(Lists!E$21)-YEAR($J11))*12+MONTH(Lists!E$21)-MONTH($J11)))&gt;Lists!E$21)+1)))-IF(Lists!E$22&lt;$J11,0,MIN($AO11,(((YEAR(Lists!E$22)-YEAR($J11))*12+MONTH(Lists!E$22)-MONTH($J11))-(EDATE($J11,((YEAR(Lists!E$22)-YEAR($J11))*12+MONTH(Lists!E$22)-MONTH($J11)))&gt;Lists!E$22)+1)))),IF($AP11="F",IF(N($K11)&lt;=0,0,MIN(MAX(0,$H11),N($K11)*IF(Lists!E$21&lt;$J11,0,(((YEAR(Lists!E$21)-YEAR($J11))*12+MONTH(Lists!E$21)-MONTH($J11))-(EDATE($J11,((YEAR(Lists!E$21)-YEAR($J11))*12+MONTH(Lists!E$21)-MONTH($J11)))&gt;Lists!E$21)+1)))-MIN(MAX(0,$H11),N($K11)*IF(Lists!E$22&lt;$J11,0,(((YEAR(Lists!E$22)-YEAR($J11))*12+MONTH(Lists!E$22)-MONTH($J11))-(EDATE($J11,((YEAR(Lists!E$22)-YEAR($J11))*12+MONTH(Lists!E$22)-MONTH($J11)))&gt;Lists!E$22)+1)))),N($C11)*IF($AE11-$AD11&lt;1,($AD11&gt;Lists!E$22)*($AD11&lt;=Lists!E$21),MAX(0,MIN(Lists!E$21,$AE11)-MAX(Lists!E$22,$AD11))/($AE11-$AD11))+N($D11)*IF($AG11-$AF11&lt;1,($AF11&gt;Lists!E$22)*($AF11&lt;=Lists!E$21),MAX(0,MIN(Lists!E$21,$AG11)-MAX(Lists!E$22,$AF11))/($AG11-$AF11))+N($E11)*IF($AI11-$AH11&lt;1,($AH11&gt;Lists!E$22)*($AH11&lt;=Lists!E$21),MAX(0,MIN(Lists!E$21,$AI11)-MAX(Lists!E$22,$AH11))/($AI11-$AH11))+N($F11)*IF($AK11-$AJ11&lt;1,($AJ11&gt;Lists!E$22)*($AJ11&lt;=Lists!E$21),MAX(0,MIN(Lists!E$21,$AK11)-MAX(Lists!E$22,$AJ11))/($AK11-$AJ11))+N($G11)*IF($AM11-$AL11&lt;1,($AL11&gt;Lists!E$22)*($AL11&lt;=Lists!E$21),MAX(0,MIN(Lists!E$21,$AM11)-MAX(Lists!E$22,$AL11))/($AM11-$AL11))))))))</f>
        <v>10783.3333333333</v>
      </c>
      <c r="P11" s="53" t="n">
        <f aca="false">IF($H11=0,0,IF($AP11="X",0,IF($AP11="S",$H11/$AO11*(MIN($AO11,MAX(0,INT((Lists!F$21-N($J11))/7)+1))-MIN($AO11,MAX(0,INT((Lists!F$22-N($J11))/7)+1))),IF($AP11="D",$H11*MAX(0,MIN(Lists!F$21,N($J11)+$AO11)-MAX(Lists!F$22,N($J11)))/$AO11,IF($AP11="M",$H11/$AO11*(IF(Lists!F$21&lt;$J11,0,MIN($AO11,(((YEAR(Lists!F$21)-YEAR($J11))*12+MONTH(Lists!F$21)-MONTH($J11))-(EDATE($J11,((YEAR(Lists!F$21)-YEAR($J11))*12+MONTH(Lists!F$21)-MONTH($J11)))&gt;Lists!F$21)+1)))-IF(Lists!F$22&lt;$J11,0,MIN($AO11,(((YEAR(Lists!F$22)-YEAR($J11))*12+MONTH(Lists!F$22)-MONTH($J11))-(EDATE($J11,((YEAR(Lists!F$22)-YEAR($J11))*12+MONTH(Lists!F$22)-MONTH($J11)))&gt;Lists!F$22)+1)))),IF($AP11="F",IF(N($K11)&lt;=0,0,MIN(MAX(0,$H11),N($K11)*IF(Lists!F$21&lt;$J11,0,(((YEAR(Lists!F$21)-YEAR($J11))*12+MONTH(Lists!F$21)-MONTH($J11))-(EDATE($J11,((YEAR(Lists!F$21)-YEAR($J11))*12+MONTH(Lists!F$21)-MONTH($J11)))&gt;Lists!F$21)+1)))-MIN(MAX(0,$H11),N($K11)*IF(Lists!F$22&lt;$J11,0,(((YEAR(Lists!F$22)-YEAR($J11))*12+MONTH(Lists!F$22)-MONTH($J11))-(EDATE($J11,((YEAR(Lists!F$22)-YEAR($J11))*12+MONTH(Lists!F$22)-MONTH($J11)))&gt;Lists!F$22)+1)))),N($C11)*IF($AE11-$AD11&lt;1,($AD11&gt;Lists!F$22)*($AD11&lt;=Lists!F$21),MAX(0,MIN(Lists!F$21,$AE11)-MAX(Lists!F$22,$AD11))/($AE11-$AD11))+N($D11)*IF($AG11-$AF11&lt;1,($AF11&gt;Lists!F$22)*($AF11&lt;=Lists!F$21),MAX(0,MIN(Lists!F$21,$AG11)-MAX(Lists!F$22,$AF11))/($AG11-$AF11))+N($E11)*IF($AI11-$AH11&lt;1,($AH11&gt;Lists!F$22)*($AH11&lt;=Lists!F$21),MAX(0,MIN(Lists!F$21,$AI11)-MAX(Lists!F$22,$AH11))/($AI11-$AH11))+N($F11)*IF($AK11-$AJ11&lt;1,($AJ11&gt;Lists!F$22)*($AJ11&lt;=Lists!F$21),MAX(0,MIN(Lists!F$21,$AK11)-MAX(Lists!F$22,$AJ11))/($AK11-$AJ11))+N($G11)*IF($AM11-$AL11&lt;1,($AL11&gt;Lists!F$22)*($AL11&lt;=Lists!F$21),MAX(0,MIN(Lists!F$21,$AM11)-MAX(Lists!F$22,$AL11))/($AM11-$AL11))))))))</f>
        <v>10783.3333333333</v>
      </c>
      <c r="Q11" s="53" t="n">
        <f aca="false">IF($H11=0,0,IF($AP11="X",0,IF($AP11="S",$H11/$AO11*(MIN($AO11,MAX(0,INT((Lists!G$21-N($J11))/7)+1))-MIN($AO11,MAX(0,INT((Lists!G$22-N($J11))/7)+1))),IF($AP11="D",$H11*MAX(0,MIN(Lists!G$21,N($J11)+$AO11)-MAX(Lists!G$22,N($J11)))/$AO11,IF($AP11="M",$H11/$AO11*(IF(Lists!G$21&lt;$J11,0,MIN($AO11,(((YEAR(Lists!G$21)-YEAR($J11))*12+MONTH(Lists!G$21)-MONTH($J11))-(EDATE($J11,((YEAR(Lists!G$21)-YEAR($J11))*12+MONTH(Lists!G$21)-MONTH($J11)))&gt;Lists!G$21)+1)))-IF(Lists!G$22&lt;$J11,0,MIN($AO11,(((YEAR(Lists!G$22)-YEAR($J11))*12+MONTH(Lists!G$22)-MONTH($J11))-(EDATE($J11,((YEAR(Lists!G$22)-YEAR($J11))*12+MONTH(Lists!G$22)-MONTH($J11)))&gt;Lists!G$22)+1)))),IF($AP11="F",IF(N($K11)&lt;=0,0,MIN(MAX(0,$H11),N($K11)*IF(Lists!G$21&lt;$J11,0,(((YEAR(Lists!G$21)-YEAR($J11))*12+MONTH(Lists!G$21)-MONTH($J11))-(EDATE($J11,((YEAR(Lists!G$21)-YEAR($J11))*12+MONTH(Lists!G$21)-MONTH($J11)))&gt;Lists!G$21)+1)))-MIN(MAX(0,$H11),N($K11)*IF(Lists!G$22&lt;$J11,0,(((YEAR(Lists!G$22)-YEAR($J11))*12+MONTH(Lists!G$22)-MONTH($J11))-(EDATE($J11,((YEAR(Lists!G$22)-YEAR($J11))*12+MONTH(Lists!G$22)-MONTH($J11)))&gt;Lists!G$22)+1)))),N($C11)*IF($AE11-$AD11&lt;1,($AD11&gt;Lists!G$22)*($AD11&lt;=Lists!G$21),MAX(0,MIN(Lists!G$21,$AE11)-MAX(Lists!G$22,$AD11))/($AE11-$AD11))+N($D11)*IF($AG11-$AF11&lt;1,($AF11&gt;Lists!G$22)*($AF11&lt;=Lists!G$21),MAX(0,MIN(Lists!G$21,$AG11)-MAX(Lists!G$22,$AF11))/($AG11-$AF11))+N($E11)*IF($AI11-$AH11&lt;1,($AH11&gt;Lists!G$22)*($AH11&lt;=Lists!G$21),MAX(0,MIN(Lists!G$21,$AI11)-MAX(Lists!G$22,$AH11))/($AI11-$AH11))+N($F11)*IF($AK11-$AJ11&lt;1,($AJ11&gt;Lists!G$22)*($AJ11&lt;=Lists!G$21),MAX(0,MIN(Lists!G$21,$AK11)-MAX(Lists!G$22,$AJ11))/($AK11-$AJ11))+N($G11)*IF($AM11-$AL11&lt;1,($AL11&gt;Lists!G$22)*($AL11&lt;=Lists!G$21),MAX(0,MIN(Lists!G$21,$AM11)-MAX(Lists!G$22,$AL11))/($AM11-$AL11))))))))</f>
        <v>8354.76190476191</v>
      </c>
      <c r="R11" s="53" t="n">
        <f aca="false">IF($H11=0,0,IF($AP11="X",0,IF($AP11="S",$H11/$AO11*(MIN($AO11,MAX(0,INT((Lists!H$21-N($J11))/7)+1))-MIN($AO11,MAX(0,INT((Lists!H$22-N($J11))/7)+1))),IF($AP11="D",$H11*MAX(0,MIN(Lists!H$21,N($J11)+$AO11)-MAX(Lists!H$22,N($J11)))/$AO11,IF($AP11="M",$H11/$AO11*(IF(Lists!H$21&lt;$J11,0,MIN($AO11,(((YEAR(Lists!H$21)-YEAR($J11))*12+MONTH(Lists!H$21)-MONTH($J11))-(EDATE($J11,((YEAR(Lists!H$21)-YEAR($J11))*12+MONTH(Lists!H$21)-MONTH($J11)))&gt;Lists!H$21)+1)))-IF(Lists!H$22&lt;$J11,0,MIN($AO11,(((YEAR(Lists!H$22)-YEAR($J11))*12+MONTH(Lists!H$22)-MONTH($J11))-(EDATE($J11,((YEAR(Lists!H$22)-YEAR($J11))*12+MONTH(Lists!H$22)-MONTH($J11)))&gt;Lists!H$22)+1)))),IF($AP11="F",IF(N($K11)&lt;=0,0,MIN(MAX(0,$H11),N($K11)*IF(Lists!H$21&lt;$J11,0,(((YEAR(Lists!H$21)-YEAR($J11))*12+MONTH(Lists!H$21)-MONTH($J11))-(EDATE($J11,((YEAR(Lists!H$21)-YEAR($J11))*12+MONTH(Lists!H$21)-MONTH($J11)))&gt;Lists!H$21)+1)))-MIN(MAX(0,$H11),N($K11)*IF(Lists!H$22&lt;$J11,0,(((YEAR(Lists!H$22)-YEAR($J11))*12+MONTH(Lists!H$22)-MONTH($J11))-(EDATE($J11,((YEAR(Lists!H$22)-YEAR($J11))*12+MONTH(Lists!H$22)-MONTH($J11)))&gt;Lists!H$22)+1)))),N($C11)*IF($AE11-$AD11&lt;1,($AD11&gt;Lists!H$22)*($AD11&lt;=Lists!H$21),MAX(0,MIN(Lists!H$21,$AE11)-MAX(Lists!H$22,$AD11))/($AE11-$AD11))+N($D11)*IF($AG11-$AF11&lt;1,($AF11&gt;Lists!H$22)*($AF11&lt;=Lists!H$21),MAX(0,MIN(Lists!H$21,$AG11)-MAX(Lists!H$22,$AF11))/($AG11-$AF11))+N($E11)*IF($AI11-$AH11&lt;1,($AH11&gt;Lists!H$22)*($AH11&lt;=Lists!H$21),MAX(0,MIN(Lists!H$21,$AI11)-MAX(Lists!H$22,$AH11))/($AI11-$AH11))+N($F11)*IF($AK11-$AJ11&lt;1,($AJ11&gt;Lists!H$22)*($AJ11&lt;=Lists!H$21),MAX(0,MIN(Lists!H$21,$AK11)-MAX(Lists!H$22,$AJ11))/($AK11-$AJ11))+N($G11)*IF($AM11-$AL11&lt;1,($AL11&gt;Lists!H$22)*($AL11&lt;=Lists!H$21),MAX(0,MIN(Lists!H$21,$AM11)-MAX(Lists!H$22,$AL11))/($AM11-$AL11))))))))</f>
        <v>6533.33333333333</v>
      </c>
      <c r="S11" s="53" t="n">
        <f aca="false">IF($H11=0,0,IF($AP11="X",0,IF($AP11="S",$H11/$AO11*(MIN($AO11,MAX(0,INT((Lists!I$21-N($J11))/7)+1))-MIN($AO11,MAX(0,INT((Lists!I$22-N($J11))/7)+1))),IF($AP11="D",$H11*MAX(0,MIN(Lists!I$21,N($J11)+$AO11)-MAX(Lists!I$22,N($J11)))/$AO11,IF($AP11="M",$H11/$AO11*(IF(Lists!I$21&lt;$J11,0,MIN($AO11,(((YEAR(Lists!I$21)-YEAR($J11))*12+MONTH(Lists!I$21)-MONTH($J11))-(EDATE($J11,((YEAR(Lists!I$21)-YEAR($J11))*12+MONTH(Lists!I$21)-MONTH($J11)))&gt;Lists!I$21)+1)))-IF(Lists!I$22&lt;$J11,0,MIN($AO11,(((YEAR(Lists!I$22)-YEAR($J11))*12+MONTH(Lists!I$22)-MONTH($J11))-(EDATE($J11,((YEAR(Lists!I$22)-YEAR($J11))*12+MONTH(Lists!I$22)-MONTH($J11)))&gt;Lists!I$22)+1)))),IF($AP11="F",IF(N($K11)&lt;=0,0,MIN(MAX(0,$H11),N($K11)*IF(Lists!I$21&lt;$J11,0,(((YEAR(Lists!I$21)-YEAR($J11))*12+MONTH(Lists!I$21)-MONTH($J11))-(EDATE($J11,((YEAR(Lists!I$21)-YEAR($J11))*12+MONTH(Lists!I$21)-MONTH($J11)))&gt;Lists!I$21)+1)))-MIN(MAX(0,$H11),N($K11)*IF(Lists!I$22&lt;$J11,0,(((YEAR(Lists!I$22)-YEAR($J11))*12+MONTH(Lists!I$22)-MONTH($J11))-(EDATE($J11,((YEAR(Lists!I$22)-YEAR($J11))*12+MONTH(Lists!I$22)-MONTH($J11)))&gt;Lists!I$22)+1)))),N($C11)*IF($AE11-$AD11&lt;1,($AD11&gt;Lists!I$22)*($AD11&lt;=Lists!I$21),MAX(0,MIN(Lists!I$21,$AE11)-MAX(Lists!I$22,$AD11))/($AE11-$AD11))+N($D11)*IF($AG11-$AF11&lt;1,($AF11&gt;Lists!I$22)*($AF11&lt;=Lists!I$21),MAX(0,MIN(Lists!I$21,$AG11)-MAX(Lists!I$22,$AF11))/($AG11-$AF11))+N($E11)*IF($AI11-$AH11&lt;1,($AH11&gt;Lists!I$22)*($AH11&lt;=Lists!I$21),MAX(0,MIN(Lists!I$21,$AI11)-MAX(Lists!I$22,$AH11))/($AI11-$AH11))+N($F11)*IF($AK11-$AJ11&lt;1,($AJ11&gt;Lists!I$22)*($AJ11&lt;=Lists!I$21),MAX(0,MIN(Lists!I$21,$AK11)-MAX(Lists!I$22,$AJ11))/($AK11-$AJ11))+N($G11)*IF($AM11-$AL11&lt;1,($AL11&gt;Lists!I$22)*($AL11&lt;=Lists!I$21),MAX(0,MIN(Lists!I$21,$AM11)-MAX(Lists!I$22,$AL11))/($AM11-$AL11))))))))</f>
        <v>933.333333333333</v>
      </c>
      <c r="T11" s="53" t="n">
        <f aca="false">IF($H11=0,0,IF($AP11="X",0,IF($AP11="S",$H11/$AO11*(MIN($AO11,MAX(0,INT((Lists!J$21-N($J11))/7)+1))-MIN($AO11,MAX(0,INT((Lists!J$22-N($J11))/7)+1))),IF($AP11="D",$H11*MAX(0,MIN(Lists!J$21,N($J11)+$AO11)-MAX(Lists!J$22,N($J11)))/$AO11,IF($AP11="M",$H11/$AO11*(IF(Lists!J$21&lt;$J11,0,MIN($AO11,(((YEAR(Lists!J$21)-YEAR($J11))*12+MONTH(Lists!J$21)-MONTH($J11))-(EDATE($J11,((YEAR(Lists!J$21)-YEAR($J11))*12+MONTH(Lists!J$21)-MONTH($J11)))&gt;Lists!J$21)+1)))-IF(Lists!J$22&lt;$J11,0,MIN($AO11,(((YEAR(Lists!J$22)-YEAR($J11))*12+MONTH(Lists!J$22)-MONTH($J11))-(EDATE($J11,((YEAR(Lists!J$22)-YEAR($J11))*12+MONTH(Lists!J$22)-MONTH($J11)))&gt;Lists!J$22)+1)))),IF($AP11="F",IF(N($K11)&lt;=0,0,MIN(MAX(0,$H11),N($K11)*IF(Lists!J$21&lt;$J11,0,(((YEAR(Lists!J$21)-YEAR($J11))*12+MONTH(Lists!J$21)-MONTH($J11))-(EDATE($J11,((YEAR(Lists!J$21)-YEAR($J11))*12+MONTH(Lists!J$21)-MONTH($J11)))&gt;Lists!J$21)+1)))-MIN(MAX(0,$H11),N($K11)*IF(Lists!J$22&lt;$J11,0,(((YEAR(Lists!J$22)-YEAR($J11))*12+MONTH(Lists!J$22)-MONTH($J11))-(EDATE($J11,((YEAR(Lists!J$22)-YEAR($J11))*12+MONTH(Lists!J$22)-MONTH($J11)))&gt;Lists!J$22)+1)))),N($C11)*IF($AE11-$AD11&lt;1,($AD11&gt;Lists!J$22)*($AD11&lt;=Lists!J$21),MAX(0,MIN(Lists!J$21,$AE11)-MAX(Lists!J$22,$AD11))/($AE11-$AD11))+N($D11)*IF($AG11-$AF11&lt;1,($AF11&gt;Lists!J$22)*($AF11&lt;=Lists!J$21),MAX(0,MIN(Lists!J$21,$AG11)-MAX(Lists!J$22,$AF11))/($AG11-$AF11))+N($E11)*IF($AI11-$AH11&lt;1,($AH11&gt;Lists!J$22)*($AH11&lt;=Lists!J$21),MAX(0,MIN(Lists!J$21,$AI11)-MAX(Lists!J$22,$AH11))/($AI11-$AH11))+N($F11)*IF($AK11-$AJ11&lt;1,($AJ11&gt;Lists!J$22)*($AJ11&lt;=Lists!J$21),MAX(0,MIN(Lists!J$21,$AK11)-MAX(Lists!J$22,$AJ11))/($AK11-$AJ11))+N($G11)*IF($AM11-$AL11&lt;1,($AL11&gt;Lists!J$22)*($AL11&lt;=Lists!J$21),MAX(0,MIN(Lists!J$21,$AM11)-MAX(Lists!J$22,$AL11))/($AM11-$AL11))))))))</f>
        <v>0</v>
      </c>
      <c r="U11" s="53" t="n">
        <f aca="false">IF($H11=0,0,IF($AP11="X",0,IF($AP11="S",$H11/$AO11*(MIN($AO11,MAX(0,INT((Lists!K$21-N($J11))/7)+1))-MIN($AO11,MAX(0,INT((Lists!K$22-N($J11))/7)+1))),IF($AP11="D",$H11*MAX(0,MIN(Lists!K$21,N($J11)+$AO11)-MAX(Lists!K$22,N($J11)))/$AO11,IF($AP11="M",$H11/$AO11*(IF(Lists!K$21&lt;$J11,0,MIN($AO11,(((YEAR(Lists!K$21)-YEAR($J11))*12+MONTH(Lists!K$21)-MONTH($J11))-(EDATE($J11,((YEAR(Lists!K$21)-YEAR($J11))*12+MONTH(Lists!K$21)-MONTH($J11)))&gt;Lists!K$21)+1)))-IF(Lists!K$22&lt;$J11,0,MIN($AO11,(((YEAR(Lists!K$22)-YEAR($J11))*12+MONTH(Lists!K$22)-MONTH($J11))-(EDATE($J11,((YEAR(Lists!K$22)-YEAR($J11))*12+MONTH(Lists!K$22)-MONTH($J11)))&gt;Lists!K$22)+1)))),IF($AP11="F",IF(N($K11)&lt;=0,0,MIN(MAX(0,$H11),N($K11)*IF(Lists!K$21&lt;$J11,0,(((YEAR(Lists!K$21)-YEAR($J11))*12+MONTH(Lists!K$21)-MONTH($J11))-(EDATE($J11,((YEAR(Lists!K$21)-YEAR($J11))*12+MONTH(Lists!K$21)-MONTH($J11)))&gt;Lists!K$21)+1)))-MIN(MAX(0,$H11),N($K11)*IF(Lists!K$22&lt;$J11,0,(((YEAR(Lists!K$22)-YEAR($J11))*12+MONTH(Lists!K$22)-MONTH($J11))-(EDATE($J11,((YEAR(Lists!K$22)-YEAR($J11))*12+MONTH(Lists!K$22)-MONTH($J11)))&gt;Lists!K$22)+1)))),N($C11)*IF($AE11-$AD11&lt;1,($AD11&gt;Lists!K$22)*($AD11&lt;=Lists!K$21),MAX(0,MIN(Lists!K$21,$AE11)-MAX(Lists!K$22,$AD11))/($AE11-$AD11))+N($D11)*IF($AG11-$AF11&lt;1,($AF11&gt;Lists!K$22)*($AF11&lt;=Lists!K$21),MAX(0,MIN(Lists!K$21,$AG11)-MAX(Lists!K$22,$AF11))/($AG11-$AF11))+N($E11)*IF($AI11-$AH11&lt;1,($AH11&gt;Lists!K$22)*($AH11&lt;=Lists!K$21),MAX(0,MIN(Lists!K$21,$AI11)-MAX(Lists!K$22,$AH11))/($AI11-$AH11))+N($F11)*IF($AK11-$AJ11&lt;1,($AJ11&gt;Lists!K$22)*($AJ11&lt;=Lists!K$21),MAX(0,MIN(Lists!K$21,$AK11)-MAX(Lists!K$22,$AJ11))/($AK11-$AJ11))+N($G11)*IF($AM11-$AL11&lt;1,($AL11&gt;Lists!K$22)*($AL11&lt;=Lists!K$21),MAX(0,MIN(Lists!K$21,$AM11)-MAX(Lists!K$22,$AL11))/($AM11-$AL11))))))))</f>
        <v>0</v>
      </c>
      <c r="V11" s="53" t="n">
        <f aca="false">IF($H11=0,0,IF($AP11="X",0,IF($AP11="S",$H11/$AO11*(MIN($AO11,MAX(0,INT((Lists!L$21-N($J11))/7)+1))-MIN($AO11,MAX(0,INT((Lists!L$22-N($J11))/7)+1))),IF($AP11="D",$H11*MAX(0,MIN(Lists!L$21,N($J11)+$AO11)-MAX(Lists!L$22,N($J11)))/$AO11,IF($AP11="M",$H11/$AO11*(IF(Lists!L$21&lt;$J11,0,MIN($AO11,(((YEAR(Lists!L$21)-YEAR($J11))*12+MONTH(Lists!L$21)-MONTH($J11))-(EDATE($J11,((YEAR(Lists!L$21)-YEAR($J11))*12+MONTH(Lists!L$21)-MONTH($J11)))&gt;Lists!L$21)+1)))-IF(Lists!L$22&lt;$J11,0,MIN($AO11,(((YEAR(Lists!L$22)-YEAR($J11))*12+MONTH(Lists!L$22)-MONTH($J11))-(EDATE($J11,((YEAR(Lists!L$22)-YEAR($J11))*12+MONTH(Lists!L$22)-MONTH($J11)))&gt;Lists!L$22)+1)))),IF($AP11="F",IF(N($K11)&lt;=0,0,MIN(MAX(0,$H11),N($K11)*IF(Lists!L$21&lt;$J11,0,(((YEAR(Lists!L$21)-YEAR($J11))*12+MONTH(Lists!L$21)-MONTH($J11))-(EDATE($J11,((YEAR(Lists!L$21)-YEAR($J11))*12+MONTH(Lists!L$21)-MONTH($J11)))&gt;Lists!L$21)+1)))-MIN(MAX(0,$H11),N($K11)*IF(Lists!L$22&lt;$J11,0,(((YEAR(Lists!L$22)-YEAR($J11))*12+MONTH(Lists!L$22)-MONTH($J11))-(EDATE($J11,((YEAR(Lists!L$22)-YEAR($J11))*12+MONTH(Lists!L$22)-MONTH($J11)))&gt;Lists!L$22)+1)))),N($C11)*IF($AE11-$AD11&lt;1,($AD11&gt;Lists!L$22)*($AD11&lt;=Lists!L$21),MAX(0,MIN(Lists!L$21,$AE11)-MAX(Lists!L$22,$AD11))/($AE11-$AD11))+N($D11)*IF($AG11-$AF11&lt;1,($AF11&gt;Lists!L$22)*($AF11&lt;=Lists!L$21),MAX(0,MIN(Lists!L$21,$AG11)-MAX(Lists!L$22,$AF11))/($AG11-$AF11))+N($E11)*IF($AI11-$AH11&lt;1,($AH11&gt;Lists!L$22)*($AH11&lt;=Lists!L$21),MAX(0,MIN(Lists!L$21,$AI11)-MAX(Lists!L$22,$AH11))/($AI11-$AH11))+N($F11)*IF($AK11-$AJ11&lt;1,($AJ11&gt;Lists!L$22)*($AJ11&lt;=Lists!L$21),MAX(0,MIN(Lists!L$21,$AK11)-MAX(Lists!L$22,$AJ11))/($AK11-$AJ11))+N($G11)*IF($AM11-$AL11&lt;1,($AL11&gt;Lists!L$22)*($AL11&lt;=Lists!L$21),MAX(0,MIN(Lists!L$21,$AM11)-MAX(Lists!L$22,$AL11))/($AM11-$AL11))))))))</f>
        <v>0</v>
      </c>
      <c r="W11" s="53" t="n">
        <f aca="false">IF($H11=0,0,IF($AP11="X",0,IF($AP11="S",$H11/$AO11*(MIN($AO11,MAX(0,INT((Lists!M$21-N($J11))/7)+1))-MIN($AO11,MAX(0,INT((Lists!M$22-N($J11))/7)+1))),IF($AP11="D",$H11*MAX(0,MIN(Lists!M$21,N($J11)+$AO11)-MAX(Lists!M$22,N($J11)))/$AO11,IF($AP11="M",$H11/$AO11*(IF(Lists!M$21&lt;$J11,0,MIN($AO11,(((YEAR(Lists!M$21)-YEAR($J11))*12+MONTH(Lists!M$21)-MONTH($J11))-(EDATE($J11,((YEAR(Lists!M$21)-YEAR($J11))*12+MONTH(Lists!M$21)-MONTH($J11)))&gt;Lists!M$21)+1)))-IF(Lists!M$22&lt;$J11,0,MIN($AO11,(((YEAR(Lists!M$22)-YEAR($J11))*12+MONTH(Lists!M$22)-MONTH($J11))-(EDATE($J11,((YEAR(Lists!M$22)-YEAR($J11))*12+MONTH(Lists!M$22)-MONTH($J11)))&gt;Lists!M$22)+1)))),IF($AP11="F",IF(N($K11)&lt;=0,0,MIN(MAX(0,$H11),N($K11)*IF(Lists!M$21&lt;$J11,0,(((YEAR(Lists!M$21)-YEAR($J11))*12+MONTH(Lists!M$21)-MONTH($J11))-(EDATE($J11,((YEAR(Lists!M$21)-YEAR($J11))*12+MONTH(Lists!M$21)-MONTH($J11)))&gt;Lists!M$21)+1)))-MIN(MAX(0,$H11),N($K11)*IF(Lists!M$22&lt;$J11,0,(((YEAR(Lists!M$22)-YEAR($J11))*12+MONTH(Lists!M$22)-MONTH($J11))-(EDATE($J11,((YEAR(Lists!M$22)-YEAR($J11))*12+MONTH(Lists!M$22)-MONTH($J11)))&gt;Lists!M$22)+1)))),N($C11)*IF($AE11-$AD11&lt;1,($AD11&gt;Lists!M$22)*($AD11&lt;=Lists!M$21),MAX(0,MIN(Lists!M$21,$AE11)-MAX(Lists!M$22,$AD11))/($AE11-$AD11))+N($D11)*IF($AG11-$AF11&lt;1,($AF11&gt;Lists!M$22)*($AF11&lt;=Lists!M$21),MAX(0,MIN(Lists!M$21,$AG11)-MAX(Lists!M$22,$AF11))/($AG11-$AF11))+N($E11)*IF($AI11-$AH11&lt;1,($AH11&gt;Lists!M$22)*($AH11&lt;=Lists!M$21),MAX(0,MIN(Lists!M$21,$AI11)-MAX(Lists!M$22,$AH11))/($AI11-$AH11))+N($F11)*IF($AK11-$AJ11&lt;1,($AJ11&gt;Lists!M$22)*($AJ11&lt;=Lists!M$21),MAX(0,MIN(Lists!M$21,$AK11)-MAX(Lists!M$22,$AJ11))/($AK11-$AJ11))+N($G11)*IF($AM11-$AL11&lt;1,($AL11&gt;Lists!M$22)*($AL11&lt;=Lists!M$21),MAX(0,MIN(Lists!M$21,$AM11)-MAX(Lists!M$22,$AL11))/($AM11-$AL11))))))))</f>
        <v>0</v>
      </c>
      <c r="X11" s="53" t="n">
        <f aca="false">IF($H11=0,0,IF($AP11="X",0,IF($AP11="S",$H11/$AO11*(MIN($AO11,MAX(0,INT((Lists!N$21-N($J11))/7)+1))-MIN($AO11,MAX(0,INT((Lists!N$22-N($J11))/7)+1))),IF($AP11="D",$H11*MAX(0,MIN(Lists!N$21,N($J11)+$AO11)-MAX(Lists!N$22,N($J11)))/$AO11,IF($AP11="M",$H11/$AO11*(IF(Lists!N$21&lt;$J11,0,MIN($AO11,(((YEAR(Lists!N$21)-YEAR($J11))*12+MONTH(Lists!N$21)-MONTH($J11))-(EDATE($J11,((YEAR(Lists!N$21)-YEAR($J11))*12+MONTH(Lists!N$21)-MONTH($J11)))&gt;Lists!N$21)+1)))-IF(Lists!N$22&lt;$J11,0,MIN($AO11,(((YEAR(Lists!N$22)-YEAR($J11))*12+MONTH(Lists!N$22)-MONTH($J11))-(EDATE($J11,((YEAR(Lists!N$22)-YEAR($J11))*12+MONTH(Lists!N$22)-MONTH($J11)))&gt;Lists!N$22)+1)))),IF($AP11="F",IF(N($K11)&lt;=0,0,MIN(MAX(0,$H11),N($K11)*IF(Lists!N$21&lt;$J11,0,(((YEAR(Lists!N$21)-YEAR($J11))*12+MONTH(Lists!N$21)-MONTH($J11))-(EDATE($J11,((YEAR(Lists!N$21)-YEAR($J11))*12+MONTH(Lists!N$21)-MONTH($J11)))&gt;Lists!N$21)+1)))-MIN(MAX(0,$H11),N($K11)*IF(Lists!N$22&lt;$J11,0,(((YEAR(Lists!N$22)-YEAR($J11))*12+MONTH(Lists!N$22)-MONTH($J11))-(EDATE($J11,((YEAR(Lists!N$22)-YEAR($J11))*12+MONTH(Lists!N$22)-MONTH($J11)))&gt;Lists!N$22)+1)))),N($C11)*IF($AE11-$AD11&lt;1,($AD11&gt;Lists!N$22)*($AD11&lt;=Lists!N$21),MAX(0,MIN(Lists!N$21,$AE11)-MAX(Lists!N$22,$AD11))/($AE11-$AD11))+N($D11)*IF($AG11-$AF11&lt;1,($AF11&gt;Lists!N$22)*($AF11&lt;=Lists!N$21),MAX(0,MIN(Lists!N$21,$AG11)-MAX(Lists!N$22,$AF11))/($AG11-$AF11))+N($E11)*IF($AI11-$AH11&lt;1,($AH11&gt;Lists!N$22)*($AH11&lt;=Lists!N$21),MAX(0,MIN(Lists!N$21,$AI11)-MAX(Lists!N$22,$AH11))/($AI11-$AH11))+N($F11)*IF($AK11-$AJ11&lt;1,($AJ11&gt;Lists!N$22)*($AJ11&lt;=Lists!N$21),MAX(0,MIN(Lists!N$21,$AK11)-MAX(Lists!N$22,$AJ11))/($AK11-$AJ11))+N($G11)*IF($AM11-$AL11&lt;1,($AL11&gt;Lists!N$22)*($AL11&lt;=Lists!N$21),MAX(0,MIN(Lists!N$21,$AM11)-MAX(Lists!N$22,$AL11))/($AM11-$AL11))))))))</f>
        <v>0</v>
      </c>
      <c r="Y11" s="53" t="n">
        <f aca="false">IF($H11=0,0,IF($AP11="X",0,IF($AP11="S",$H11/$AO11*(MIN($AO11,MAX(0,INT((Lists!O$21-N($J11))/7)+1))-MIN($AO11,MAX(0,INT((Lists!O$22-N($J11))/7)+1))),IF($AP11="D",$H11*MAX(0,MIN(Lists!O$21,N($J11)+$AO11)-MAX(Lists!O$22,N($J11)))/$AO11,IF($AP11="M",$H11/$AO11*(IF(Lists!O$21&lt;$J11,0,MIN($AO11,(((YEAR(Lists!O$21)-YEAR($J11))*12+MONTH(Lists!O$21)-MONTH($J11))-(EDATE($J11,((YEAR(Lists!O$21)-YEAR($J11))*12+MONTH(Lists!O$21)-MONTH($J11)))&gt;Lists!O$21)+1)))-IF(Lists!O$22&lt;$J11,0,MIN($AO11,(((YEAR(Lists!O$22)-YEAR($J11))*12+MONTH(Lists!O$22)-MONTH($J11))-(EDATE($J11,((YEAR(Lists!O$22)-YEAR($J11))*12+MONTH(Lists!O$22)-MONTH($J11)))&gt;Lists!O$22)+1)))),IF($AP11="F",IF(N($K11)&lt;=0,0,MIN(MAX(0,$H11),N($K11)*IF(Lists!O$21&lt;$J11,0,(((YEAR(Lists!O$21)-YEAR($J11))*12+MONTH(Lists!O$21)-MONTH($J11))-(EDATE($J11,((YEAR(Lists!O$21)-YEAR($J11))*12+MONTH(Lists!O$21)-MONTH($J11)))&gt;Lists!O$21)+1)))-MIN(MAX(0,$H11),N($K11)*IF(Lists!O$22&lt;$J11,0,(((YEAR(Lists!O$22)-YEAR($J11))*12+MONTH(Lists!O$22)-MONTH($J11))-(EDATE($J11,((YEAR(Lists!O$22)-YEAR($J11))*12+MONTH(Lists!O$22)-MONTH($J11)))&gt;Lists!O$22)+1)))),N($C11)*IF($AE11-$AD11&lt;1,($AD11&gt;Lists!O$22)*($AD11&lt;=Lists!O$21),MAX(0,MIN(Lists!O$21,$AE11)-MAX(Lists!O$22,$AD11))/($AE11-$AD11))+N($D11)*IF($AG11-$AF11&lt;1,($AF11&gt;Lists!O$22)*($AF11&lt;=Lists!O$21),MAX(0,MIN(Lists!O$21,$AG11)-MAX(Lists!O$22,$AF11))/($AG11-$AF11))+N($E11)*IF($AI11-$AH11&lt;1,($AH11&gt;Lists!O$22)*($AH11&lt;=Lists!O$21),MAX(0,MIN(Lists!O$21,$AI11)-MAX(Lists!O$22,$AH11))/($AI11-$AH11))+N($F11)*IF($AK11-$AJ11&lt;1,($AJ11&gt;Lists!O$22)*($AJ11&lt;=Lists!O$21),MAX(0,MIN(Lists!O$21,$AK11)-MAX(Lists!O$22,$AJ11))/($AK11-$AJ11))+N($G11)*IF($AM11-$AL11&lt;1,($AL11&gt;Lists!O$22)*($AL11&lt;=Lists!O$21),MAX(0,MIN(Lists!O$21,$AM11)-MAX(Lists!O$22,$AL11))/($AM11-$AL11))))))))</f>
        <v>0</v>
      </c>
      <c r="Z11" s="46" t="n">
        <f aca="false">SUM(M11:Y11)</f>
        <v>45000</v>
      </c>
      <c r="AA11" s="92" t="n">
        <f aca="false">H11-Z11</f>
        <v>0</v>
      </c>
      <c r="AB11" s="55"/>
      <c r="AC11" s="2"/>
      <c r="AD11" s="93" t="n">
        <f aca="false">Setup!$D$10+MAX(0,$AN11-30)</f>
        <v>46345</v>
      </c>
      <c r="AE11" s="93" t="n">
        <f aca="false">Setup!$D$10+IF($AN11-30&lt;0,MAX(Setup!$D$22,$AN11-0),$AN11-0)</f>
        <v>46375</v>
      </c>
      <c r="AF11" s="93" t="n">
        <f aca="false">Setup!$D$10+MAX(0,$AN11-60)</f>
        <v>46335</v>
      </c>
      <c r="AG11" s="93" t="n">
        <f aca="false">Setup!$D$10+IF($AN11-60&lt;0,MAX(Setup!$D$22,$AN11-31),$AN11-31)</f>
        <v>46363</v>
      </c>
      <c r="AH11" s="93" t="n">
        <f aca="false">Setup!$D$10+MAX(0,$AN11-90)</f>
        <v>46335</v>
      </c>
      <c r="AI11" s="93" t="n">
        <f aca="false">Setup!$D$10+IF($AN11-90&lt;0,MAX(Setup!$D$22,$AN11-61),$AN11-61)</f>
        <v>46363</v>
      </c>
      <c r="AJ11" s="93" t="n">
        <f aca="false">Setup!$D$10+MAX(0,$AN11-120)</f>
        <v>46335</v>
      </c>
      <c r="AK11" s="93" t="n">
        <f aca="false">Setup!$D$10+IF($AN11-120&lt;0,MAX(Setup!$D$22,$AN11-91),$AN11-91)</f>
        <v>46363</v>
      </c>
      <c r="AL11" s="93" t="n">
        <f aca="false">Setup!$D$10</f>
        <v>46335</v>
      </c>
      <c r="AM11" s="93" t="n">
        <f aca="false">IF(AL11=2958465,AL11,Setup!$D$10+Setup!$D$22)</f>
        <v>46363</v>
      </c>
      <c r="AN11" s="94" t="n">
        <f aca="false">IF(N(L11)=0,Setup!$D$21,L11)</f>
        <v>40</v>
      </c>
      <c r="AO11" s="94" t="n">
        <f aca="false">MAX(1,ROUND(N(K11),0))</f>
        <v>1</v>
      </c>
      <c r="AP11" s="95" t="str">
        <f aca="false">IF(I11="On hold","X",IF(N(J11)=0,"A",IF(I11="Specific date","S",IF(I11="Spread over days","D",IF(I11="Monthly on set day","M",IF(I11="Monthly fixed amount","F","A"))))))</f>
        <v>A</v>
      </c>
    </row>
    <row r="12" customFormat="false" ht="15" hidden="false" customHeight="false" outlineLevel="0" collapsed="false">
      <c r="A12" s="87" t="n">
        <v>4</v>
      </c>
      <c r="B12" s="55" t="s">
        <v>424</v>
      </c>
      <c r="C12" s="88" t="n">
        <v>18000</v>
      </c>
      <c r="D12" s="88" t="n">
        <v>12000</v>
      </c>
      <c r="E12" s="88"/>
      <c r="F12" s="88"/>
      <c r="G12" s="88"/>
      <c r="H12" s="89" t="n">
        <f aca="false">SUM(C12:G12)</f>
        <v>30000</v>
      </c>
      <c r="I12" s="58" t="s">
        <v>407</v>
      </c>
      <c r="J12" s="90"/>
      <c r="K12" s="91"/>
      <c r="L12" s="80"/>
      <c r="M12" s="53" t="n">
        <f aca="false">IF($H12=0,0,IF($AP12="X",0,IF($AP12="S",$H12/$AO12*(MIN($AO12,MAX(0,INT((Lists!C$21-N($J12))/7)+1))-MIN($AO12,MAX(0,INT((Lists!C$22-N($J12))/7)+1))),IF($AP12="D",$H12*MAX(0,MIN(Lists!C$21,N($J12)+$AO12)-MAX(Lists!C$22,N($J12)))/$AO12,IF($AP12="M",$H12/$AO12*(IF(Lists!C$21&lt;$J12,0,MIN($AO12,(((YEAR(Lists!C$21)-YEAR($J12))*12+MONTH(Lists!C$21)-MONTH($J12))-(EDATE($J12,((YEAR(Lists!C$21)-YEAR($J12))*12+MONTH(Lists!C$21)-MONTH($J12)))&gt;Lists!C$21)+1)))-IF(Lists!C$22&lt;$J12,0,MIN($AO12,(((YEAR(Lists!C$22)-YEAR($J12))*12+MONTH(Lists!C$22)-MONTH($J12))-(EDATE($J12,((YEAR(Lists!C$22)-YEAR($J12))*12+MONTH(Lists!C$22)-MONTH($J12)))&gt;Lists!C$22)+1)))),IF($AP12="F",IF(N($K12)&lt;=0,0,MIN(MAX(0,$H12),N($K12)*IF(Lists!C$21&lt;$J12,0,(((YEAR(Lists!C$21)-YEAR($J12))*12+MONTH(Lists!C$21)-MONTH($J12))-(EDATE($J12,((YEAR(Lists!C$21)-YEAR($J12))*12+MONTH(Lists!C$21)-MONTH($J12)))&gt;Lists!C$21)+1)))-MIN(MAX(0,$H12),N($K12)*IF(Lists!C$22&lt;$J12,0,(((YEAR(Lists!C$22)-YEAR($J12))*12+MONTH(Lists!C$22)-MONTH($J12))-(EDATE($J12,((YEAR(Lists!C$22)-YEAR($J12))*12+MONTH(Lists!C$22)-MONTH($J12)))&gt;Lists!C$22)+1)))),N($C12)*IF($AE12-$AD12&lt;1,($AD12&gt;Lists!C$22)*($AD12&lt;=Lists!C$21),MAX(0,MIN(Lists!C$21,$AE12)-MAX(Lists!C$22,$AD12))/($AE12-$AD12))+N($D12)*IF($AG12-$AF12&lt;1,($AF12&gt;Lists!C$22)*($AF12&lt;=Lists!C$21),MAX(0,MIN(Lists!C$21,$AG12)-MAX(Lists!C$22,$AF12))/($AG12-$AF12))+N($E12)*IF($AI12-$AH12&lt;1,($AH12&gt;Lists!C$22)*($AH12&lt;=Lists!C$21),MAX(0,MIN(Lists!C$21,$AI12)-MAX(Lists!C$22,$AH12))/($AI12-$AH12))+N($F12)*IF($AK12-$AJ12&lt;1,($AJ12&gt;Lists!C$22)*($AJ12&lt;=Lists!C$21),MAX(0,MIN(Lists!C$21,$AK12)-MAX(Lists!C$22,$AJ12))/($AK12-$AJ12))+N($G12)*IF($AM12-$AL12&lt;1,($AL12&gt;Lists!C$22)*($AL12&lt;=Lists!C$21),MAX(0,MIN(Lists!C$21,$AM12)-MAX(Lists!C$22,$AL12))/($AM12-$AL12))))))))</f>
        <v>1714.28571428571</v>
      </c>
      <c r="N12" s="53" t="n">
        <f aca="false">IF($H12=0,0,IF($AP12="X",0,IF($AP12="S",$H12/$AO12*(MIN($AO12,MAX(0,INT((Lists!D$21-N($J12))/7)+1))-MIN($AO12,MAX(0,INT((Lists!D$22-N($J12))/7)+1))),IF($AP12="D",$H12*MAX(0,MIN(Lists!D$21,N($J12)+$AO12)-MAX(Lists!D$22,N($J12)))/$AO12,IF($AP12="M",$H12/$AO12*(IF(Lists!D$21&lt;$J12,0,MIN($AO12,(((YEAR(Lists!D$21)-YEAR($J12))*12+MONTH(Lists!D$21)-MONTH($J12))-(EDATE($J12,((YEAR(Lists!D$21)-YEAR($J12))*12+MONTH(Lists!D$21)-MONTH($J12)))&gt;Lists!D$21)+1)))-IF(Lists!D$22&lt;$J12,0,MIN($AO12,(((YEAR(Lists!D$22)-YEAR($J12))*12+MONTH(Lists!D$22)-MONTH($J12))-(EDATE($J12,((YEAR(Lists!D$22)-YEAR($J12))*12+MONTH(Lists!D$22)-MONTH($J12)))&gt;Lists!D$22)+1)))),IF($AP12="F",IF(N($K12)&lt;=0,0,MIN(MAX(0,$H12),N($K12)*IF(Lists!D$21&lt;$J12,0,(((YEAR(Lists!D$21)-YEAR($J12))*12+MONTH(Lists!D$21)-MONTH($J12))-(EDATE($J12,((YEAR(Lists!D$21)-YEAR($J12))*12+MONTH(Lists!D$21)-MONTH($J12)))&gt;Lists!D$21)+1)))-MIN(MAX(0,$H12),N($K12)*IF(Lists!D$22&lt;$J12,0,(((YEAR(Lists!D$22)-YEAR($J12))*12+MONTH(Lists!D$22)-MONTH($J12))-(EDATE($J12,((YEAR(Lists!D$22)-YEAR($J12))*12+MONTH(Lists!D$22)-MONTH($J12)))&gt;Lists!D$22)+1)))),N($C12)*IF($AE12-$AD12&lt;1,($AD12&gt;Lists!D$22)*($AD12&lt;=Lists!D$21),MAX(0,MIN(Lists!D$21,$AE12)-MAX(Lists!D$22,$AD12))/($AE12-$AD12))+N($D12)*IF($AG12-$AF12&lt;1,($AF12&gt;Lists!D$22)*($AF12&lt;=Lists!D$21),MAX(0,MIN(Lists!D$21,$AG12)-MAX(Lists!D$22,$AF12))/($AG12-$AF12))+N($E12)*IF($AI12-$AH12&lt;1,($AH12&gt;Lists!D$22)*($AH12&lt;=Lists!D$21),MAX(0,MIN(Lists!D$21,$AI12)-MAX(Lists!D$22,$AH12))/($AI12-$AH12))+N($F12)*IF($AK12-$AJ12&lt;1,($AJ12&gt;Lists!D$22)*($AJ12&lt;=Lists!D$21),MAX(0,MIN(Lists!D$21,$AK12)-MAX(Lists!D$22,$AJ12))/($AK12-$AJ12))+N($G12)*IF($AM12-$AL12&lt;1,($AL12&gt;Lists!D$22)*($AL12&lt;=Lists!D$21),MAX(0,MIN(Lists!D$21,$AM12)-MAX(Lists!D$22,$AL12))/($AM12-$AL12))))))))</f>
        <v>3600</v>
      </c>
      <c r="O12" s="53" t="n">
        <f aca="false">IF($H12=0,0,IF($AP12="X",0,IF($AP12="S",$H12/$AO12*(MIN($AO12,MAX(0,INT((Lists!E$21-N($J12))/7)+1))-MIN($AO12,MAX(0,INT((Lists!E$22-N($J12))/7)+1))),IF($AP12="D",$H12*MAX(0,MIN(Lists!E$21,N($J12)+$AO12)-MAX(Lists!E$22,N($J12)))/$AO12,IF($AP12="M",$H12/$AO12*(IF(Lists!E$21&lt;$J12,0,MIN($AO12,(((YEAR(Lists!E$21)-YEAR($J12))*12+MONTH(Lists!E$21)-MONTH($J12))-(EDATE($J12,((YEAR(Lists!E$21)-YEAR($J12))*12+MONTH(Lists!E$21)-MONTH($J12)))&gt;Lists!E$21)+1)))-IF(Lists!E$22&lt;$J12,0,MIN($AO12,(((YEAR(Lists!E$22)-YEAR($J12))*12+MONTH(Lists!E$22)-MONTH($J12))-(EDATE($J12,((YEAR(Lists!E$22)-YEAR($J12))*12+MONTH(Lists!E$22)-MONTH($J12)))&gt;Lists!E$22)+1)))),IF($AP12="F",IF(N($K12)&lt;=0,0,MIN(MAX(0,$H12),N($K12)*IF(Lists!E$21&lt;$J12,0,(((YEAR(Lists!E$21)-YEAR($J12))*12+MONTH(Lists!E$21)-MONTH($J12))-(EDATE($J12,((YEAR(Lists!E$21)-YEAR($J12))*12+MONTH(Lists!E$21)-MONTH($J12)))&gt;Lists!E$21)+1)))-MIN(MAX(0,$H12),N($K12)*IF(Lists!E$22&lt;$J12,0,(((YEAR(Lists!E$22)-YEAR($J12))*12+MONTH(Lists!E$22)-MONTH($J12))-(EDATE($J12,((YEAR(Lists!E$22)-YEAR($J12))*12+MONTH(Lists!E$22)-MONTH($J12)))&gt;Lists!E$22)+1)))),N($C12)*IF($AE12-$AD12&lt;1,($AD12&gt;Lists!E$22)*($AD12&lt;=Lists!E$21),MAX(0,MIN(Lists!E$21,$AE12)-MAX(Lists!E$22,$AD12))/($AE12-$AD12))+N($D12)*IF($AG12-$AF12&lt;1,($AF12&gt;Lists!E$22)*($AF12&lt;=Lists!E$21),MAX(0,MIN(Lists!E$21,$AG12)-MAX(Lists!E$22,$AF12))/($AG12-$AF12))+N($E12)*IF($AI12-$AH12&lt;1,($AH12&gt;Lists!E$22)*($AH12&lt;=Lists!E$21),MAX(0,MIN(Lists!E$21,$AI12)-MAX(Lists!E$22,$AH12))/($AI12-$AH12))+N($F12)*IF($AK12-$AJ12&lt;1,($AJ12&gt;Lists!E$22)*($AJ12&lt;=Lists!E$21),MAX(0,MIN(Lists!E$21,$AK12)-MAX(Lists!E$22,$AJ12))/($AK12-$AJ12))+N($G12)*IF($AM12-$AL12&lt;1,($AL12&gt;Lists!E$22)*($AL12&lt;=Lists!E$21),MAX(0,MIN(Lists!E$21,$AM12)-MAX(Lists!E$22,$AL12))/($AM12-$AL12))))))))</f>
        <v>7200</v>
      </c>
      <c r="P12" s="53" t="n">
        <f aca="false">IF($H12=0,0,IF($AP12="X",0,IF($AP12="S",$H12/$AO12*(MIN($AO12,MAX(0,INT((Lists!F$21-N($J12))/7)+1))-MIN($AO12,MAX(0,INT((Lists!F$22-N($J12))/7)+1))),IF($AP12="D",$H12*MAX(0,MIN(Lists!F$21,N($J12)+$AO12)-MAX(Lists!F$22,N($J12)))/$AO12,IF($AP12="M",$H12/$AO12*(IF(Lists!F$21&lt;$J12,0,MIN($AO12,(((YEAR(Lists!F$21)-YEAR($J12))*12+MONTH(Lists!F$21)-MONTH($J12))-(EDATE($J12,((YEAR(Lists!F$21)-YEAR($J12))*12+MONTH(Lists!F$21)-MONTH($J12)))&gt;Lists!F$21)+1)))-IF(Lists!F$22&lt;$J12,0,MIN($AO12,(((YEAR(Lists!F$22)-YEAR($J12))*12+MONTH(Lists!F$22)-MONTH($J12))-(EDATE($J12,((YEAR(Lists!F$22)-YEAR($J12))*12+MONTH(Lists!F$22)-MONTH($J12)))&gt;Lists!F$22)+1)))),IF($AP12="F",IF(N($K12)&lt;=0,0,MIN(MAX(0,$H12),N($K12)*IF(Lists!F$21&lt;$J12,0,(((YEAR(Lists!F$21)-YEAR($J12))*12+MONTH(Lists!F$21)-MONTH($J12))-(EDATE($J12,((YEAR(Lists!F$21)-YEAR($J12))*12+MONTH(Lists!F$21)-MONTH($J12)))&gt;Lists!F$21)+1)))-MIN(MAX(0,$H12),N($K12)*IF(Lists!F$22&lt;$J12,0,(((YEAR(Lists!F$22)-YEAR($J12))*12+MONTH(Lists!F$22)-MONTH($J12))-(EDATE($J12,((YEAR(Lists!F$22)-YEAR($J12))*12+MONTH(Lists!F$22)-MONTH($J12)))&gt;Lists!F$22)+1)))),N($C12)*IF($AE12-$AD12&lt;1,($AD12&gt;Lists!F$22)*($AD12&lt;=Lists!F$21),MAX(0,MIN(Lists!F$21,$AE12)-MAX(Lists!F$22,$AD12))/($AE12-$AD12))+N($D12)*IF($AG12-$AF12&lt;1,($AF12&gt;Lists!F$22)*($AF12&lt;=Lists!F$21),MAX(0,MIN(Lists!F$21,$AG12)-MAX(Lists!F$22,$AF12))/($AG12-$AF12))+N($E12)*IF($AI12-$AH12&lt;1,($AH12&gt;Lists!F$22)*($AH12&lt;=Lists!F$21),MAX(0,MIN(Lists!F$21,$AI12)-MAX(Lists!F$22,$AH12))/($AI12-$AH12))+N($F12)*IF($AK12-$AJ12&lt;1,($AJ12&gt;Lists!F$22)*($AJ12&lt;=Lists!F$21),MAX(0,MIN(Lists!F$21,$AK12)-MAX(Lists!F$22,$AJ12))/($AK12-$AJ12))+N($G12)*IF($AM12-$AL12&lt;1,($AL12&gt;Lists!F$22)*($AL12&lt;=Lists!F$21),MAX(0,MIN(Lists!F$21,$AM12)-MAX(Lists!F$22,$AL12))/($AM12-$AL12))))))))</f>
        <v>7200</v>
      </c>
      <c r="Q12" s="53" t="n">
        <f aca="false">IF($H12=0,0,IF($AP12="X",0,IF($AP12="S",$H12/$AO12*(MIN($AO12,MAX(0,INT((Lists!G$21-N($J12))/7)+1))-MIN($AO12,MAX(0,INT((Lists!G$22-N($J12))/7)+1))),IF($AP12="D",$H12*MAX(0,MIN(Lists!G$21,N($J12)+$AO12)-MAX(Lists!G$22,N($J12)))/$AO12,IF($AP12="M",$H12/$AO12*(IF(Lists!G$21&lt;$J12,0,MIN($AO12,(((YEAR(Lists!G$21)-YEAR($J12))*12+MONTH(Lists!G$21)-MONTH($J12))-(EDATE($J12,((YEAR(Lists!G$21)-YEAR($J12))*12+MONTH(Lists!G$21)-MONTH($J12)))&gt;Lists!G$21)+1)))-IF(Lists!G$22&lt;$J12,0,MIN($AO12,(((YEAR(Lists!G$22)-YEAR($J12))*12+MONTH(Lists!G$22)-MONTH($J12))-(EDATE($J12,((YEAR(Lists!G$22)-YEAR($J12))*12+MONTH(Lists!G$22)-MONTH($J12)))&gt;Lists!G$22)+1)))),IF($AP12="F",IF(N($K12)&lt;=0,0,MIN(MAX(0,$H12),N($K12)*IF(Lists!G$21&lt;$J12,0,(((YEAR(Lists!G$21)-YEAR($J12))*12+MONTH(Lists!G$21)-MONTH($J12))-(EDATE($J12,((YEAR(Lists!G$21)-YEAR($J12))*12+MONTH(Lists!G$21)-MONTH($J12)))&gt;Lists!G$21)+1)))-MIN(MAX(0,$H12),N($K12)*IF(Lists!G$22&lt;$J12,0,(((YEAR(Lists!G$22)-YEAR($J12))*12+MONTH(Lists!G$22)-MONTH($J12))-(EDATE($J12,((YEAR(Lists!G$22)-YEAR($J12))*12+MONTH(Lists!G$22)-MONTH($J12)))&gt;Lists!G$22)+1)))),N($C12)*IF($AE12-$AD12&lt;1,($AD12&gt;Lists!G$22)*($AD12&lt;=Lists!G$21),MAX(0,MIN(Lists!G$21,$AE12)-MAX(Lists!G$22,$AD12))/($AE12-$AD12))+N($D12)*IF($AG12-$AF12&lt;1,($AF12&gt;Lists!G$22)*($AF12&lt;=Lists!G$21),MAX(0,MIN(Lists!G$21,$AG12)-MAX(Lists!G$22,$AF12))/($AG12-$AF12))+N($E12)*IF($AI12-$AH12&lt;1,($AH12&gt;Lists!G$22)*($AH12&lt;=Lists!G$21),MAX(0,MIN(Lists!G$21,$AI12)-MAX(Lists!G$22,$AH12))/($AI12-$AH12))+N($F12)*IF($AK12-$AJ12&lt;1,($AJ12&gt;Lists!G$22)*($AJ12&lt;=Lists!G$21),MAX(0,MIN(Lists!G$21,$AK12)-MAX(Lists!G$22,$AJ12))/($AK12-$AJ12))+N($G12)*IF($AM12-$AL12&lt;1,($AL12&gt;Lists!G$22)*($AL12&lt;=Lists!G$21),MAX(0,MIN(Lists!G$21,$AM12)-MAX(Lists!G$22,$AL12))/($AM12-$AL12))))))))</f>
        <v>5485.71428571429</v>
      </c>
      <c r="R12" s="53" t="n">
        <f aca="false">IF($H12=0,0,IF($AP12="X",0,IF($AP12="S",$H12/$AO12*(MIN($AO12,MAX(0,INT((Lists!H$21-N($J12))/7)+1))-MIN($AO12,MAX(0,INT((Lists!H$22-N($J12))/7)+1))),IF($AP12="D",$H12*MAX(0,MIN(Lists!H$21,N($J12)+$AO12)-MAX(Lists!H$22,N($J12)))/$AO12,IF($AP12="M",$H12/$AO12*(IF(Lists!H$21&lt;$J12,0,MIN($AO12,(((YEAR(Lists!H$21)-YEAR($J12))*12+MONTH(Lists!H$21)-MONTH($J12))-(EDATE($J12,((YEAR(Lists!H$21)-YEAR($J12))*12+MONTH(Lists!H$21)-MONTH($J12)))&gt;Lists!H$21)+1)))-IF(Lists!H$22&lt;$J12,0,MIN($AO12,(((YEAR(Lists!H$22)-YEAR($J12))*12+MONTH(Lists!H$22)-MONTH($J12))-(EDATE($J12,((YEAR(Lists!H$22)-YEAR($J12))*12+MONTH(Lists!H$22)-MONTH($J12)))&gt;Lists!H$22)+1)))),IF($AP12="F",IF(N($K12)&lt;=0,0,MIN(MAX(0,$H12),N($K12)*IF(Lists!H$21&lt;$J12,0,(((YEAR(Lists!H$21)-YEAR($J12))*12+MONTH(Lists!H$21)-MONTH($J12))-(EDATE($J12,((YEAR(Lists!H$21)-YEAR($J12))*12+MONTH(Lists!H$21)-MONTH($J12)))&gt;Lists!H$21)+1)))-MIN(MAX(0,$H12),N($K12)*IF(Lists!H$22&lt;$J12,0,(((YEAR(Lists!H$22)-YEAR($J12))*12+MONTH(Lists!H$22)-MONTH($J12))-(EDATE($J12,((YEAR(Lists!H$22)-YEAR($J12))*12+MONTH(Lists!H$22)-MONTH($J12)))&gt;Lists!H$22)+1)))),N($C12)*IF($AE12-$AD12&lt;1,($AD12&gt;Lists!H$22)*($AD12&lt;=Lists!H$21),MAX(0,MIN(Lists!H$21,$AE12)-MAX(Lists!H$22,$AD12))/($AE12-$AD12))+N($D12)*IF($AG12-$AF12&lt;1,($AF12&gt;Lists!H$22)*($AF12&lt;=Lists!H$21),MAX(0,MIN(Lists!H$21,$AG12)-MAX(Lists!H$22,$AF12))/($AG12-$AF12))+N($E12)*IF($AI12-$AH12&lt;1,($AH12&gt;Lists!H$22)*($AH12&lt;=Lists!H$21),MAX(0,MIN(Lists!H$21,$AI12)-MAX(Lists!H$22,$AH12))/($AI12-$AH12))+N($F12)*IF($AK12-$AJ12&lt;1,($AJ12&gt;Lists!H$22)*($AJ12&lt;=Lists!H$21),MAX(0,MIN(Lists!H$21,$AK12)-MAX(Lists!H$22,$AJ12))/($AK12-$AJ12))+N($G12)*IF($AM12-$AL12&lt;1,($AL12&gt;Lists!H$22)*($AL12&lt;=Lists!H$21),MAX(0,MIN(Lists!H$21,$AM12)-MAX(Lists!H$22,$AL12))/($AM12-$AL12))))))))</f>
        <v>4200</v>
      </c>
      <c r="S12" s="53" t="n">
        <f aca="false">IF($H12=0,0,IF($AP12="X",0,IF($AP12="S",$H12/$AO12*(MIN($AO12,MAX(0,INT((Lists!I$21-N($J12))/7)+1))-MIN($AO12,MAX(0,INT((Lists!I$22-N($J12))/7)+1))),IF($AP12="D",$H12*MAX(0,MIN(Lists!I$21,N($J12)+$AO12)-MAX(Lists!I$22,N($J12)))/$AO12,IF($AP12="M",$H12/$AO12*(IF(Lists!I$21&lt;$J12,0,MIN($AO12,(((YEAR(Lists!I$21)-YEAR($J12))*12+MONTH(Lists!I$21)-MONTH($J12))-(EDATE($J12,((YEAR(Lists!I$21)-YEAR($J12))*12+MONTH(Lists!I$21)-MONTH($J12)))&gt;Lists!I$21)+1)))-IF(Lists!I$22&lt;$J12,0,MIN($AO12,(((YEAR(Lists!I$22)-YEAR($J12))*12+MONTH(Lists!I$22)-MONTH($J12))-(EDATE($J12,((YEAR(Lists!I$22)-YEAR($J12))*12+MONTH(Lists!I$22)-MONTH($J12)))&gt;Lists!I$22)+1)))),IF($AP12="F",IF(N($K12)&lt;=0,0,MIN(MAX(0,$H12),N($K12)*IF(Lists!I$21&lt;$J12,0,(((YEAR(Lists!I$21)-YEAR($J12))*12+MONTH(Lists!I$21)-MONTH($J12))-(EDATE($J12,((YEAR(Lists!I$21)-YEAR($J12))*12+MONTH(Lists!I$21)-MONTH($J12)))&gt;Lists!I$21)+1)))-MIN(MAX(0,$H12),N($K12)*IF(Lists!I$22&lt;$J12,0,(((YEAR(Lists!I$22)-YEAR($J12))*12+MONTH(Lists!I$22)-MONTH($J12))-(EDATE($J12,((YEAR(Lists!I$22)-YEAR($J12))*12+MONTH(Lists!I$22)-MONTH($J12)))&gt;Lists!I$22)+1)))),N($C12)*IF($AE12-$AD12&lt;1,($AD12&gt;Lists!I$22)*($AD12&lt;=Lists!I$21),MAX(0,MIN(Lists!I$21,$AE12)-MAX(Lists!I$22,$AD12))/($AE12-$AD12))+N($D12)*IF($AG12-$AF12&lt;1,($AF12&gt;Lists!I$22)*($AF12&lt;=Lists!I$21),MAX(0,MIN(Lists!I$21,$AG12)-MAX(Lists!I$22,$AF12))/($AG12-$AF12))+N($E12)*IF($AI12-$AH12&lt;1,($AH12&gt;Lists!I$22)*($AH12&lt;=Lists!I$21),MAX(0,MIN(Lists!I$21,$AI12)-MAX(Lists!I$22,$AH12))/($AI12-$AH12))+N($F12)*IF($AK12-$AJ12&lt;1,($AJ12&gt;Lists!I$22)*($AJ12&lt;=Lists!I$21),MAX(0,MIN(Lists!I$21,$AK12)-MAX(Lists!I$22,$AJ12))/($AK12-$AJ12))+N($G12)*IF($AM12-$AL12&lt;1,($AL12&gt;Lists!I$22)*($AL12&lt;=Lists!I$21),MAX(0,MIN(Lists!I$21,$AM12)-MAX(Lists!I$22,$AL12))/($AM12-$AL12))))))))</f>
        <v>600</v>
      </c>
      <c r="T12" s="53" t="n">
        <f aca="false">IF($H12=0,0,IF($AP12="X",0,IF($AP12="S",$H12/$AO12*(MIN($AO12,MAX(0,INT((Lists!J$21-N($J12))/7)+1))-MIN($AO12,MAX(0,INT((Lists!J$22-N($J12))/7)+1))),IF($AP12="D",$H12*MAX(0,MIN(Lists!J$21,N($J12)+$AO12)-MAX(Lists!J$22,N($J12)))/$AO12,IF($AP12="M",$H12/$AO12*(IF(Lists!J$21&lt;$J12,0,MIN($AO12,(((YEAR(Lists!J$21)-YEAR($J12))*12+MONTH(Lists!J$21)-MONTH($J12))-(EDATE($J12,((YEAR(Lists!J$21)-YEAR($J12))*12+MONTH(Lists!J$21)-MONTH($J12)))&gt;Lists!J$21)+1)))-IF(Lists!J$22&lt;$J12,0,MIN($AO12,(((YEAR(Lists!J$22)-YEAR($J12))*12+MONTH(Lists!J$22)-MONTH($J12))-(EDATE($J12,((YEAR(Lists!J$22)-YEAR($J12))*12+MONTH(Lists!J$22)-MONTH($J12)))&gt;Lists!J$22)+1)))),IF($AP12="F",IF(N($K12)&lt;=0,0,MIN(MAX(0,$H12),N($K12)*IF(Lists!J$21&lt;$J12,0,(((YEAR(Lists!J$21)-YEAR($J12))*12+MONTH(Lists!J$21)-MONTH($J12))-(EDATE($J12,((YEAR(Lists!J$21)-YEAR($J12))*12+MONTH(Lists!J$21)-MONTH($J12)))&gt;Lists!J$21)+1)))-MIN(MAX(0,$H12),N($K12)*IF(Lists!J$22&lt;$J12,0,(((YEAR(Lists!J$22)-YEAR($J12))*12+MONTH(Lists!J$22)-MONTH($J12))-(EDATE($J12,((YEAR(Lists!J$22)-YEAR($J12))*12+MONTH(Lists!J$22)-MONTH($J12)))&gt;Lists!J$22)+1)))),N($C12)*IF($AE12-$AD12&lt;1,($AD12&gt;Lists!J$22)*($AD12&lt;=Lists!J$21),MAX(0,MIN(Lists!J$21,$AE12)-MAX(Lists!J$22,$AD12))/($AE12-$AD12))+N($D12)*IF($AG12-$AF12&lt;1,($AF12&gt;Lists!J$22)*($AF12&lt;=Lists!J$21),MAX(0,MIN(Lists!J$21,$AG12)-MAX(Lists!J$22,$AF12))/($AG12-$AF12))+N($E12)*IF($AI12-$AH12&lt;1,($AH12&gt;Lists!J$22)*($AH12&lt;=Lists!J$21),MAX(0,MIN(Lists!J$21,$AI12)-MAX(Lists!J$22,$AH12))/($AI12-$AH12))+N($F12)*IF($AK12-$AJ12&lt;1,($AJ12&gt;Lists!J$22)*($AJ12&lt;=Lists!J$21),MAX(0,MIN(Lists!J$21,$AK12)-MAX(Lists!J$22,$AJ12))/($AK12-$AJ12))+N($G12)*IF($AM12-$AL12&lt;1,($AL12&gt;Lists!J$22)*($AL12&lt;=Lists!J$21),MAX(0,MIN(Lists!J$21,$AM12)-MAX(Lists!J$22,$AL12))/($AM12-$AL12))))))))</f>
        <v>0</v>
      </c>
      <c r="U12" s="53" t="n">
        <f aca="false">IF($H12=0,0,IF($AP12="X",0,IF($AP12="S",$H12/$AO12*(MIN($AO12,MAX(0,INT((Lists!K$21-N($J12))/7)+1))-MIN($AO12,MAX(0,INT((Lists!K$22-N($J12))/7)+1))),IF($AP12="D",$H12*MAX(0,MIN(Lists!K$21,N($J12)+$AO12)-MAX(Lists!K$22,N($J12)))/$AO12,IF($AP12="M",$H12/$AO12*(IF(Lists!K$21&lt;$J12,0,MIN($AO12,(((YEAR(Lists!K$21)-YEAR($J12))*12+MONTH(Lists!K$21)-MONTH($J12))-(EDATE($J12,((YEAR(Lists!K$21)-YEAR($J12))*12+MONTH(Lists!K$21)-MONTH($J12)))&gt;Lists!K$21)+1)))-IF(Lists!K$22&lt;$J12,0,MIN($AO12,(((YEAR(Lists!K$22)-YEAR($J12))*12+MONTH(Lists!K$22)-MONTH($J12))-(EDATE($J12,((YEAR(Lists!K$22)-YEAR($J12))*12+MONTH(Lists!K$22)-MONTH($J12)))&gt;Lists!K$22)+1)))),IF($AP12="F",IF(N($K12)&lt;=0,0,MIN(MAX(0,$H12),N($K12)*IF(Lists!K$21&lt;$J12,0,(((YEAR(Lists!K$21)-YEAR($J12))*12+MONTH(Lists!K$21)-MONTH($J12))-(EDATE($J12,((YEAR(Lists!K$21)-YEAR($J12))*12+MONTH(Lists!K$21)-MONTH($J12)))&gt;Lists!K$21)+1)))-MIN(MAX(0,$H12),N($K12)*IF(Lists!K$22&lt;$J12,0,(((YEAR(Lists!K$22)-YEAR($J12))*12+MONTH(Lists!K$22)-MONTH($J12))-(EDATE($J12,((YEAR(Lists!K$22)-YEAR($J12))*12+MONTH(Lists!K$22)-MONTH($J12)))&gt;Lists!K$22)+1)))),N($C12)*IF($AE12-$AD12&lt;1,($AD12&gt;Lists!K$22)*($AD12&lt;=Lists!K$21),MAX(0,MIN(Lists!K$21,$AE12)-MAX(Lists!K$22,$AD12))/($AE12-$AD12))+N($D12)*IF($AG12-$AF12&lt;1,($AF12&gt;Lists!K$22)*($AF12&lt;=Lists!K$21),MAX(0,MIN(Lists!K$21,$AG12)-MAX(Lists!K$22,$AF12))/($AG12-$AF12))+N($E12)*IF($AI12-$AH12&lt;1,($AH12&gt;Lists!K$22)*($AH12&lt;=Lists!K$21),MAX(0,MIN(Lists!K$21,$AI12)-MAX(Lists!K$22,$AH12))/($AI12-$AH12))+N($F12)*IF($AK12-$AJ12&lt;1,($AJ12&gt;Lists!K$22)*($AJ12&lt;=Lists!K$21),MAX(0,MIN(Lists!K$21,$AK12)-MAX(Lists!K$22,$AJ12))/($AK12-$AJ12))+N($G12)*IF($AM12-$AL12&lt;1,($AL12&gt;Lists!K$22)*($AL12&lt;=Lists!K$21),MAX(0,MIN(Lists!K$21,$AM12)-MAX(Lists!K$22,$AL12))/($AM12-$AL12))))))))</f>
        <v>0</v>
      </c>
      <c r="V12" s="53" t="n">
        <f aca="false">IF($H12=0,0,IF($AP12="X",0,IF($AP12="S",$H12/$AO12*(MIN($AO12,MAX(0,INT((Lists!L$21-N($J12))/7)+1))-MIN($AO12,MAX(0,INT((Lists!L$22-N($J12))/7)+1))),IF($AP12="D",$H12*MAX(0,MIN(Lists!L$21,N($J12)+$AO12)-MAX(Lists!L$22,N($J12)))/$AO12,IF($AP12="M",$H12/$AO12*(IF(Lists!L$21&lt;$J12,0,MIN($AO12,(((YEAR(Lists!L$21)-YEAR($J12))*12+MONTH(Lists!L$21)-MONTH($J12))-(EDATE($J12,((YEAR(Lists!L$21)-YEAR($J12))*12+MONTH(Lists!L$21)-MONTH($J12)))&gt;Lists!L$21)+1)))-IF(Lists!L$22&lt;$J12,0,MIN($AO12,(((YEAR(Lists!L$22)-YEAR($J12))*12+MONTH(Lists!L$22)-MONTH($J12))-(EDATE($J12,((YEAR(Lists!L$22)-YEAR($J12))*12+MONTH(Lists!L$22)-MONTH($J12)))&gt;Lists!L$22)+1)))),IF($AP12="F",IF(N($K12)&lt;=0,0,MIN(MAX(0,$H12),N($K12)*IF(Lists!L$21&lt;$J12,0,(((YEAR(Lists!L$21)-YEAR($J12))*12+MONTH(Lists!L$21)-MONTH($J12))-(EDATE($J12,((YEAR(Lists!L$21)-YEAR($J12))*12+MONTH(Lists!L$21)-MONTH($J12)))&gt;Lists!L$21)+1)))-MIN(MAX(0,$H12),N($K12)*IF(Lists!L$22&lt;$J12,0,(((YEAR(Lists!L$22)-YEAR($J12))*12+MONTH(Lists!L$22)-MONTH($J12))-(EDATE($J12,((YEAR(Lists!L$22)-YEAR($J12))*12+MONTH(Lists!L$22)-MONTH($J12)))&gt;Lists!L$22)+1)))),N($C12)*IF($AE12-$AD12&lt;1,($AD12&gt;Lists!L$22)*($AD12&lt;=Lists!L$21),MAX(0,MIN(Lists!L$21,$AE12)-MAX(Lists!L$22,$AD12))/($AE12-$AD12))+N($D12)*IF($AG12-$AF12&lt;1,($AF12&gt;Lists!L$22)*($AF12&lt;=Lists!L$21),MAX(0,MIN(Lists!L$21,$AG12)-MAX(Lists!L$22,$AF12))/($AG12-$AF12))+N($E12)*IF($AI12-$AH12&lt;1,($AH12&gt;Lists!L$22)*($AH12&lt;=Lists!L$21),MAX(0,MIN(Lists!L$21,$AI12)-MAX(Lists!L$22,$AH12))/($AI12-$AH12))+N($F12)*IF($AK12-$AJ12&lt;1,($AJ12&gt;Lists!L$22)*($AJ12&lt;=Lists!L$21),MAX(0,MIN(Lists!L$21,$AK12)-MAX(Lists!L$22,$AJ12))/($AK12-$AJ12))+N($G12)*IF($AM12-$AL12&lt;1,($AL12&gt;Lists!L$22)*($AL12&lt;=Lists!L$21),MAX(0,MIN(Lists!L$21,$AM12)-MAX(Lists!L$22,$AL12))/($AM12-$AL12))))))))</f>
        <v>0</v>
      </c>
      <c r="W12" s="53" t="n">
        <f aca="false">IF($H12=0,0,IF($AP12="X",0,IF($AP12="S",$H12/$AO12*(MIN($AO12,MAX(0,INT((Lists!M$21-N($J12))/7)+1))-MIN($AO12,MAX(0,INT((Lists!M$22-N($J12))/7)+1))),IF($AP12="D",$H12*MAX(0,MIN(Lists!M$21,N($J12)+$AO12)-MAX(Lists!M$22,N($J12)))/$AO12,IF($AP12="M",$H12/$AO12*(IF(Lists!M$21&lt;$J12,0,MIN($AO12,(((YEAR(Lists!M$21)-YEAR($J12))*12+MONTH(Lists!M$21)-MONTH($J12))-(EDATE($J12,((YEAR(Lists!M$21)-YEAR($J12))*12+MONTH(Lists!M$21)-MONTH($J12)))&gt;Lists!M$21)+1)))-IF(Lists!M$22&lt;$J12,0,MIN($AO12,(((YEAR(Lists!M$22)-YEAR($J12))*12+MONTH(Lists!M$22)-MONTH($J12))-(EDATE($J12,((YEAR(Lists!M$22)-YEAR($J12))*12+MONTH(Lists!M$22)-MONTH($J12)))&gt;Lists!M$22)+1)))),IF($AP12="F",IF(N($K12)&lt;=0,0,MIN(MAX(0,$H12),N($K12)*IF(Lists!M$21&lt;$J12,0,(((YEAR(Lists!M$21)-YEAR($J12))*12+MONTH(Lists!M$21)-MONTH($J12))-(EDATE($J12,((YEAR(Lists!M$21)-YEAR($J12))*12+MONTH(Lists!M$21)-MONTH($J12)))&gt;Lists!M$21)+1)))-MIN(MAX(0,$H12),N($K12)*IF(Lists!M$22&lt;$J12,0,(((YEAR(Lists!M$22)-YEAR($J12))*12+MONTH(Lists!M$22)-MONTH($J12))-(EDATE($J12,((YEAR(Lists!M$22)-YEAR($J12))*12+MONTH(Lists!M$22)-MONTH($J12)))&gt;Lists!M$22)+1)))),N($C12)*IF($AE12-$AD12&lt;1,($AD12&gt;Lists!M$22)*($AD12&lt;=Lists!M$21),MAX(0,MIN(Lists!M$21,$AE12)-MAX(Lists!M$22,$AD12))/($AE12-$AD12))+N($D12)*IF($AG12-$AF12&lt;1,($AF12&gt;Lists!M$22)*($AF12&lt;=Lists!M$21),MAX(0,MIN(Lists!M$21,$AG12)-MAX(Lists!M$22,$AF12))/($AG12-$AF12))+N($E12)*IF($AI12-$AH12&lt;1,($AH12&gt;Lists!M$22)*($AH12&lt;=Lists!M$21),MAX(0,MIN(Lists!M$21,$AI12)-MAX(Lists!M$22,$AH12))/($AI12-$AH12))+N($F12)*IF($AK12-$AJ12&lt;1,($AJ12&gt;Lists!M$22)*($AJ12&lt;=Lists!M$21),MAX(0,MIN(Lists!M$21,$AK12)-MAX(Lists!M$22,$AJ12))/($AK12-$AJ12))+N($G12)*IF($AM12-$AL12&lt;1,($AL12&gt;Lists!M$22)*($AL12&lt;=Lists!M$21),MAX(0,MIN(Lists!M$21,$AM12)-MAX(Lists!M$22,$AL12))/($AM12-$AL12))))))))</f>
        <v>0</v>
      </c>
      <c r="X12" s="53" t="n">
        <f aca="false">IF($H12=0,0,IF($AP12="X",0,IF($AP12="S",$H12/$AO12*(MIN($AO12,MAX(0,INT((Lists!N$21-N($J12))/7)+1))-MIN($AO12,MAX(0,INT((Lists!N$22-N($J12))/7)+1))),IF($AP12="D",$H12*MAX(0,MIN(Lists!N$21,N($J12)+$AO12)-MAX(Lists!N$22,N($J12)))/$AO12,IF($AP12="M",$H12/$AO12*(IF(Lists!N$21&lt;$J12,0,MIN($AO12,(((YEAR(Lists!N$21)-YEAR($J12))*12+MONTH(Lists!N$21)-MONTH($J12))-(EDATE($J12,((YEAR(Lists!N$21)-YEAR($J12))*12+MONTH(Lists!N$21)-MONTH($J12)))&gt;Lists!N$21)+1)))-IF(Lists!N$22&lt;$J12,0,MIN($AO12,(((YEAR(Lists!N$22)-YEAR($J12))*12+MONTH(Lists!N$22)-MONTH($J12))-(EDATE($J12,((YEAR(Lists!N$22)-YEAR($J12))*12+MONTH(Lists!N$22)-MONTH($J12)))&gt;Lists!N$22)+1)))),IF($AP12="F",IF(N($K12)&lt;=0,0,MIN(MAX(0,$H12),N($K12)*IF(Lists!N$21&lt;$J12,0,(((YEAR(Lists!N$21)-YEAR($J12))*12+MONTH(Lists!N$21)-MONTH($J12))-(EDATE($J12,((YEAR(Lists!N$21)-YEAR($J12))*12+MONTH(Lists!N$21)-MONTH($J12)))&gt;Lists!N$21)+1)))-MIN(MAX(0,$H12),N($K12)*IF(Lists!N$22&lt;$J12,0,(((YEAR(Lists!N$22)-YEAR($J12))*12+MONTH(Lists!N$22)-MONTH($J12))-(EDATE($J12,((YEAR(Lists!N$22)-YEAR($J12))*12+MONTH(Lists!N$22)-MONTH($J12)))&gt;Lists!N$22)+1)))),N($C12)*IF($AE12-$AD12&lt;1,($AD12&gt;Lists!N$22)*($AD12&lt;=Lists!N$21),MAX(0,MIN(Lists!N$21,$AE12)-MAX(Lists!N$22,$AD12))/($AE12-$AD12))+N($D12)*IF($AG12-$AF12&lt;1,($AF12&gt;Lists!N$22)*($AF12&lt;=Lists!N$21),MAX(0,MIN(Lists!N$21,$AG12)-MAX(Lists!N$22,$AF12))/($AG12-$AF12))+N($E12)*IF($AI12-$AH12&lt;1,($AH12&gt;Lists!N$22)*($AH12&lt;=Lists!N$21),MAX(0,MIN(Lists!N$21,$AI12)-MAX(Lists!N$22,$AH12))/($AI12-$AH12))+N($F12)*IF($AK12-$AJ12&lt;1,($AJ12&gt;Lists!N$22)*($AJ12&lt;=Lists!N$21),MAX(0,MIN(Lists!N$21,$AK12)-MAX(Lists!N$22,$AJ12))/($AK12-$AJ12))+N($G12)*IF($AM12-$AL12&lt;1,($AL12&gt;Lists!N$22)*($AL12&lt;=Lists!N$21),MAX(0,MIN(Lists!N$21,$AM12)-MAX(Lists!N$22,$AL12))/($AM12-$AL12))))))))</f>
        <v>0</v>
      </c>
      <c r="Y12" s="53" t="n">
        <f aca="false">IF($H12=0,0,IF($AP12="X",0,IF($AP12="S",$H12/$AO12*(MIN($AO12,MAX(0,INT((Lists!O$21-N($J12))/7)+1))-MIN($AO12,MAX(0,INT((Lists!O$22-N($J12))/7)+1))),IF($AP12="D",$H12*MAX(0,MIN(Lists!O$21,N($J12)+$AO12)-MAX(Lists!O$22,N($J12)))/$AO12,IF($AP12="M",$H12/$AO12*(IF(Lists!O$21&lt;$J12,0,MIN($AO12,(((YEAR(Lists!O$21)-YEAR($J12))*12+MONTH(Lists!O$21)-MONTH($J12))-(EDATE($J12,((YEAR(Lists!O$21)-YEAR($J12))*12+MONTH(Lists!O$21)-MONTH($J12)))&gt;Lists!O$21)+1)))-IF(Lists!O$22&lt;$J12,0,MIN($AO12,(((YEAR(Lists!O$22)-YEAR($J12))*12+MONTH(Lists!O$22)-MONTH($J12))-(EDATE($J12,((YEAR(Lists!O$22)-YEAR($J12))*12+MONTH(Lists!O$22)-MONTH($J12)))&gt;Lists!O$22)+1)))),IF($AP12="F",IF(N($K12)&lt;=0,0,MIN(MAX(0,$H12),N($K12)*IF(Lists!O$21&lt;$J12,0,(((YEAR(Lists!O$21)-YEAR($J12))*12+MONTH(Lists!O$21)-MONTH($J12))-(EDATE($J12,((YEAR(Lists!O$21)-YEAR($J12))*12+MONTH(Lists!O$21)-MONTH($J12)))&gt;Lists!O$21)+1)))-MIN(MAX(0,$H12),N($K12)*IF(Lists!O$22&lt;$J12,0,(((YEAR(Lists!O$22)-YEAR($J12))*12+MONTH(Lists!O$22)-MONTH($J12))-(EDATE($J12,((YEAR(Lists!O$22)-YEAR($J12))*12+MONTH(Lists!O$22)-MONTH($J12)))&gt;Lists!O$22)+1)))),N($C12)*IF($AE12-$AD12&lt;1,($AD12&gt;Lists!O$22)*($AD12&lt;=Lists!O$21),MAX(0,MIN(Lists!O$21,$AE12)-MAX(Lists!O$22,$AD12))/($AE12-$AD12))+N($D12)*IF($AG12-$AF12&lt;1,($AF12&gt;Lists!O$22)*($AF12&lt;=Lists!O$21),MAX(0,MIN(Lists!O$21,$AG12)-MAX(Lists!O$22,$AF12))/($AG12-$AF12))+N($E12)*IF($AI12-$AH12&lt;1,($AH12&gt;Lists!O$22)*($AH12&lt;=Lists!O$21),MAX(0,MIN(Lists!O$21,$AI12)-MAX(Lists!O$22,$AH12))/($AI12-$AH12))+N($F12)*IF($AK12-$AJ12&lt;1,($AJ12&gt;Lists!O$22)*($AJ12&lt;=Lists!O$21),MAX(0,MIN(Lists!O$21,$AK12)-MAX(Lists!O$22,$AJ12))/($AK12-$AJ12))+N($G12)*IF($AM12-$AL12&lt;1,($AL12&gt;Lists!O$22)*($AL12&lt;=Lists!O$21),MAX(0,MIN(Lists!O$21,$AM12)-MAX(Lists!O$22,$AL12))/($AM12-$AL12))))))))</f>
        <v>0</v>
      </c>
      <c r="Z12" s="46" t="n">
        <f aca="false">SUM(M12:Y12)</f>
        <v>30000</v>
      </c>
      <c r="AA12" s="92" t="n">
        <f aca="false">H12-Z12</f>
        <v>0</v>
      </c>
      <c r="AB12" s="55"/>
      <c r="AC12" s="2"/>
      <c r="AD12" s="93" t="n">
        <f aca="false">Setup!$D$10+MAX(0,$AN12-30)</f>
        <v>46345</v>
      </c>
      <c r="AE12" s="93" t="n">
        <f aca="false">Setup!$D$10+IF($AN12-30&lt;0,MAX(Setup!$D$22,$AN12-0),$AN12-0)</f>
        <v>46375</v>
      </c>
      <c r="AF12" s="93" t="n">
        <f aca="false">Setup!$D$10+MAX(0,$AN12-60)</f>
        <v>46335</v>
      </c>
      <c r="AG12" s="93" t="n">
        <f aca="false">Setup!$D$10+IF($AN12-60&lt;0,MAX(Setup!$D$22,$AN12-31),$AN12-31)</f>
        <v>46363</v>
      </c>
      <c r="AH12" s="93" t="n">
        <f aca="false">Setup!$D$10+MAX(0,$AN12-90)</f>
        <v>46335</v>
      </c>
      <c r="AI12" s="93" t="n">
        <f aca="false">Setup!$D$10+IF($AN12-90&lt;0,MAX(Setup!$D$22,$AN12-61),$AN12-61)</f>
        <v>46363</v>
      </c>
      <c r="AJ12" s="93" t="n">
        <f aca="false">Setup!$D$10+MAX(0,$AN12-120)</f>
        <v>46335</v>
      </c>
      <c r="AK12" s="93" t="n">
        <f aca="false">Setup!$D$10+IF($AN12-120&lt;0,MAX(Setup!$D$22,$AN12-91),$AN12-91)</f>
        <v>46363</v>
      </c>
      <c r="AL12" s="93" t="n">
        <f aca="false">Setup!$D$10</f>
        <v>46335</v>
      </c>
      <c r="AM12" s="93" t="n">
        <f aca="false">IF(AL12=2958465,AL12,Setup!$D$10+Setup!$D$22)</f>
        <v>46363</v>
      </c>
      <c r="AN12" s="94" t="n">
        <f aca="false">IF(N(L12)=0,Setup!$D$21,L12)</f>
        <v>40</v>
      </c>
      <c r="AO12" s="94" t="n">
        <f aca="false">MAX(1,ROUND(N(K12),0))</f>
        <v>1</v>
      </c>
      <c r="AP12" s="95" t="str">
        <f aca="false">IF(I12="On hold","X",IF(N(J12)=0,"A",IF(I12="Specific date","S",IF(I12="Spread over days","D",IF(I12="Monthly on set day","M",IF(I12="Monthly fixed amount","F","A"))))))</f>
        <v>A</v>
      </c>
    </row>
    <row r="13" customFormat="false" ht="15" hidden="false" customHeight="false" outlineLevel="0" collapsed="false">
      <c r="A13" s="87" t="n">
        <v>5</v>
      </c>
      <c r="B13" s="55" t="s">
        <v>425</v>
      </c>
      <c r="C13" s="88" t="n">
        <v>52000</v>
      </c>
      <c r="D13" s="88" t="n">
        <v>28000</v>
      </c>
      <c r="E13" s="88"/>
      <c r="F13" s="88"/>
      <c r="G13" s="88"/>
      <c r="H13" s="89" t="n">
        <f aca="false">SUM(C13:G13)</f>
        <v>80000</v>
      </c>
      <c r="I13" s="58" t="s">
        <v>407</v>
      </c>
      <c r="J13" s="90"/>
      <c r="K13" s="91"/>
      <c r="L13" s="80"/>
      <c r="M13" s="53" t="n">
        <f aca="false">IF($H13=0,0,IF($AP13="X",0,IF($AP13="S",$H13/$AO13*(MIN($AO13,MAX(0,INT((Lists!C$21-N($J13))/7)+1))-MIN($AO13,MAX(0,INT((Lists!C$22-N($J13))/7)+1))),IF($AP13="D",$H13*MAX(0,MIN(Lists!C$21,N($J13)+$AO13)-MAX(Lists!C$22,N($J13)))/$AO13,IF($AP13="M",$H13/$AO13*(IF(Lists!C$21&lt;$J13,0,MIN($AO13,(((YEAR(Lists!C$21)-YEAR($J13))*12+MONTH(Lists!C$21)-MONTH($J13))-(EDATE($J13,((YEAR(Lists!C$21)-YEAR($J13))*12+MONTH(Lists!C$21)-MONTH($J13)))&gt;Lists!C$21)+1)))-IF(Lists!C$22&lt;$J13,0,MIN($AO13,(((YEAR(Lists!C$22)-YEAR($J13))*12+MONTH(Lists!C$22)-MONTH($J13))-(EDATE($J13,((YEAR(Lists!C$22)-YEAR($J13))*12+MONTH(Lists!C$22)-MONTH($J13)))&gt;Lists!C$22)+1)))),IF($AP13="F",IF(N($K13)&lt;=0,0,MIN(MAX(0,$H13),N($K13)*IF(Lists!C$21&lt;$J13,0,(((YEAR(Lists!C$21)-YEAR($J13))*12+MONTH(Lists!C$21)-MONTH($J13))-(EDATE($J13,((YEAR(Lists!C$21)-YEAR($J13))*12+MONTH(Lists!C$21)-MONTH($J13)))&gt;Lists!C$21)+1)))-MIN(MAX(0,$H13),N($K13)*IF(Lists!C$22&lt;$J13,0,(((YEAR(Lists!C$22)-YEAR($J13))*12+MONTH(Lists!C$22)-MONTH($J13))-(EDATE($J13,((YEAR(Lists!C$22)-YEAR($J13))*12+MONTH(Lists!C$22)-MONTH($J13)))&gt;Lists!C$22)+1)))),N($C13)*IF($AE13-$AD13&lt;1,($AD13&gt;Lists!C$22)*($AD13&lt;=Lists!C$21),MAX(0,MIN(Lists!C$21,$AE13)-MAX(Lists!C$22,$AD13))/($AE13-$AD13))+N($D13)*IF($AG13-$AF13&lt;1,($AF13&gt;Lists!C$22)*($AF13&lt;=Lists!C$21),MAX(0,MIN(Lists!C$21,$AG13)-MAX(Lists!C$22,$AF13))/($AG13-$AF13))+N($E13)*IF($AI13-$AH13&lt;1,($AH13&gt;Lists!C$22)*($AH13&lt;=Lists!C$21),MAX(0,MIN(Lists!C$21,$AI13)-MAX(Lists!C$22,$AH13))/($AI13-$AH13))+N($F13)*IF($AK13-$AJ13&lt;1,($AJ13&gt;Lists!C$22)*($AJ13&lt;=Lists!C$21),MAX(0,MIN(Lists!C$21,$AK13)-MAX(Lists!C$22,$AJ13))/($AK13-$AJ13))+N($G13)*IF($AM13-$AL13&lt;1,($AL13&gt;Lists!C$22)*($AL13&lt;=Lists!C$21),MAX(0,MIN(Lists!C$21,$AM13)-MAX(Lists!C$22,$AL13))/($AM13-$AL13))))))))</f>
        <v>4000</v>
      </c>
      <c r="N13" s="53" t="n">
        <f aca="false">IF($H13=0,0,IF($AP13="X",0,IF($AP13="S",$H13/$AO13*(MIN($AO13,MAX(0,INT((Lists!D$21-N($J13))/7)+1))-MIN($AO13,MAX(0,INT((Lists!D$22-N($J13))/7)+1))),IF($AP13="D",$H13*MAX(0,MIN(Lists!D$21,N($J13)+$AO13)-MAX(Lists!D$22,N($J13)))/$AO13,IF($AP13="M",$H13/$AO13*(IF(Lists!D$21&lt;$J13,0,MIN($AO13,(((YEAR(Lists!D$21)-YEAR($J13))*12+MONTH(Lists!D$21)-MONTH($J13))-(EDATE($J13,((YEAR(Lists!D$21)-YEAR($J13))*12+MONTH(Lists!D$21)-MONTH($J13)))&gt;Lists!D$21)+1)))-IF(Lists!D$22&lt;$J13,0,MIN($AO13,(((YEAR(Lists!D$22)-YEAR($J13))*12+MONTH(Lists!D$22)-MONTH($J13))-(EDATE($J13,((YEAR(Lists!D$22)-YEAR($J13))*12+MONTH(Lists!D$22)-MONTH($J13)))&gt;Lists!D$22)+1)))),IF($AP13="F",IF(N($K13)&lt;=0,0,MIN(MAX(0,$H13),N($K13)*IF(Lists!D$21&lt;$J13,0,(((YEAR(Lists!D$21)-YEAR($J13))*12+MONTH(Lists!D$21)-MONTH($J13))-(EDATE($J13,((YEAR(Lists!D$21)-YEAR($J13))*12+MONTH(Lists!D$21)-MONTH($J13)))&gt;Lists!D$21)+1)))-MIN(MAX(0,$H13),N($K13)*IF(Lists!D$22&lt;$J13,0,(((YEAR(Lists!D$22)-YEAR($J13))*12+MONTH(Lists!D$22)-MONTH($J13))-(EDATE($J13,((YEAR(Lists!D$22)-YEAR($J13))*12+MONTH(Lists!D$22)-MONTH($J13)))&gt;Lists!D$22)+1)))),N($C13)*IF($AE13-$AD13&lt;1,($AD13&gt;Lists!D$22)*($AD13&lt;=Lists!D$21),MAX(0,MIN(Lists!D$21,$AE13)-MAX(Lists!D$22,$AD13))/($AE13-$AD13))+N($D13)*IF($AG13-$AF13&lt;1,($AF13&gt;Lists!D$22)*($AF13&lt;=Lists!D$21),MAX(0,MIN(Lists!D$21,$AG13)-MAX(Lists!D$22,$AF13))/($AG13-$AF13))+N($E13)*IF($AI13-$AH13&lt;1,($AH13&gt;Lists!D$22)*($AH13&lt;=Lists!D$21),MAX(0,MIN(Lists!D$21,$AI13)-MAX(Lists!D$22,$AH13))/($AI13-$AH13))+N($F13)*IF($AK13-$AJ13&lt;1,($AJ13&gt;Lists!D$22)*($AJ13&lt;=Lists!D$21),MAX(0,MIN(Lists!D$21,$AK13)-MAX(Lists!D$22,$AJ13))/($AK13-$AJ13))+N($G13)*IF($AM13-$AL13&lt;1,($AL13&gt;Lists!D$22)*($AL13&lt;=Lists!D$21),MAX(0,MIN(Lists!D$21,$AM13)-MAX(Lists!D$22,$AL13))/($AM13-$AL13))))))))</f>
        <v>8733.33333333333</v>
      </c>
      <c r="O13" s="53" t="n">
        <f aca="false">IF($H13=0,0,IF($AP13="X",0,IF($AP13="S",$H13/$AO13*(MIN($AO13,MAX(0,INT((Lists!E$21-N($J13))/7)+1))-MIN($AO13,MAX(0,INT((Lists!E$22-N($J13))/7)+1))),IF($AP13="D",$H13*MAX(0,MIN(Lists!E$21,N($J13)+$AO13)-MAX(Lists!E$22,N($J13)))/$AO13,IF($AP13="M",$H13/$AO13*(IF(Lists!E$21&lt;$J13,0,MIN($AO13,(((YEAR(Lists!E$21)-YEAR($J13))*12+MONTH(Lists!E$21)-MONTH($J13))-(EDATE($J13,((YEAR(Lists!E$21)-YEAR($J13))*12+MONTH(Lists!E$21)-MONTH($J13)))&gt;Lists!E$21)+1)))-IF(Lists!E$22&lt;$J13,0,MIN($AO13,(((YEAR(Lists!E$22)-YEAR($J13))*12+MONTH(Lists!E$22)-MONTH($J13))-(EDATE($J13,((YEAR(Lists!E$22)-YEAR($J13))*12+MONTH(Lists!E$22)-MONTH($J13)))&gt;Lists!E$22)+1)))),IF($AP13="F",IF(N($K13)&lt;=0,0,MIN(MAX(0,$H13),N($K13)*IF(Lists!E$21&lt;$J13,0,(((YEAR(Lists!E$21)-YEAR($J13))*12+MONTH(Lists!E$21)-MONTH($J13))-(EDATE($J13,((YEAR(Lists!E$21)-YEAR($J13))*12+MONTH(Lists!E$21)-MONTH($J13)))&gt;Lists!E$21)+1)))-MIN(MAX(0,$H13),N($K13)*IF(Lists!E$22&lt;$J13,0,(((YEAR(Lists!E$22)-YEAR($J13))*12+MONTH(Lists!E$22)-MONTH($J13))-(EDATE($J13,((YEAR(Lists!E$22)-YEAR($J13))*12+MONTH(Lists!E$22)-MONTH($J13)))&gt;Lists!E$22)+1)))),N($C13)*IF($AE13-$AD13&lt;1,($AD13&gt;Lists!E$22)*($AD13&lt;=Lists!E$21),MAX(0,MIN(Lists!E$21,$AE13)-MAX(Lists!E$22,$AD13))/($AE13-$AD13))+N($D13)*IF($AG13-$AF13&lt;1,($AF13&gt;Lists!E$22)*($AF13&lt;=Lists!E$21),MAX(0,MIN(Lists!E$21,$AG13)-MAX(Lists!E$22,$AF13))/($AG13-$AF13))+N($E13)*IF($AI13-$AH13&lt;1,($AH13&gt;Lists!E$22)*($AH13&lt;=Lists!E$21),MAX(0,MIN(Lists!E$21,$AI13)-MAX(Lists!E$22,$AH13))/($AI13-$AH13))+N($F13)*IF($AK13-$AJ13&lt;1,($AJ13&gt;Lists!E$22)*($AJ13&lt;=Lists!E$21),MAX(0,MIN(Lists!E$21,$AK13)-MAX(Lists!E$22,$AJ13))/($AK13-$AJ13))+N($G13)*IF($AM13-$AL13&lt;1,($AL13&gt;Lists!E$22)*($AL13&lt;=Lists!E$21),MAX(0,MIN(Lists!E$21,$AM13)-MAX(Lists!E$22,$AL13))/($AM13-$AL13))))))))</f>
        <v>19133.3333333333</v>
      </c>
      <c r="P13" s="53" t="n">
        <f aca="false">IF($H13=0,0,IF($AP13="X",0,IF($AP13="S",$H13/$AO13*(MIN($AO13,MAX(0,INT((Lists!F$21-N($J13))/7)+1))-MIN($AO13,MAX(0,INT((Lists!F$22-N($J13))/7)+1))),IF($AP13="D",$H13*MAX(0,MIN(Lists!F$21,N($J13)+$AO13)-MAX(Lists!F$22,N($J13)))/$AO13,IF($AP13="M",$H13/$AO13*(IF(Lists!F$21&lt;$J13,0,MIN($AO13,(((YEAR(Lists!F$21)-YEAR($J13))*12+MONTH(Lists!F$21)-MONTH($J13))-(EDATE($J13,((YEAR(Lists!F$21)-YEAR($J13))*12+MONTH(Lists!F$21)-MONTH($J13)))&gt;Lists!F$21)+1)))-IF(Lists!F$22&lt;$J13,0,MIN($AO13,(((YEAR(Lists!F$22)-YEAR($J13))*12+MONTH(Lists!F$22)-MONTH($J13))-(EDATE($J13,((YEAR(Lists!F$22)-YEAR($J13))*12+MONTH(Lists!F$22)-MONTH($J13)))&gt;Lists!F$22)+1)))),IF($AP13="F",IF(N($K13)&lt;=0,0,MIN(MAX(0,$H13),N($K13)*IF(Lists!F$21&lt;$J13,0,(((YEAR(Lists!F$21)-YEAR($J13))*12+MONTH(Lists!F$21)-MONTH($J13))-(EDATE($J13,((YEAR(Lists!F$21)-YEAR($J13))*12+MONTH(Lists!F$21)-MONTH($J13)))&gt;Lists!F$21)+1)))-MIN(MAX(0,$H13),N($K13)*IF(Lists!F$22&lt;$J13,0,(((YEAR(Lists!F$22)-YEAR($J13))*12+MONTH(Lists!F$22)-MONTH($J13))-(EDATE($J13,((YEAR(Lists!F$22)-YEAR($J13))*12+MONTH(Lists!F$22)-MONTH($J13)))&gt;Lists!F$22)+1)))),N($C13)*IF($AE13-$AD13&lt;1,($AD13&gt;Lists!F$22)*($AD13&lt;=Lists!F$21),MAX(0,MIN(Lists!F$21,$AE13)-MAX(Lists!F$22,$AD13))/($AE13-$AD13))+N($D13)*IF($AG13-$AF13&lt;1,($AF13&gt;Lists!F$22)*($AF13&lt;=Lists!F$21),MAX(0,MIN(Lists!F$21,$AG13)-MAX(Lists!F$22,$AF13))/($AG13-$AF13))+N($E13)*IF($AI13-$AH13&lt;1,($AH13&gt;Lists!F$22)*($AH13&lt;=Lists!F$21),MAX(0,MIN(Lists!F$21,$AI13)-MAX(Lists!F$22,$AH13))/($AI13-$AH13))+N($F13)*IF($AK13-$AJ13&lt;1,($AJ13&gt;Lists!F$22)*($AJ13&lt;=Lists!F$21),MAX(0,MIN(Lists!F$21,$AK13)-MAX(Lists!F$22,$AJ13))/($AK13-$AJ13))+N($G13)*IF($AM13-$AL13&lt;1,($AL13&gt;Lists!F$22)*($AL13&lt;=Lists!F$21),MAX(0,MIN(Lists!F$21,$AM13)-MAX(Lists!F$22,$AL13))/($AM13-$AL13))))))))</f>
        <v>19133.3333333333</v>
      </c>
      <c r="Q13" s="53" t="n">
        <f aca="false">IF($H13=0,0,IF($AP13="X",0,IF($AP13="S",$H13/$AO13*(MIN($AO13,MAX(0,INT((Lists!G$21-N($J13))/7)+1))-MIN($AO13,MAX(0,INT((Lists!G$22-N($J13))/7)+1))),IF($AP13="D",$H13*MAX(0,MIN(Lists!G$21,N($J13)+$AO13)-MAX(Lists!G$22,N($J13)))/$AO13,IF($AP13="M",$H13/$AO13*(IF(Lists!G$21&lt;$J13,0,MIN($AO13,(((YEAR(Lists!G$21)-YEAR($J13))*12+MONTH(Lists!G$21)-MONTH($J13))-(EDATE($J13,((YEAR(Lists!G$21)-YEAR($J13))*12+MONTH(Lists!G$21)-MONTH($J13)))&gt;Lists!G$21)+1)))-IF(Lists!G$22&lt;$J13,0,MIN($AO13,(((YEAR(Lists!G$22)-YEAR($J13))*12+MONTH(Lists!G$22)-MONTH($J13))-(EDATE($J13,((YEAR(Lists!G$22)-YEAR($J13))*12+MONTH(Lists!G$22)-MONTH($J13)))&gt;Lists!G$22)+1)))),IF($AP13="F",IF(N($K13)&lt;=0,0,MIN(MAX(0,$H13),N($K13)*IF(Lists!G$21&lt;$J13,0,(((YEAR(Lists!G$21)-YEAR($J13))*12+MONTH(Lists!G$21)-MONTH($J13))-(EDATE($J13,((YEAR(Lists!G$21)-YEAR($J13))*12+MONTH(Lists!G$21)-MONTH($J13)))&gt;Lists!G$21)+1)))-MIN(MAX(0,$H13),N($K13)*IF(Lists!G$22&lt;$J13,0,(((YEAR(Lists!G$22)-YEAR($J13))*12+MONTH(Lists!G$22)-MONTH($J13))-(EDATE($J13,((YEAR(Lists!G$22)-YEAR($J13))*12+MONTH(Lists!G$22)-MONTH($J13)))&gt;Lists!G$22)+1)))),N($C13)*IF($AE13-$AD13&lt;1,($AD13&gt;Lists!G$22)*($AD13&lt;=Lists!G$21),MAX(0,MIN(Lists!G$21,$AE13)-MAX(Lists!G$22,$AD13))/($AE13-$AD13))+N($D13)*IF($AG13-$AF13&lt;1,($AF13&gt;Lists!G$22)*($AF13&lt;=Lists!G$21),MAX(0,MIN(Lists!G$21,$AG13)-MAX(Lists!G$22,$AF13))/($AG13-$AF13))+N($E13)*IF($AI13-$AH13&lt;1,($AH13&gt;Lists!G$22)*($AH13&lt;=Lists!G$21),MAX(0,MIN(Lists!G$21,$AI13)-MAX(Lists!G$22,$AH13))/($AI13-$AH13))+N($F13)*IF($AK13-$AJ13&lt;1,($AJ13&gt;Lists!G$22)*($AJ13&lt;=Lists!G$21),MAX(0,MIN(Lists!G$21,$AK13)-MAX(Lists!G$22,$AJ13))/($AK13-$AJ13))+N($G13)*IF($AM13-$AL13&lt;1,($AL13&gt;Lists!G$22)*($AL13&lt;=Lists!G$21),MAX(0,MIN(Lists!G$21,$AM13)-MAX(Lists!G$22,$AL13))/($AM13-$AL13))))))))</f>
        <v>15133.3333333333</v>
      </c>
      <c r="R13" s="53" t="n">
        <f aca="false">IF($H13=0,0,IF($AP13="X",0,IF($AP13="S",$H13/$AO13*(MIN($AO13,MAX(0,INT((Lists!H$21-N($J13))/7)+1))-MIN($AO13,MAX(0,INT((Lists!H$22-N($J13))/7)+1))),IF($AP13="D",$H13*MAX(0,MIN(Lists!H$21,N($J13)+$AO13)-MAX(Lists!H$22,N($J13)))/$AO13,IF($AP13="M",$H13/$AO13*(IF(Lists!H$21&lt;$J13,0,MIN($AO13,(((YEAR(Lists!H$21)-YEAR($J13))*12+MONTH(Lists!H$21)-MONTH($J13))-(EDATE($J13,((YEAR(Lists!H$21)-YEAR($J13))*12+MONTH(Lists!H$21)-MONTH($J13)))&gt;Lists!H$21)+1)))-IF(Lists!H$22&lt;$J13,0,MIN($AO13,(((YEAR(Lists!H$22)-YEAR($J13))*12+MONTH(Lists!H$22)-MONTH($J13))-(EDATE($J13,((YEAR(Lists!H$22)-YEAR($J13))*12+MONTH(Lists!H$22)-MONTH($J13)))&gt;Lists!H$22)+1)))),IF($AP13="F",IF(N($K13)&lt;=0,0,MIN(MAX(0,$H13),N($K13)*IF(Lists!H$21&lt;$J13,0,(((YEAR(Lists!H$21)-YEAR($J13))*12+MONTH(Lists!H$21)-MONTH($J13))-(EDATE($J13,((YEAR(Lists!H$21)-YEAR($J13))*12+MONTH(Lists!H$21)-MONTH($J13)))&gt;Lists!H$21)+1)))-MIN(MAX(0,$H13),N($K13)*IF(Lists!H$22&lt;$J13,0,(((YEAR(Lists!H$22)-YEAR($J13))*12+MONTH(Lists!H$22)-MONTH($J13))-(EDATE($J13,((YEAR(Lists!H$22)-YEAR($J13))*12+MONTH(Lists!H$22)-MONTH($J13)))&gt;Lists!H$22)+1)))),N($C13)*IF($AE13-$AD13&lt;1,($AD13&gt;Lists!H$22)*($AD13&lt;=Lists!H$21),MAX(0,MIN(Lists!H$21,$AE13)-MAX(Lists!H$22,$AD13))/($AE13-$AD13))+N($D13)*IF($AG13-$AF13&lt;1,($AF13&gt;Lists!H$22)*($AF13&lt;=Lists!H$21),MAX(0,MIN(Lists!H$21,$AG13)-MAX(Lists!H$22,$AF13))/($AG13-$AF13))+N($E13)*IF($AI13-$AH13&lt;1,($AH13&gt;Lists!H$22)*($AH13&lt;=Lists!H$21),MAX(0,MIN(Lists!H$21,$AI13)-MAX(Lists!H$22,$AH13))/($AI13-$AH13))+N($F13)*IF($AK13-$AJ13&lt;1,($AJ13&gt;Lists!H$22)*($AJ13&lt;=Lists!H$21),MAX(0,MIN(Lists!H$21,$AK13)-MAX(Lists!H$22,$AJ13))/($AK13-$AJ13))+N($G13)*IF($AM13-$AL13&lt;1,($AL13&gt;Lists!H$22)*($AL13&lt;=Lists!H$21),MAX(0,MIN(Lists!H$21,$AM13)-MAX(Lists!H$22,$AL13))/($AM13-$AL13))))))))</f>
        <v>12133.3333333333</v>
      </c>
      <c r="S13" s="53" t="n">
        <f aca="false">IF($H13=0,0,IF($AP13="X",0,IF($AP13="S",$H13/$AO13*(MIN($AO13,MAX(0,INT((Lists!I$21-N($J13))/7)+1))-MIN($AO13,MAX(0,INT((Lists!I$22-N($J13))/7)+1))),IF($AP13="D",$H13*MAX(0,MIN(Lists!I$21,N($J13)+$AO13)-MAX(Lists!I$22,N($J13)))/$AO13,IF($AP13="M",$H13/$AO13*(IF(Lists!I$21&lt;$J13,0,MIN($AO13,(((YEAR(Lists!I$21)-YEAR($J13))*12+MONTH(Lists!I$21)-MONTH($J13))-(EDATE($J13,((YEAR(Lists!I$21)-YEAR($J13))*12+MONTH(Lists!I$21)-MONTH($J13)))&gt;Lists!I$21)+1)))-IF(Lists!I$22&lt;$J13,0,MIN($AO13,(((YEAR(Lists!I$22)-YEAR($J13))*12+MONTH(Lists!I$22)-MONTH($J13))-(EDATE($J13,((YEAR(Lists!I$22)-YEAR($J13))*12+MONTH(Lists!I$22)-MONTH($J13)))&gt;Lists!I$22)+1)))),IF($AP13="F",IF(N($K13)&lt;=0,0,MIN(MAX(0,$H13),N($K13)*IF(Lists!I$21&lt;$J13,0,(((YEAR(Lists!I$21)-YEAR($J13))*12+MONTH(Lists!I$21)-MONTH($J13))-(EDATE($J13,((YEAR(Lists!I$21)-YEAR($J13))*12+MONTH(Lists!I$21)-MONTH($J13)))&gt;Lists!I$21)+1)))-MIN(MAX(0,$H13),N($K13)*IF(Lists!I$22&lt;$J13,0,(((YEAR(Lists!I$22)-YEAR($J13))*12+MONTH(Lists!I$22)-MONTH($J13))-(EDATE($J13,((YEAR(Lists!I$22)-YEAR($J13))*12+MONTH(Lists!I$22)-MONTH($J13)))&gt;Lists!I$22)+1)))),N($C13)*IF($AE13-$AD13&lt;1,($AD13&gt;Lists!I$22)*($AD13&lt;=Lists!I$21),MAX(0,MIN(Lists!I$21,$AE13)-MAX(Lists!I$22,$AD13))/($AE13-$AD13))+N($D13)*IF($AG13-$AF13&lt;1,($AF13&gt;Lists!I$22)*($AF13&lt;=Lists!I$21),MAX(0,MIN(Lists!I$21,$AG13)-MAX(Lists!I$22,$AF13))/($AG13-$AF13))+N($E13)*IF($AI13-$AH13&lt;1,($AH13&gt;Lists!I$22)*($AH13&lt;=Lists!I$21),MAX(0,MIN(Lists!I$21,$AI13)-MAX(Lists!I$22,$AH13))/($AI13-$AH13))+N($F13)*IF($AK13-$AJ13&lt;1,($AJ13&gt;Lists!I$22)*($AJ13&lt;=Lists!I$21),MAX(0,MIN(Lists!I$21,$AK13)-MAX(Lists!I$22,$AJ13))/($AK13-$AJ13))+N($G13)*IF($AM13-$AL13&lt;1,($AL13&gt;Lists!I$22)*($AL13&lt;=Lists!I$21),MAX(0,MIN(Lists!I$21,$AM13)-MAX(Lists!I$22,$AL13))/($AM13-$AL13))))))))</f>
        <v>1733.33333333333</v>
      </c>
      <c r="T13" s="53" t="n">
        <f aca="false">IF($H13=0,0,IF($AP13="X",0,IF($AP13="S",$H13/$AO13*(MIN($AO13,MAX(0,INT((Lists!J$21-N($J13))/7)+1))-MIN($AO13,MAX(0,INT((Lists!J$22-N($J13))/7)+1))),IF($AP13="D",$H13*MAX(0,MIN(Lists!J$21,N($J13)+$AO13)-MAX(Lists!J$22,N($J13)))/$AO13,IF($AP13="M",$H13/$AO13*(IF(Lists!J$21&lt;$J13,0,MIN($AO13,(((YEAR(Lists!J$21)-YEAR($J13))*12+MONTH(Lists!J$21)-MONTH($J13))-(EDATE($J13,((YEAR(Lists!J$21)-YEAR($J13))*12+MONTH(Lists!J$21)-MONTH($J13)))&gt;Lists!J$21)+1)))-IF(Lists!J$22&lt;$J13,0,MIN($AO13,(((YEAR(Lists!J$22)-YEAR($J13))*12+MONTH(Lists!J$22)-MONTH($J13))-(EDATE($J13,((YEAR(Lists!J$22)-YEAR($J13))*12+MONTH(Lists!J$22)-MONTH($J13)))&gt;Lists!J$22)+1)))),IF($AP13="F",IF(N($K13)&lt;=0,0,MIN(MAX(0,$H13),N($K13)*IF(Lists!J$21&lt;$J13,0,(((YEAR(Lists!J$21)-YEAR($J13))*12+MONTH(Lists!J$21)-MONTH($J13))-(EDATE($J13,((YEAR(Lists!J$21)-YEAR($J13))*12+MONTH(Lists!J$21)-MONTH($J13)))&gt;Lists!J$21)+1)))-MIN(MAX(0,$H13),N($K13)*IF(Lists!J$22&lt;$J13,0,(((YEAR(Lists!J$22)-YEAR($J13))*12+MONTH(Lists!J$22)-MONTH($J13))-(EDATE($J13,((YEAR(Lists!J$22)-YEAR($J13))*12+MONTH(Lists!J$22)-MONTH($J13)))&gt;Lists!J$22)+1)))),N($C13)*IF($AE13-$AD13&lt;1,($AD13&gt;Lists!J$22)*($AD13&lt;=Lists!J$21),MAX(0,MIN(Lists!J$21,$AE13)-MAX(Lists!J$22,$AD13))/($AE13-$AD13))+N($D13)*IF($AG13-$AF13&lt;1,($AF13&gt;Lists!J$22)*($AF13&lt;=Lists!J$21),MAX(0,MIN(Lists!J$21,$AG13)-MAX(Lists!J$22,$AF13))/($AG13-$AF13))+N($E13)*IF($AI13-$AH13&lt;1,($AH13&gt;Lists!J$22)*($AH13&lt;=Lists!J$21),MAX(0,MIN(Lists!J$21,$AI13)-MAX(Lists!J$22,$AH13))/($AI13-$AH13))+N($F13)*IF($AK13-$AJ13&lt;1,($AJ13&gt;Lists!J$22)*($AJ13&lt;=Lists!J$21),MAX(0,MIN(Lists!J$21,$AK13)-MAX(Lists!J$22,$AJ13))/($AK13-$AJ13))+N($G13)*IF($AM13-$AL13&lt;1,($AL13&gt;Lists!J$22)*($AL13&lt;=Lists!J$21),MAX(0,MIN(Lists!J$21,$AM13)-MAX(Lists!J$22,$AL13))/($AM13-$AL13))))))))</f>
        <v>0</v>
      </c>
      <c r="U13" s="53" t="n">
        <f aca="false">IF($H13=0,0,IF($AP13="X",0,IF($AP13="S",$H13/$AO13*(MIN($AO13,MAX(0,INT((Lists!K$21-N($J13))/7)+1))-MIN($AO13,MAX(0,INT((Lists!K$22-N($J13))/7)+1))),IF($AP13="D",$H13*MAX(0,MIN(Lists!K$21,N($J13)+$AO13)-MAX(Lists!K$22,N($J13)))/$AO13,IF($AP13="M",$H13/$AO13*(IF(Lists!K$21&lt;$J13,0,MIN($AO13,(((YEAR(Lists!K$21)-YEAR($J13))*12+MONTH(Lists!K$21)-MONTH($J13))-(EDATE($J13,((YEAR(Lists!K$21)-YEAR($J13))*12+MONTH(Lists!K$21)-MONTH($J13)))&gt;Lists!K$21)+1)))-IF(Lists!K$22&lt;$J13,0,MIN($AO13,(((YEAR(Lists!K$22)-YEAR($J13))*12+MONTH(Lists!K$22)-MONTH($J13))-(EDATE($J13,((YEAR(Lists!K$22)-YEAR($J13))*12+MONTH(Lists!K$22)-MONTH($J13)))&gt;Lists!K$22)+1)))),IF($AP13="F",IF(N($K13)&lt;=0,0,MIN(MAX(0,$H13),N($K13)*IF(Lists!K$21&lt;$J13,0,(((YEAR(Lists!K$21)-YEAR($J13))*12+MONTH(Lists!K$21)-MONTH($J13))-(EDATE($J13,((YEAR(Lists!K$21)-YEAR($J13))*12+MONTH(Lists!K$21)-MONTH($J13)))&gt;Lists!K$21)+1)))-MIN(MAX(0,$H13),N($K13)*IF(Lists!K$22&lt;$J13,0,(((YEAR(Lists!K$22)-YEAR($J13))*12+MONTH(Lists!K$22)-MONTH($J13))-(EDATE($J13,((YEAR(Lists!K$22)-YEAR($J13))*12+MONTH(Lists!K$22)-MONTH($J13)))&gt;Lists!K$22)+1)))),N($C13)*IF($AE13-$AD13&lt;1,($AD13&gt;Lists!K$22)*($AD13&lt;=Lists!K$21),MAX(0,MIN(Lists!K$21,$AE13)-MAX(Lists!K$22,$AD13))/($AE13-$AD13))+N($D13)*IF($AG13-$AF13&lt;1,($AF13&gt;Lists!K$22)*($AF13&lt;=Lists!K$21),MAX(0,MIN(Lists!K$21,$AG13)-MAX(Lists!K$22,$AF13))/($AG13-$AF13))+N($E13)*IF($AI13-$AH13&lt;1,($AH13&gt;Lists!K$22)*($AH13&lt;=Lists!K$21),MAX(0,MIN(Lists!K$21,$AI13)-MAX(Lists!K$22,$AH13))/($AI13-$AH13))+N($F13)*IF($AK13-$AJ13&lt;1,($AJ13&gt;Lists!K$22)*($AJ13&lt;=Lists!K$21),MAX(0,MIN(Lists!K$21,$AK13)-MAX(Lists!K$22,$AJ13))/($AK13-$AJ13))+N($G13)*IF($AM13-$AL13&lt;1,($AL13&gt;Lists!K$22)*($AL13&lt;=Lists!K$21),MAX(0,MIN(Lists!K$21,$AM13)-MAX(Lists!K$22,$AL13))/($AM13-$AL13))))))))</f>
        <v>0</v>
      </c>
      <c r="V13" s="53" t="n">
        <f aca="false">IF($H13=0,0,IF($AP13="X",0,IF($AP13="S",$H13/$AO13*(MIN($AO13,MAX(0,INT((Lists!L$21-N($J13))/7)+1))-MIN($AO13,MAX(0,INT((Lists!L$22-N($J13))/7)+1))),IF($AP13="D",$H13*MAX(0,MIN(Lists!L$21,N($J13)+$AO13)-MAX(Lists!L$22,N($J13)))/$AO13,IF($AP13="M",$H13/$AO13*(IF(Lists!L$21&lt;$J13,0,MIN($AO13,(((YEAR(Lists!L$21)-YEAR($J13))*12+MONTH(Lists!L$21)-MONTH($J13))-(EDATE($J13,((YEAR(Lists!L$21)-YEAR($J13))*12+MONTH(Lists!L$21)-MONTH($J13)))&gt;Lists!L$21)+1)))-IF(Lists!L$22&lt;$J13,0,MIN($AO13,(((YEAR(Lists!L$22)-YEAR($J13))*12+MONTH(Lists!L$22)-MONTH($J13))-(EDATE($J13,((YEAR(Lists!L$22)-YEAR($J13))*12+MONTH(Lists!L$22)-MONTH($J13)))&gt;Lists!L$22)+1)))),IF($AP13="F",IF(N($K13)&lt;=0,0,MIN(MAX(0,$H13),N($K13)*IF(Lists!L$21&lt;$J13,0,(((YEAR(Lists!L$21)-YEAR($J13))*12+MONTH(Lists!L$21)-MONTH($J13))-(EDATE($J13,((YEAR(Lists!L$21)-YEAR($J13))*12+MONTH(Lists!L$21)-MONTH($J13)))&gt;Lists!L$21)+1)))-MIN(MAX(0,$H13),N($K13)*IF(Lists!L$22&lt;$J13,0,(((YEAR(Lists!L$22)-YEAR($J13))*12+MONTH(Lists!L$22)-MONTH($J13))-(EDATE($J13,((YEAR(Lists!L$22)-YEAR($J13))*12+MONTH(Lists!L$22)-MONTH($J13)))&gt;Lists!L$22)+1)))),N($C13)*IF($AE13-$AD13&lt;1,($AD13&gt;Lists!L$22)*($AD13&lt;=Lists!L$21),MAX(0,MIN(Lists!L$21,$AE13)-MAX(Lists!L$22,$AD13))/($AE13-$AD13))+N($D13)*IF($AG13-$AF13&lt;1,($AF13&gt;Lists!L$22)*($AF13&lt;=Lists!L$21),MAX(0,MIN(Lists!L$21,$AG13)-MAX(Lists!L$22,$AF13))/($AG13-$AF13))+N($E13)*IF($AI13-$AH13&lt;1,($AH13&gt;Lists!L$22)*($AH13&lt;=Lists!L$21),MAX(0,MIN(Lists!L$21,$AI13)-MAX(Lists!L$22,$AH13))/($AI13-$AH13))+N($F13)*IF($AK13-$AJ13&lt;1,($AJ13&gt;Lists!L$22)*($AJ13&lt;=Lists!L$21),MAX(0,MIN(Lists!L$21,$AK13)-MAX(Lists!L$22,$AJ13))/($AK13-$AJ13))+N($G13)*IF($AM13-$AL13&lt;1,($AL13&gt;Lists!L$22)*($AL13&lt;=Lists!L$21),MAX(0,MIN(Lists!L$21,$AM13)-MAX(Lists!L$22,$AL13))/($AM13-$AL13))))))))</f>
        <v>0</v>
      </c>
      <c r="W13" s="53" t="n">
        <f aca="false">IF($H13=0,0,IF($AP13="X",0,IF($AP13="S",$H13/$AO13*(MIN($AO13,MAX(0,INT((Lists!M$21-N($J13))/7)+1))-MIN($AO13,MAX(0,INT((Lists!M$22-N($J13))/7)+1))),IF($AP13="D",$H13*MAX(0,MIN(Lists!M$21,N($J13)+$AO13)-MAX(Lists!M$22,N($J13)))/$AO13,IF($AP13="M",$H13/$AO13*(IF(Lists!M$21&lt;$J13,0,MIN($AO13,(((YEAR(Lists!M$21)-YEAR($J13))*12+MONTH(Lists!M$21)-MONTH($J13))-(EDATE($J13,((YEAR(Lists!M$21)-YEAR($J13))*12+MONTH(Lists!M$21)-MONTH($J13)))&gt;Lists!M$21)+1)))-IF(Lists!M$22&lt;$J13,0,MIN($AO13,(((YEAR(Lists!M$22)-YEAR($J13))*12+MONTH(Lists!M$22)-MONTH($J13))-(EDATE($J13,((YEAR(Lists!M$22)-YEAR($J13))*12+MONTH(Lists!M$22)-MONTH($J13)))&gt;Lists!M$22)+1)))),IF($AP13="F",IF(N($K13)&lt;=0,0,MIN(MAX(0,$H13),N($K13)*IF(Lists!M$21&lt;$J13,0,(((YEAR(Lists!M$21)-YEAR($J13))*12+MONTH(Lists!M$21)-MONTH($J13))-(EDATE($J13,((YEAR(Lists!M$21)-YEAR($J13))*12+MONTH(Lists!M$21)-MONTH($J13)))&gt;Lists!M$21)+1)))-MIN(MAX(0,$H13),N($K13)*IF(Lists!M$22&lt;$J13,0,(((YEAR(Lists!M$22)-YEAR($J13))*12+MONTH(Lists!M$22)-MONTH($J13))-(EDATE($J13,((YEAR(Lists!M$22)-YEAR($J13))*12+MONTH(Lists!M$22)-MONTH($J13)))&gt;Lists!M$22)+1)))),N($C13)*IF($AE13-$AD13&lt;1,($AD13&gt;Lists!M$22)*($AD13&lt;=Lists!M$21),MAX(0,MIN(Lists!M$21,$AE13)-MAX(Lists!M$22,$AD13))/($AE13-$AD13))+N($D13)*IF($AG13-$AF13&lt;1,($AF13&gt;Lists!M$22)*($AF13&lt;=Lists!M$21),MAX(0,MIN(Lists!M$21,$AG13)-MAX(Lists!M$22,$AF13))/($AG13-$AF13))+N($E13)*IF($AI13-$AH13&lt;1,($AH13&gt;Lists!M$22)*($AH13&lt;=Lists!M$21),MAX(0,MIN(Lists!M$21,$AI13)-MAX(Lists!M$22,$AH13))/($AI13-$AH13))+N($F13)*IF($AK13-$AJ13&lt;1,($AJ13&gt;Lists!M$22)*($AJ13&lt;=Lists!M$21),MAX(0,MIN(Lists!M$21,$AK13)-MAX(Lists!M$22,$AJ13))/($AK13-$AJ13))+N($G13)*IF($AM13-$AL13&lt;1,($AL13&gt;Lists!M$22)*($AL13&lt;=Lists!M$21),MAX(0,MIN(Lists!M$21,$AM13)-MAX(Lists!M$22,$AL13))/($AM13-$AL13))))))))</f>
        <v>0</v>
      </c>
      <c r="X13" s="53" t="n">
        <f aca="false">IF($H13=0,0,IF($AP13="X",0,IF($AP13="S",$H13/$AO13*(MIN($AO13,MAX(0,INT((Lists!N$21-N($J13))/7)+1))-MIN($AO13,MAX(0,INT((Lists!N$22-N($J13))/7)+1))),IF($AP13="D",$H13*MAX(0,MIN(Lists!N$21,N($J13)+$AO13)-MAX(Lists!N$22,N($J13)))/$AO13,IF($AP13="M",$H13/$AO13*(IF(Lists!N$21&lt;$J13,0,MIN($AO13,(((YEAR(Lists!N$21)-YEAR($J13))*12+MONTH(Lists!N$21)-MONTH($J13))-(EDATE($J13,((YEAR(Lists!N$21)-YEAR($J13))*12+MONTH(Lists!N$21)-MONTH($J13)))&gt;Lists!N$21)+1)))-IF(Lists!N$22&lt;$J13,0,MIN($AO13,(((YEAR(Lists!N$22)-YEAR($J13))*12+MONTH(Lists!N$22)-MONTH($J13))-(EDATE($J13,((YEAR(Lists!N$22)-YEAR($J13))*12+MONTH(Lists!N$22)-MONTH($J13)))&gt;Lists!N$22)+1)))),IF($AP13="F",IF(N($K13)&lt;=0,0,MIN(MAX(0,$H13),N($K13)*IF(Lists!N$21&lt;$J13,0,(((YEAR(Lists!N$21)-YEAR($J13))*12+MONTH(Lists!N$21)-MONTH($J13))-(EDATE($J13,((YEAR(Lists!N$21)-YEAR($J13))*12+MONTH(Lists!N$21)-MONTH($J13)))&gt;Lists!N$21)+1)))-MIN(MAX(0,$H13),N($K13)*IF(Lists!N$22&lt;$J13,0,(((YEAR(Lists!N$22)-YEAR($J13))*12+MONTH(Lists!N$22)-MONTH($J13))-(EDATE($J13,((YEAR(Lists!N$22)-YEAR($J13))*12+MONTH(Lists!N$22)-MONTH($J13)))&gt;Lists!N$22)+1)))),N($C13)*IF($AE13-$AD13&lt;1,($AD13&gt;Lists!N$22)*($AD13&lt;=Lists!N$21),MAX(0,MIN(Lists!N$21,$AE13)-MAX(Lists!N$22,$AD13))/($AE13-$AD13))+N($D13)*IF($AG13-$AF13&lt;1,($AF13&gt;Lists!N$22)*($AF13&lt;=Lists!N$21),MAX(0,MIN(Lists!N$21,$AG13)-MAX(Lists!N$22,$AF13))/($AG13-$AF13))+N($E13)*IF($AI13-$AH13&lt;1,($AH13&gt;Lists!N$22)*($AH13&lt;=Lists!N$21),MAX(0,MIN(Lists!N$21,$AI13)-MAX(Lists!N$22,$AH13))/($AI13-$AH13))+N($F13)*IF($AK13-$AJ13&lt;1,($AJ13&gt;Lists!N$22)*($AJ13&lt;=Lists!N$21),MAX(0,MIN(Lists!N$21,$AK13)-MAX(Lists!N$22,$AJ13))/($AK13-$AJ13))+N($G13)*IF($AM13-$AL13&lt;1,($AL13&gt;Lists!N$22)*($AL13&lt;=Lists!N$21),MAX(0,MIN(Lists!N$21,$AM13)-MAX(Lists!N$22,$AL13))/($AM13-$AL13))))))))</f>
        <v>0</v>
      </c>
      <c r="Y13" s="53" t="n">
        <f aca="false">IF($H13=0,0,IF($AP13="X",0,IF($AP13="S",$H13/$AO13*(MIN($AO13,MAX(0,INT((Lists!O$21-N($J13))/7)+1))-MIN($AO13,MAX(0,INT((Lists!O$22-N($J13))/7)+1))),IF($AP13="D",$H13*MAX(0,MIN(Lists!O$21,N($J13)+$AO13)-MAX(Lists!O$22,N($J13)))/$AO13,IF($AP13="M",$H13/$AO13*(IF(Lists!O$21&lt;$J13,0,MIN($AO13,(((YEAR(Lists!O$21)-YEAR($J13))*12+MONTH(Lists!O$21)-MONTH($J13))-(EDATE($J13,((YEAR(Lists!O$21)-YEAR($J13))*12+MONTH(Lists!O$21)-MONTH($J13)))&gt;Lists!O$21)+1)))-IF(Lists!O$22&lt;$J13,0,MIN($AO13,(((YEAR(Lists!O$22)-YEAR($J13))*12+MONTH(Lists!O$22)-MONTH($J13))-(EDATE($J13,((YEAR(Lists!O$22)-YEAR($J13))*12+MONTH(Lists!O$22)-MONTH($J13)))&gt;Lists!O$22)+1)))),IF($AP13="F",IF(N($K13)&lt;=0,0,MIN(MAX(0,$H13),N($K13)*IF(Lists!O$21&lt;$J13,0,(((YEAR(Lists!O$21)-YEAR($J13))*12+MONTH(Lists!O$21)-MONTH($J13))-(EDATE($J13,((YEAR(Lists!O$21)-YEAR($J13))*12+MONTH(Lists!O$21)-MONTH($J13)))&gt;Lists!O$21)+1)))-MIN(MAX(0,$H13),N($K13)*IF(Lists!O$22&lt;$J13,0,(((YEAR(Lists!O$22)-YEAR($J13))*12+MONTH(Lists!O$22)-MONTH($J13))-(EDATE($J13,((YEAR(Lists!O$22)-YEAR($J13))*12+MONTH(Lists!O$22)-MONTH($J13)))&gt;Lists!O$22)+1)))),N($C13)*IF($AE13-$AD13&lt;1,($AD13&gt;Lists!O$22)*($AD13&lt;=Lists!O$21),MAX(0,MIN(Lists!O$21,$AE13)-MAX(Lists!O$22,$AD13))/($AE13-$AD13))+N($D13)*IF($AG13-$AF13&lt;1,($AF13&gt;Lists!O$22)*($AF13&lt;=Lists!O$21),MAX(0,MIN(Lists!O$21,$AG13)-MAX(Lists!O$22,$AF13))/($AG13-$AF13))+N($E13)*IF($AI13-$AH13&lt;1,($AH13&gt;Lists!O$22)*($AH13&lt;=Lists!O$21),MAX(0,MIN(Lists!O$21,$AI13)-MAX(Lists!O$22,$AH13))/($AI13-$AH13))+N($F13)*IF($AK13-$AJ13&lt;1,($AJ13&gt;Lists!O$22)*($AJ13&lt;=Lists!O$21),MAX(0,MIN(Lists!O$21,$AK13)-MAX(Lists!O$22,$AJ13))/($AK13-$AJ13))+N($G13)*IF($AM13-$AL13&lt;1,($AL13&gt;Lists!O$22)*($AL13&lt;=Lists!O$21),MAX(0,MIN(Lists!O$21,$AM13)-MAX(Lists!O$22,$AL13))/($AM13-$AL13))))))))</f>
        <v>0</v>
      </c>
      <c r="Z13" s="46" t="n">
        <f aca="false">SUM(M13:Y13)</f>
        <v>80000</v>
      </c>
      <c r="AA13" s="92" t="n">
        <f aca="false">H13-Z13</f>
        <v>0</v>
      </c>
      <c r="AB13" s="55"/>
      <c r="AC13" s="2"/>
      <c r="AD13" s="93" t="n">
        <f aca="false">Setup!$D$10+MAX(0,$AN13-30)</f>
        <v>46345</v>
      </c>
      <c r="AE13" s="93" t="n">
        <f aca="false">Setup!$D$10+IF($AN13-30&lt;0,MAX(Setup!$D$22,$AN13-0),$AN13-0)</f>
        <v>46375</v>
      </c>
      <c r="AF13" s="93" t="n">
        <f aca="false">Setup!$D$10+MAX(0,$AN13-60)</f>
        <v>46335</v>
      </c>
      <c r="AG13" s="93" t="n">
        <f aca="false">Setup!$D$10+IF($AN13-60&lt;0,MAX(Setup!$D$22,$AN13-31),$AN13-31)</f>
        <v>46363</v>
      </c>
      <c r="AH13" s="93" t="n">
        <f aca="false">Setup!$D$10+MAX(0,$AN13-90)</f>
        <v>46335</v>
      </c>
      <c r="AI13" s="93" t="n">
        <f aca="false">Setup!$D$10+IF($AN13-90&lt;0,MAX(Setup!$D$22,$AN13-61),$AN13-61)</f>
        <v>46363</v>
      </c>
      <c r="AJ13" s="93" t="n">
        <f aca="false">Setup!$D$10+MAX(0,$AN13-120)</f>
        <v>46335</v>
      </c>
      <c r="AK13" s="93" t="n">
        <f aca="false">Setup!$D$10+IF($AN13-120&lt;0,MAX(Setup!$D$22,$AN13-91),$AN13-91)</f>
        <v>46363</v>
      </c>
      <c r="AL13" s="93" t="n">
        <f aca="false">Setup!$D$10</f>
        <v>46335</v>
      </c>
      <c r="AM13" s="93" t="n">
        <f aca="false">IF(AL13=2958465,AL13,Setup!$D$10+Setup!$D$22)</f>
        <v>46363</v>
      </c>
      <c r="AN13" s="94" t="n">
        <f aca="false">IF(N(L13)=0,Setup!$D$21,L13)</f>
        <v>40</v>
      </c>
      <c r="AO13" s="94" t="n">
        <f aca="false">MAX(1,ROUND(N(K13),0))</f>
        <v>1</v>
      </c>
      <c r="AP13" s="95" t="str">
        <f aca="false">IF(I13="On hold","X",IF(N(J13)=0,"A",IF(I13="Specific date","S",IF(I13="Spread over days","D",IF(I13="Monthly on set day","M",IF(I13="Monthly fixed amount","F","A"))))))</f>
        <v>A</v>
      </c>
    </row>
    <row r="14" customFormat="false" ht="15" hidden="false" customHeight="false" outlineLevel="0" collapsed="false">
      <c r="A14" s="87" t="n">
        <v>6</v>
      </c>
      <c r="B14" s="55"/>
      <c r="C14" s="88"/>
      <c r="D14" s="88"/>
      <c r="E14" s="88"/>
      <c r="F14" s="88"/>
      <c r="G14" s="88"/>
      <c r="H14" s="89" t="n">
        <f aca="false">SUM(C14:G14)</f>
        <v>0</v>
      </c>
      <c r="I14" s="58"/>
      <c r="J14" s="90"/>
      <c r="K14" s="91"/>
      <c r="L14" s="80"/>
      <c r="M14" s="53" t="n">
        <f aca="false">IF($H14=0,0,IF($AP14="X",0,IF($AP14="S",$H14/$AO14*(MIN($AO14,MAX(0,INT((Lists!C$21-N($J14))/7)+1))-MIN($AO14,MAX(0,INT((Lists!C$22-N($J14))/7)+1))),IF($AP14="D",$H14*MAX(0,MIN(Lists!C$21,N($J14)+$AO14)-MAX(Lists!C$22,N($J14)))/$AO14,IF($AP14="M",$H14/$AO14*(IF(Lists!C$21&lt;$J14,0,MIN($AO14,(((YEAR(Lists!C$21)-YEAR($J14))*12+MONTH(Lists!C$21)-MONTH($J14))-(EDATE($J14,((YEAR(Lists!C$21)-YEAR($J14))*12+MONTH(Lists!C$21)-MONTH($J14)))&gt;Lists!C$21)+1)))-IF(Lists!C$22&lt;$J14,0,MIN($AO14,(((YEAR(Lists!C$22)-YEAR($J14))*12+MONTH(Lists!C$22)-MONTH($J14))-(EDATE($J14,((YEAR(Lists!C$22)-YEAR($J14))*12+MONTH(Lists!C$22)-MONTH($J14)))&gt;Lists!C$22)+1)))),IF($AP14="F",IF(N($K14)&lt;=0,0,MIN(MAX(0,$H14),N($K14)*IF(Lists!C$21&lt;$J14,0,(((YEAR(Lists!C$21)-YEAR($J14))*12+MONTH(Lists!C$21)-MONTH($J14))-(EDATE($J14,((YEAR(Lists!C$21)-YEAR($J14))*12+MONTH(Lists!C$21)-MONTH($J14)))&gt;Lists!C$21)+1)))-MIN(MAX(0,$H14),N($K14)*IF(Lists!C$22&lt;$J14,0,(((YEAR(Lists!C$22)-YEAR($J14))*12+MONTH(Lists!C$22)-MONTH($J14))-(EDATE($J14,((YEAR(Lists!C$22)-YEAR($J14))*12+MONTH(Lists!C$22)-MONTH($J14)))&gt;Lists!C$22)+1)))),N($C14)*IF($AE14-$AD14&lt;1,($AD14&gt;Lists!C$22)*($AD14&lt;=Lists!C$21),MAX(0,MIN(Lists!C$21,$AE14)-MAX(Lists!C$22,$AD14))/($AE14-$AD14))+N($D14)*IF($AG14-$AF14&lt;1,($AF14&gt;Lists!C$22)*($AF14&lt;=Lists!C$21),MAX(0,MIN(Lists!C$21,$AG14)-MAX(Lists!C$22,$AF14))/($AG14-$AF14))+N($E14)*IF($AI14-$AH14&lt;1,($AH14&gt;Lists!C$22)*($AH14&lt;=Lists!C$21),MAX(0,MIN(Lists!C$21,$AI14)-MAX(Lists!C$22,$AH14))/($AI14-$AH14))+N($F14)*IF($AK14-$AJ14&lt;1,($AJ14&gt;Lists!C$22)*($AJ14&lt;=Lists!C$21),MAX(0,MIN(Lists!C$21,$AK14)-MAX(Lists!C$22,$AJ14))/($AK14-$AJ14))+N($G14)*IF($AM14-$AL14&lt;1,($AL14&gt;Lists!C$22)*($AL14&lt;=Lists!C$21),MAX(0,MIN(Lists!C$21,$AM14)-MAX(Lists!C$22,$AL14))/($AM14-$AL14))))))))</f>
        <v>0</v>
      </c>
      <c r="N14" s="53" t="n">
        <f aca="false">IF($H14=0,0,IF($AP14="X",0,IF($AP14="S",$H14/$AO14*(MIN($AO14,MAX(0,INT((Lists!D$21-N($J14))/7)+1))-MIN($AO14,MAX(0,INT((Lists!D$22-N($J14))/7)+1))),IF($AP14="D",$H14*MAX(0,MIN(Lists!D$21,N($J14)+$AO14)-MAX(Lists!D$22,N($J14)))/$AO14,IF($AP14="M",$H14/$AO14*(IF(Lists!D$21&lt;$J14,0,MIN($AO14,(((YEAR(Lists!D$21)-YEAR($J14))*12+MONTH(Lists!D$21)-MONTH($J14))-(EDATE($J14,((YEAR(Lists!D$21)-YEAR($J14))*12+MONTH(Lists!D$21)-MONTH($J14)))&gt;Lists!D$21)+1)))-IF(Lists!D$22&lt;$J14,0,MIN($AO14,(((YEAR(Lists!D$22)-YEAR($J14))*12+MONTH(Lists!D$22)-MONTH($J14))-(EDATE($J14,((YEAR(Lists!D$22)-YEAR($J14))*12+MONTH(Lists!D$22)-MONTH($J14)))&gt;Lists!D$22)+1)))),IF($AP14="F",IF(N($K14)&lt;=0,0,MIN(MAX(0,$H14),N($K14)*IF(Lists!D$21&lt;$J14,0,(((YEAR(Lists!D$21)-YEAR($J14))*12+MONTH(Lists!D$21)-MONTH($J14))-(EDATE($J14,((YEAR(Lists!D$21)-YEAR($J14))*12+MONTH(Lists!D$21)-MONTH($J14)))&gt;Lists!D$21)+1)))-MIN(MAX(0,$H14),N($K14)*IF(Lists!D$22&lt;$J14,0,(((YEAR(Lists!D$22)-YEAR($J14))*12+MONTH(Lists!D$22)-MONTH($J14))-(EDATE($J14,((YEAR(Lists!D$22)-YEAR($J14))*12+MONTH(Lists!D$22)-MONTH($J14)))&gt;Lists!D$22)+1)))),N($C14)*IF($AE14-$AD14&lt;1,($AD14&gt;Lists!D$22)*($AD14&lt;=Lists!D$21),MAX(0,MIN(Lists!D$21,$AE14)-MAX(Lists!D$22,$AD14))/($AE14-$AD14))+N($D14)*IF($AG14-$AF14&lt;1,($AF14&gt;Lists!D$22)*($AF14&lt;=Lists!D$21),MAX(0,MIN(Lists!D$21,$AG14)-MAX(Lists!D$22,$AF14))/($AG14-$AF14))+N($E14)*IF($AI14-$AH14&lt;1,($AH14&gt;Lists!D$22)*($AH14&lt;=Lists!D$21),MAX(0,MIN(Lists!D$21,$AI14)-MAX(Lists!D$22,$AH14))/($AI14-$AH14))+N($F14)*IF($AK14-$AJ14&lt;1,($AJ14&gt;Lists!D$22)*($AJ14&lt;=Lists!D$21),MAX(0,MIN(Lists!D$21,$AK14)-MAX(Lists!D$22,$AJ14))/($AK14-$AJ14))+N($G14)*IF($AM14-$AL14&lt;1,($AL14&gt;Lists!D$22)*($AL14&lt;=Lists!D$21),MAX(0,MIN(Lists!D$21,$AM14)-MAX(Lists!D$22,$AL14))/($AM14-$AL14))))))))</f>
        <v>0</v>
      </c>
      <c r="O14" s="53" t="n">
        <f aca="false">IF($H14=0,0,IF($AP14="X",0,IF($AP14="S",$H14/$AO14*(MIN($AO14,MAX(0,INT((Lists!E$21-N($J14))/7)+1))-MIN($AO14,MAX(0,INT((Lists!E$22-N($J14))/7)+1))),IF($AP14="D",$H14*MAX(0,MIN(Lists!E$21,N($J14)+$AO14)-MAX(Lists!E$22,N($J14)))/$AO14,IF($AP14="M",$H14/$AO14*(IF(Lists!E$21&lt;$J14,0,MIN($AO14,(((YEAR(Lists!E$21)-YEAR($J14))*12+MONTH(Lists!E$21)-MONTH($J14))-(EDATE($J14,((YEAR(Lists!E$21)-YEAR($J14))*12+MONTH(Lists!E$21)-MONTH($J14)))&gt;Lists!E$21)+1)))-IF(Lists!E$22&lt;$J14,0,MIN($AO14,(((YEAR(Lists!E$22)-YEAR($J14))*12+MONTH(Lists!E$22)-MONTH($J14))-(EDATE($J14,((YEAR(Lists!E$22)-YEAR($J14))*12+MONTH(Lists!E$22)-MONTH($J14)))&gt;Lists!E$22)+1)))),IF($AP14="F",IF(N($K14)&lt;=0,0,MIN(MAX(0,$H14),N($K14)*IF(Lists!E$21&lt;$J14,0,(((YEAR(Lists!E$21)-YEAR($J14))*12+MONTH(Lists!E$21)-MONTH($J14))-(EDATE($J14,((YEAR(Lists!E$21)-YEAR($J14))*12+MONTH(Lists!E$21)-MONTH($J14)))&gt;Lists!E$21)+1)))-MIN(MAX(0,$H14),N($K14)*IF(Lists!E$22&lt;$J14,0,(((YEAR(Lists!E$22)-YEAR($J14))*12+MONTH(Lists!E$22)-MONTH($J14))-(EDATE($J14,((YEAR(Lists!E$22)-YEAR($J14))*12+MONTH(Lists!E$22)-MONTH($J14)))&gt;Lists!E$22)+1)))),N($C14)*IF($AE14-$AD14&lt;1,($AD14&gt;Lists!E$22)*($AD14&lt;=Lists!E$21),MAX(0,MIN(Lists!E$21,$AE14)-MAX(Lists!E$22,$AD14))/($AE14-$AD14))+N($D14)*IF($AG14-$AF14&lt;1,($AF14&gt;Lists!E$22)*($AF14&lt;=Lists!E$21),MAX(0,MIN(Lists!E$21,$AG14)-MAX(Lists!E$22,$AF14))/($AG14-$AF14))+N($E14)*IF($AI14-$AH14&lt;1,($AH14&gt;Lists!E$22)*($AH14&lt;=Lists!E$21),MAX(0,MIN(Lists!E$21,$AI14)-MAX(Lists!E$22,$AH14))/($AI14-$AH14))+N($F14)*IF($AK14-$AJ14&lt;1,($AJ14&gt;Lists!E$22)*($AJ14&lt;=Lists!E$21),MAX(0,MIN(Lists!E$21,$AK14)-MAX(Lists!E$22,$AJ14))/($AK14-$AJ14))+N($G14)*IF($AM14-$AL14&lt;1,($AL14&gt;Lists!E$22)*($AL14&lt;=Lists!E$21),MAX(0,MIN(Lists!E$21,$AM14)-MAX(Lists!E$22,$AL14))/($AM14-$AL14))))))))</f>
        <v>0</v>
      </c>
      <c r="P14" s="53" t="n">
        <f aca="false">IF($H14=0,0,IF($AP14="X",0,IF($AP14="S",$H14/$AO14*(MIN($AO14,MAX(0,INT((Lists!F$21-N($J14))/7)+1))-MIN($AO14,MAX(0,INT((Lists!F$22-N($J14))/7)+1))),IF($AP14="D",$H14*MAX(0,MIN(Lists!F$21,N($J14)+$AO14)-MAX(Lists!F$22,N($J14)))/$AO14,IF($AP14="M",$H14/$AO14*(IF(Lists!F$21&lt;$J14,0,MIN($AO14,(((YEAR(Lists!F$21)-YEAR($J14))*12+MONTH(Lists!F$21)-MONTH($J14))-(EDATE($J14,((YEAR(Lists!F$21)-YEAR($J14))*12+MONTH(Lists!F$21)-MONTH($J14)))&gt;Lists!F$21)+1)))-IF(Lists!F$22&lt;$J14,0,MIN($AO14,(((YEAR(Lists!F$22)-YEAR($J14))*12+MONTH(Lists!F$22)-MONTH($J14))-(EDATE($J14,((YEAR(Lists!F$22)-YEAR($J14))*12+MONTH(Lists!F$22)-MONTH($J14)))&gt;Lists!F$22)+1)))),IF($AP14="F",IF(N($K14)&lt;=0,0,MIN(MAX(0,$H14),N($K14)*IF(Lists!F$21&lt;$J14,0,(((YEAR(Lists!F$21)-YEAR($J14))*12+MONTH(Lists!F$21)-MONTH($J14))-(EDATE($J14,((YEAR(Lists!F$21)-YEAR($J14))*12+MONTH(Lists!F$21)-MONTH($J14)))&gt;Lists!F$21)+1)))-MIN(MAX(0,$H14),N($K14)*IF(Lists!F$22&lt;$J14,0,(((YEAR(Lists!F$22)-YEAR($J14))*12+MONTH(Lists!F$22)-MONTH($J14))-(EDATE($J14,((YEAR(Lists!F$22)-YEAR($J14))*12+MONTH(Lists!F$22)-MONTH($J14)))&gt;Lists!F$22)+1)))),N($C14)*IF($AE14-$AD14&lt;1,($AD14&gt;Lists!F$22)*($AD14&lt;=Lists!F$21),MAX(0,MIN(Lists!F$21,$AE14)-MAX(Lists!F$22,$AD14))/($AE14-$AD14))+N($D14)*IF($AG14-$AF14&lt;1,($AF14&gt;Lists!F$22)*($AF14&lt;=Lists!F$21),MAX(0,MIN(Lists!F$21,$AG14)-MAX(Lists!F$22,$AF14))/($AG14-$AF14))+N($E14)*IF($AI14-$AH14&lt;1,($AH14&gt;Lists!F$22)*($AH14&lt;=Lists!F$21),MAX(0,MIN(Lists!F$21,$AI14)-MAX(Lists!F$22,$AH14))/($AI14-$AH14))+N($F14)*IF($AK14-$AJ14&lt;1,($AJ14&gt;Lists!F$22)*($AJ14&lt;=Lists!F$21),MAX(0,MIN(Lists!F$21,$AK14)-MAX(Lists!F$22,$AJ14))/($AK14-$AJ14))+N($G14)*IF($AM14-$AL14&lt;1,($AL14&gt;Lists!F$22)*($AL14&lt;=Lists!F$21),MAX(0,MIN(Lists!F$21,$AM14)-MAX(Lists!F$22,$AL14))/($AM14-$AL14))))))))</f>
        <v>0</v>
      </c>
      <c r="Q14" s="53" t="n">
        <f aca="false">IF($H14=0,0,IF($AP14="X",0,IF($AP14="S",$H14/$AO14*(MIN($AO14,MAX(0,INT((Lists!G$21-N($J14))/7)+1))-MIN($AO14,MAX(0,INT((Lists!G$22-N($J14))/7)+1))),IF($AP14="D",$H14*MAX(0,MIN(Lists!G$21,N($J14)+$AO14)-MAX(Lists!G$22,N($J14)))/$AO14,IF($AP14="M",$H14/$AO14*(IF(Lists!G$21&lt;$J14,0,MIN($AO14,(((YEAR(Lists!G$21)-YEAR($J14))*12+MONTH(Lists!G$21)-MONTH($J14))-(EDATE($J14,((YEAR(Lists!G$21)-YEAR($J14))*12+MONTH(Lists!G$21)-MONTH($J14)))&gt;Lists!G$21)+1)))-IF(Lists!G$22&lt;$J14,0,MIN($AO14,(((YEAR(Lists!G$22)-YEAR($J14))*12+MONTH(Lists!G$22)-MONTH($J14))-(EDATE($J14,((YEAR(Lists!G$22)-YEAR($J14))*12+MONTH(Lists!G$22)-MONTH($J14)))&gt;Lists!G$22)+1)))),IF($AP14="F",IF(N($K14)&lt;=0,0,MIN(MAX(0,$H14),N($K14)*IF(Lists!G$21&lt;$J14,0,(((YEAR(Lists!G$21)-YEAR($J14))*12+MONTH(Lists!G$21)-MONTH($J14))-(EDATE($J14,((YEAR(Lists!G$21)-YEAR($J14))*12+MONTH(Lists!G$21)-MONTH($J14)))&gt;Lists!G$21)+1)))-MIN(MAX(0,$H14),N($K14)*IF(Lists!G$22&lt;$J14,0,(((YEAR(Lists!G$22)-YEAR($J14))*12+MONTH(Lists!G$22)-MONTH($J14))-(EDATE($J14,((YEAR(Lists!G$22)-YEAR($J14))*12+MONTH(Lists!G$22)-MONTH($J14)))&gt;Lists!G$22)+1)))),N($C14)*IF($AE14-$AD14&lt;1,($AD14&gt;Lists!G$22)*($AD14&lt;=Lists!G$21),MAX(0,MIN(Lists!G$21,$AE14)-MAX(Lists!G$22,$AD14))/($AE14-$AD14))+N($D14)*IF($AG14-$AF14&lt;1,($AF14&gt;Lists!G$22)*($AF14&lt;=Lists!G$21),MAX(0,MIN(Lists!G$21,$AG14)-MAX(Lists!G$22,$AF14))/($AG14-$AF14))+N($E14)*IF($AI14-$AH14&lt;1,($AH14&gt;Lists!G$22)*($AH14&lt;=Lists!G$21),MAX(0,MIN(Lists!G$21,$AI14)-MAX(Lists!G$22,$AH14))/($AI14-$AH14))+N($F14)*IF($AK14-$AJ14&lt;1,($AJ14&gt;Lists!G$22)*($AJ14&lt;=Lists!G$21),MAX(0,MIN(Lists!G$21,$AK14)-MAX(Lists!G$22,$AJ14))/($AK14-$AJ14))+N($G14)*IF($AM14-$AL14&lt;1,($AL14&gt;Lists!G$22)*($AL14&lt;=Lists!G$21),MAX(0,MIN(Lists!G$21,$AM14)-MAX(Lists!G$22,$AL14))/($AM14-$AL14))))))))</f>
        <v>0</v>
      </c>
      <c r="R14" s="53" t="n">
        <f aca="false">IF($H14=0,0,IF($AP14="X",0,IF($AP14="S",$H14/$AO14*(MIN($AO14,MAX(0,INT((Lists!H$21-N($J14))/7)+1))-MIN($AO14,MAX(0,INT((Lists!H$22-N($J14))/7)+1))),IF($AP14="D",$H14*MAX(0,MIN(Lists!H$21,N($J14)+$AO14)-MAX(Lists!H$22,N($J14)))/$AO14,IF($AP14="M",$H14/$AO14*(IF(Lists!H$21&lt;$J14,0,MIN($AO14,(((YEAR(Lists!H$21)-YEAR($J14))*12+MONTH(Lists!H$21)-MONTH($J14))-(EDATE($J14,((YEAR(Lists!H$21)-YEAR($J14))*12+MONTH(Lists!H$21)-MONTH($J14)))&gt;Lists!H$21)+1)))-IF(Lists!H$22&lt;$J14,0,MIN($AO14,(((YEAR(Lists!H$22)-YEAR($J14))*12+MONTH(Lists!H$22)-MONTH($J14))-(EDATE($J14,((YEAR(Lists!H$22)-YEAR($J14))*12+MONTH(Lists!H$22)-MONTH($J14)))&gt;Lists!H$22)+1)))),IF($AP14="F",IF(N($K14)&lt;=0,0,MIN(MAX(0,$H14),N($K14)*IF(Lists!H$21&lt;$J14,0,(((YEAR(Lists!H$21)-YEAR($J14))*12+MONTH(Lists!H$21)-MONTH($J14))-(EDATE($J14,((YEAR(Lists!H$21)-YEAR($J14))*12+MONTH(Lists!H$21)-MONTH($J14)))&gt;Lists!H$21)+1)))-MIN(MAX(0,$H14),N($K14)*IF(Lists!H$22&lt;$J14,0,(((YEAR(Lists!H$22)-YEAR($J14))*12+MONTH(Lists!H$22)-MONTH($J14))-(EDATE($J14,((YEAR(Lists!H$22)-YEAR($J14))*12+MONTH(Lists!H$22)-MONTH($J14)))&gt;Lists!H$22)+1)))),N($C14)*IF($AE14-$AD14&lt;1,($AD14&gt;Lists!H$22)*($AD14&lt;=Lists!H$21),MAX(0,MIN(Lists!H$21,$AE14)-MAX(Lists!H$22,$AD14))/($AE14-$AD14))+N($D14)*IF($AG14-$AF14&lt;1,($AF14&gt;Lists!H$22)*($AF14&lt;=Lists!H$21),MAX(0,MIN(Lists!H$21,$AG14)-MAX(Lists!H$22,$AF14))/($AG14-$AF14))+N($E14)*IF($AI14-$AH14&lt;1,($AH14&gt;Lists!H$22)*($AH14&lt;=Lists!H$21),MAX(0,MIN(Lists!H$21,$AI14)-MAX(Lists!H$22,$AH14))/($AI14-$AH14))+N($F14)*IF($AK14-$AJ14&lt;1,($AJ14&gt;Lists!H$22)*($AJ14&lt;=Lists!H$21),MAX(0,MIN(Lists!H$21,$AK14)-MAX(Lists!H$22,$AJ14))/($AK14-$AJ14))+N($G14)*IF($AM14-$AL14&lt;1,($AL14&gt;Lists!H$22)*($AL14&lt;=Lists!H$21),MAX(0,MIN(Lists!H$21,$AM14)-MAX(Lists!H$22,$AL14))/($AM14-$AL14))))))))</f>
        <v>0</v>
      </c>
      <c r="S14" s="53" t="n">
        <f aca="false">IF($H14=0,0,IF($AP14="X",0,IF($AP14="S",$H14/$AO14*(MIN($AO14,MAX(0,INT((Lists!I$21-N($J14))/7)+1))-MIN($AO14,MAX(0,INT((Lists!I$22-N($J14))/7)+1))),IF($AP14="D",$H14*MAX(0,MIN(Lists!I$21,N($J14)+$AO14)-MAX(Lists!I$22,N($J14)))/$AO14,IF($AP14="M",$H14/$AO14*(IF(Lists!I$21&lt;$J14,0,MIN($AO14,(((YEAR(Lists!I$21)-YEAR($J14))*12+MONTH(Lists!I$21)-MONTH($J14))-(EDATE($J14,((YEAR(Lists!I$21)-YEAR($J14))*12+MONTH(Lists!I$21)-MONTH($J14)))&gt;Lists!I$21)+1)))-IF(Lists!I$22&lt;$J14,0,MIN($AO14,(((YEAR(Lists!I$22)-YEAR($J14))*12+MONTH(Lists!I$22)-MONTH($J14))-(EDATE($J14,((YEAR(Lists!I$22)-YEAR($J14))*12+MONTH(Lists!I$22)-MONTH($J14)))&gt;Lists!I$22)+1)))),IF($AP14="F",IF(N($K14)&lt;=0,0,MIN(MAX(0,$H14),N($K14)*IF(Lists!I$21&lt;$J14,0,(((YEAR(Lists!I$21)-YEAR($J14))*12+MONTH(Lists!I$21)-MONTH($J14))-(EDATE($J14,((YEAR(Lists!I$21)-YEAR($J14))*12+MONTH(Lists!I$21)-MONTH($J14)))&gt;Lists!I$21)+1)))-MIN(MAX(0,$H14),N($K14)*IF(Lists!I$22&lt;$J14,0,(((YEAR(Lists!I$22)-YEAR($J14))*12+MONTH(Lists!I$22)-MONTH($J14))-(EDATE($J14,((YEAR(Lists!I$22)-YEAR($J14))*12+MONTH(Lists!I$22)-MONTH($J14)))&gt;Lists!I$22)+1)))),N($C14)*IF($AE14-$AD14&lt;1,($AD14&gt;Lists!I$22)*($AD14&lt;=Lists!I$21),MAX(0,MIN(Lists!I$21,$AE14)-MAX(Lists!I$22,$AD14))/($AE14-$AD14))+N($D14)*IF($AG14-$AF14&lt;1,($AF14&gt;Lists!I$22)*($AF14&lt;=Lists!I$21),MAX(0,MIN(Lists!I$21,$AG14)-MAX(Lists!I$22,$AF14))/($AG14-$AF14))+N($E14)*IF($AI14-$AH14&lt;1,($AH14&gt;Lists!I$22)*($AH14&lt;=Lists!I$21),MAX(0,MIN(Lists!I$21,$AI14)-MAX(Lists!I$22,$AH14))/($AI14-$AH14))+N($F14)*IF($AK14-$AJ14&lt;1,($AJ14&gt;Lists!I$22)*($AJ14&lt;=Lists!I$21),MAX(0,MIN(Lists!I$21,$AK14)-MAX(Lists!I$22,$AJ14))/($AK14-$AJ14))+N($G14)*IF($AM14-$AL14&lt;1,($AL14&gt;Lists!I$22)*($AL14&lt;=Lists!I$21),MAX(0,MIN(Lists!I$21,$AM14)-MAX(Lists!I$22,$AL14))/($AM14-$AL14))))))))</f>
        <v>0</v>
      </c>
      <c r="T14" s="53" t="n">
        <f aca="false">IF($H14=0,0,IF($AP14="X",0,IF($AP14="S",$H14/$AO14*(MIN($AO14,MAX(0,INT((Lists!J$21-N($J14))/7)+1))-MIN($AO14,MAX(0,INT((Lists!J$22-N($J14))/7)+1))),IF($AP14="D",$H14*MAX(0,MIN(Lists!J$21,N($J14)+$AO14)-MAX(Lists!J$22,N($J14)))/$AO14,IF($AP14="M",$H14/$AO14*(IF(Lists!J$21&lt;$J14,0,MIN($AO14,(((YEAR(Lists!J$21)-YEAR($J14))*12+MONTH(Lists!J$21)-MONTH($J14))-(EDATE($J14,((YEAR(Lists!J$21)-YEAR($J14))*12+MONTH(Lists!J$21)-MONTH($J14)))&gt;Lists!J$21)+1)))-IF(Lists!J$22&lt;$J14,0,MIN($AO14,(((YEAR(Lists!J$22)-YEAR($J14))*12+MONTH(Lists!J$22)-MONTH($J14))-(EDATE($J14,((YEAR(Lists!J$22)-YEAR($J14))*12+MONTH(Lists!J$22)-MONTH($J14)))&gt;Lists!J$22)+1)))),IF($AP14="F",IF(N($K14)&lt;=0,0,MIN(MAX(0,$H14),N($K14)*IF(Lists!J$21&lt;$J14,0,(((YEAR(Lists!J$21)-YEAR($J14))*12+MONTH(Lists!J$21)-MONTH($J14))-(EDATE($J14,((YEAR(Lists!J$21)-YEAR($J14))*12+MONTH(Lists!J$21)-MONTH($J14)))&gt;Lists!J$21)+1)))-MIN(MAX(0,$H14),N($K14)*IF(Lists!J$22&lt;$J14,0,(((YEAR(Lists!J$22)-YEAR($J14))*12+MONTH(Lists!J$22)-MONTH($J14))-(EDATE($J14,((YEAR(Lists!J$22)-YEAR($J14))*12+MONTH(Lists!J$22)-MONTH($J14)))&gt;Lists!J$22)+1)))),N($C14)*IF($AE14-$AD14&lt;1,($AD14&gt;Lists!J$22)*($AD14&lt;=Lists!J$21),MAX(0,MIN(Lists!J$21,$AE14)-MAX(Lists!J$22,$AD14))/($AE14-$AD14))+N($D14)*IF($AG14-$AF14&lt;1,($AF14&gt;Lists!J$22)*($AF14&lt;=Lists!J$21),MAX(0,MIN(Lists!J$21,$AG14)-MAX(Lists!J$22,$AF14))/($AG14-$AF14))+N($E14)*IF($AI14-$AH14&lt;1,($AH14&gt;Lists!J$22)*($AH14&lt;=Lists!J$21),MAX(0,MIN(Lists!J$21,$AI14)-MAX(Lists!J$22,$AH14))/($AI14-$AH14))+N($F14)*IF($AK14-$AJ14&lt;1,($AJ14&gt;Lists!J$22)*($AJ14&lt;=Lists!J$21),MAX(0,MIN(Lists!J$21,$AK14)-MAX(Lists!J$22,$AJ14))/($AK14-$AJ14))+N($G14)*IF($AM14-$AL14&lt;1,($AL14&gt;Lists!J$22)*($AL14&lt;=Lists!J$21),MAX(0,MIN(Lists!J$21,$AM14)-MAX(Lists!J$22,$AL14))/($AM14-$AL14))))))))</f>
        <v>0</v>
      </c>
      <c r="U14" s="53" t="n">
        <f aca="false">IF($H14=0,0,IF($AP14="X",0,IF($AP14="S",$H14/$AO14*(MIN($AO14,MAX(0,INT((Lists!K$21-N($J14))/7)+1))-MIN($AO14,MAX(0,INT((Lists!K$22-N($J14))/7)+1))),IF($AP14="D",$H14*MAX(0,MIN(Lists!K$21,N($J14)+$AO14)-MAX(Lists!K$22,N($J14)))/$AO14,IF($AP14="M",$H14/$AO14*(IF(Lists!K$21&lt;$J14,0,MIN($AO14,(((YEAR(Lists!K$21)-YEAR($J14))*12+MONTH(Lists!K$21)-MONTH($J14))-(EDATE($J14,((YEAR(Lists!K$21)-YEAR($J14))*12+MONTH(Lists!K$21)-MONTH($J14)))&gt;Lists!K$21)+1)))-IF(Lists!K$22&lt;$J14,0,MIN($AO14,(((YEAR(Lists!K$22)-YEAR($J14))*12+MONTH(Lists!K$22)-MONTH($J14))-(EDATE($J14,((YEAR(Lists!K$22)-YEAR($J14))*12+MONTH(Lists!K$22)-MONTH($J14)))&gt;Lists!K$22)+1)))),IF($AP14="F",IF(N($K14)&lt;=0,0,MIN(MAX(0,$H14),N($K14)*IF(Lists!K$21&lt;$J14,0,(((YEAR(Lists!K$21)-YEAR($J14))*12+MONTH(Lists!K$21)-MONTH($J14))-(EDATE($J14,((YEAR(Lists!K$21)-YEAR($J14))*12+MONTH(Lists!K$21)-MONTH($J14)))&gt;Lists!K$21)+1)))-MIN(MAX(0,$H14),N($K14)*IF(Lists!K$22&lt;$J14,0,(((YEAR(Lists!K$22)-YEAR($J14))*12+MONTH(Lists!K$22)-MONTH($J14))-(EDATE($J14,((YEAR(Lists!K$22)-YEAR($J14))*12+MONTH(Lists!K$22)-MONTH($J14)))&gt;Lists!K$22)+1)))),N($C14)*IF($AE14-$AD14&lt;1,($AD14&gt;Lists!K$22)*($AD14&lt;=Lists!K$21),MAX(0,MIN(Lists!K$21,$AE14)-MAX(Lists!K$22,$AD14))/($AE14-$AD14))+N($D14)*IF($AG14-$AF14&lt;1,($AF14&gt;Lists!K$22)*($AF14&lt;=Lists!K$21),MAX(0,MIN(Lists!K$21,$AG14)-MAX(Lists!K$22,$AF14))/($AG14-$AF14))+N($E14)*IF($AI14-$AH14&lt;1,($AH14&gt;Lists!K$22)*($AH14&lt;=Lists!K$21),MAX(0,MIN(Lists!K$21,$AI14)-MAX(Lists!K$22,$AH14))/($AI14-$AH14))+N($F14)*IF($AK14-$AJ14&lt;1,($AJ14&gt;Lists!K$22)*($AJ14&lt;=Lists!K$21),MAX(0,MIN(Lists!K$21,$AK14)-MAX(Lists!K$22,$AJ14))/($AK14-$AJ14))+N($G14)*IF($AM14-$AL14&lt;1,($AL14&gt;Lists!K$22)*($AL14&lt;=Lists!K$21),MAX(0,MIN(Lists!K$21,$AM14)-MAX(Lists!K$22,$AL14))/($AM14-$AL14))))))))</f>
        <v>0</v>
      </c>
      <c r="V14" s="53" t="n">
        <f aca="false">IF($H14=0,0,IF($AP14="X",0,IF($AP14="S",$H14/$AO14*(MIN($AO14,MAX(0,INT((Lists!L$21-N($J14))/7)+1))-MIN($AO14,MAX(0,INT((Lists!L$22-N($J14))/7)+1))),IF($AP14="D",$H14*MAX(0,MIN(Lists!L$21,N($J14)+$AO14)-MAX(Lists!L$22,N($J14)))/$AO14,IF($AP14="M",$H14/$AO14*(IF(Lists!L$21&lt;$J14,0,MIN($AO14,(((YEAR(Lists!L$21)-YEAR($J14))*12+MONTH(Lists!L$21)-MONTH($J14))-(EDATE($J14,((YEAR(Lists!L$21)-YEAR($J14))*12+MONTH(Lists!L$21)-MONTH($J14)))&gt;Lists!L$21)+1)))-IF(Lists!L$22&lt;$J14,0,MIN($AO14,(((YEAR(Lists!L$22)-YEAR($J14))*12+MONTH(Lists!L$22)-MONTH($J14))-(EDATE($J14,((YEAR(Lists!L$22)-YEAR($J14))*12+MONTH(Lists!L$22)-MONTH($J14)))&gt;Lists!L$22)+1)))),IF($AP14="F",IF(N($K14)&lt;=0,0,MIN(MAX(0,$H14),N($K14)*IF(Lists!L$21&lt;$J14,0,(((YEAR(Lists!L$21)-YEAR($J14))*12+MONTH(Lists!L$21)-MONTH($J14))-(EDATE($J14,((YEAR(Lists!L$21)-YEAR($J14))*12+MONTH(Lists!L$21)-MONTH($J14)))&gt;Lists!L$21)+1)))-MIN(MAX(0,$H14),N($K14)*IF(Lists!L$22&lt;$J14,0,(((YEAR(Lists!L$22)-YEAR($J14))*12+MONTH(Lists!L$22)-MONTH($J14))-(EDATE($J14,((YEAR(Lists!L$22)-YEAR($J14))*12+MONTH(Lists!L$22)-MONTH($J14)))&gt;Lists!L$22)+1)))),N($C14)*IF($AE14-$AD14&lt;1,($AD14&gt;Lists!L$22)*($AD14&lt;=Lists!L$21),MAX(0,MIN(Lists!L$21,$AE14)-MAX(Lists!L$22,$AD14))/($AE14-$AD14))+N($D14)*IF($AG14-$AF14&lt;1,($AF14&gt;Lists!L$22)*($AF14&lt;=Lists!L$21),MAX(0,MIN(Lists!L$21,$AG14)-MAX(Lists!L$22,$AF14))/($AG14-$AF14))+N($E14)*IF($AI14-$AH14&lt;1,($AH14&gt;Lists!L$22)*($AH14&lt;=Lists!L$21),MAX(0,MIN(Lists!L$21,$AI14)-MAX(Lists!L$22,$AH14))/($AI14-$AH14))+N($F14)*IF($AK14-$AJ14&lt;1,($AJ14&gt;Lists!L$22)*($AJ14&lt;=Lists!L$21),MAX(0,MIN(Lists!L$21,$AK14)-MAX(Lists!L$22,$AJ14))/($AK14-$AJ14))+N($G14)*IF($AM14-$AL14&lt;1,($AL14&gt;Lists!L$22)*($AL14&lt;=Lists!L$21),MAX(0,MIN(Lists!L$21,$AM14)-MAX(Lists!L$22,$AL14))/($AM14-$AL14))))))))</f>
        <v>0</v>
      </c>
      <c r="W14" s="53" t="n">
        <f aca="false">IF($H14=0,0,IF($AP14="X",0,IF($AP14="S",$H14/$AO14*(MIN($AO14,MAX(0,INT((Lists!M$21-N($J14))/7)+1))-MIN($AO14,MAX(0,INT((Lists!M$22-N($J14))/7)+1))),IF($AP14="D",$H14*MAX(0,MIN(Lists!M$21,N($J14)+$AO14)-MAX(Lists!M$22,N($J14)))/$AO14,IF($AP14="M",$H14/$AO14*(IF(Lists!M$21&lt;$J14,0,MIN($AO14,(((YEAR(Lists!M$21)-YEAR($J14))*12+MONTH(Lists!M$21)-MONTH($J14))-(EDATE($J14,((YEAR(Lists!M$21)-YEAR($J14))*12+MONTH(Lists!M$21)-MONTH($J14)))&gt;Lists!M$21)+1)))-IF(Lists!M$22&lt;$J14,0,MIN($AO14,(((YEAR(Lists!M$22)-YEAR($J14))*12+MONTH(Lists!M$22)-MONTH($J14))-(EDATE($J14,((YEAR(Lists!M$22)-YEAR($J14))*12+MONTH(Lists!M$22)-MONTH($J14)))&gt;Lists!M$22)+1)))),IF($AP14="F",IF(N($K14)&lt;=0,0,MIN(MAX(0,$H14),N($K14)*IF(Lists!M$21&lt;$J14,0,(((YEAR(Lists!M$21)-YEAR($J14))*12+MONTH(Lists!M$21)-MONTH($J14))-(EDATE($J14,((YEAR(Lists!M$21)-YEAR($J14))*12+MONTH(Lists!M$21)-MONTH($J14)))&gt;Lists!M$21)+1)))-MIN(MAX(0,$H14),N($K14)*IF(Lists!M$22&lt;$J14,0,(((YEAR(Lists!M$22)-YEAR($J14))*12+MONTH(Lists!M$22)-MONTH($J14))-(EDATE($J14,((YEAR(Lists!M$22)-YEAR($J14))*12+MONTH(Lists!M$22)-MONTH($J14)))&gt;Lists!M$22)+1)))),N($C14)*IF($AE14-$AD14&lt;1,($AD14&gt;Lists!M$22)*($AD14&lt;=Lists!M$21),MAX(0,MIN(Lists!M$21,$AE14)-MAX(Lists!M$22,$AD14))/($AE14-$AD14))+N($D14)*IF($AG14-$AF14&lt;1,($AF14&gt;Lists!M$22)*($AF14&lt;=Lists!M$21),MAX(0,MIN(Lists!M$21,$AG14)-MAX(Lists!M$22,$AF14))/($AG14-$AF14))+N($E14)*IF($AI14-$AH14&lt;1,($AH14&gt;Lists!M$22)*($AH14&lt;=Lists!M$21),MAX(0,MIN(Lists!M$21,$AI14)-MAX(Lists!M$22,$AH14))/($AI14-$AH14))+N($F14)*IF($AK14-$AJ14&lt;1,($AJ14&gt;Lists!M$22)*($AJ14&lt;=Lists!M$21),MAX(0,MIN(Lists!M$21,$AK14)-MAX(Lists!M$22,$AJ14))/($AK14-$AJ14))+N($G14)*IF($AM14-$AL14&lt;1,($AL14&gt;Lists!M$22)*($AL14&lt;=Lists!M$21),MAX(0,MIN(Lists!M$21,$AM14)-MAX(Lists!M$22,$AL14))/($AM14-$AL14))))))))</f>
        <v>0</v>
      </c>
      <c r="X14" s="53" t="n">
        <f aca="false">IF($H14=0,0,IF($AP14="X",0,IF($AP14="S",$H14/$AO14*(MIN($AO14,MAX(0,INT((Lists!N$21-N($J14))/7)+1))-MIN($AO14,MAX(0,INT((Lists!N$22-N($J14))/7)+1))),IF($AP14="D",$H14*MAX(0,MIN(Lists!N$21,N($J14)+$AO14)-MAX(Lists!N$22,N($J14)))/$AO14,IF($AP14="M",$H14/$AO14*(IF(Lists!N$21&lt;$J14,0,MIN($AO14,(((YEAR(Lists!N$21)-YEAR($J14))*12+MONTH(Lists!N$21)-MONTH($J14))-(EDATE($J14,((YEAR(Lists!N$21)-YEAR($J14))*12+MONTH(Lists!N$21)-MONTH($J14)))&gt;Lists!N$21)+1)))-IF(Lists!N$22&lt;$J14,0,MIN($AO14,(((YEAR(Lists!N$22)-YEAR($J14))*12+MONTH(Lists!N$22)-MONTH($J14))-(EDATE($J14,((YEAR(Lists!N$22)-YEAR($J14))*12+MONTH(Lists!N$22)-MONTH($J14)))&gt;Lists!N$22)+1)))),IF($AP14="F",IF(N($K14)&lt;=0,0,MIN(MAX(0,$H14),N($K14)*IF(Lists!N$21&lt;$J14,0,(((YEAR(Lists!N$21)-YEAR($J14))*12+MONTH(Lists!N$21)-MONTH($J14))-(EDATE($J14,((YEAR(Lists!N$21)-YEAR($J14))*12+MONTH(Lists!N$21)-MONTH($J14)))&gt;Lists!N$21)+1)))-MIN(MAX(0,$H14),N($K14)*IF(Lists!N$22&lt;$J14,0,(((YEAR(Lists!N$22)-YEAR($J14))*12+MONTH(Lists!N$22)-MONTH($J14))-(EDATE($J14,((YEAR(Lists!N$22)-YEAR($J14))*12+MONTH(Lists!N$22)-MONTH($J14)))&gt;Lists!N$22)+1)))),N($C14)*IF($AE14-$AD14&lt;1,($AD14&gt;Lists!N$22)*($AD14&lt;=Lists!N$21),MAX(0,MIN(Lists!N$21,$AE14)-MAX(Lists!N$22,$AD14))/($AE14-$AD14))+N($D14)*IF($AG14-$AF14&lt;1,($AF14&gt;Lists!N$22)*($AF14&lt;=Lists!N$21),MAX(0,MIN(Lists!N$21,$AG14)-MAX(Lists!N$22,$AF14))/($AG14-$AF14))+N($E14)*IF($AI14-$AH14&lt;1,($AH14&gt;Lists!N$22)*($AH14&lt;=Lists!N$21),MAX(0,MIN(Lists!N$21,$AI14)-MAX(Lists!N$22,$AH14))/($AI14-$AH14))+N($F14)*IF($AK14-$AJ14&lt;1,($AJ14&gt;Lists!N$22)*($AJ14&lt;=Lists!N$21),MAX(0,MIN(Lists!N$21,$AK14)-MAX(Lists!N$22,$AJ14))/($AK14-$AJ14))+N($G14)*IF($AM14-$AL14&lt;1,($AL14&gt;Lists!N$22)*($AL14&lt;=Lists!N$21),MAX(0,MIN(Lists!N$21,$AM14)-MAX(Lists!N$22,$AL14))/($AM14-$AL14))))))))</f>
        <v>0</v>
      </c>
      <c r="Y14" s="53" t="n">
        <f aca="false">IF($H14=0,0,IF($AP14="X",0,IF($AP14="S",$H14/$AO14*(MIN($AO14,MAX(0,INT((Lists!O$21-N($J14))/7)+1))-MIN($AO14,MAX(0,INT((Lists!O$22-N($J14))/7)+1))),IF($AP14="D",$H14*MAX(0,MIN(Lists!O$21,N($J14)+$AO14)-MAX(Lists!O$22,N($J14)))/$AO14,IF($AP14="M",$H14/$AO14*(IF(Lists!O$21&lt;$J14,0,MIN($AO14,(((YEAR(Lists!O$21)-YEAR($J14))*12+MONTH(Lists!O$21)-MONTH($J14))-(EDATE($J14,((YEAR(Lists!O$21)-YEAR($J14))*12+MONTH(Lists!O$21)-MONTH($J14)))&gt;Lists!O$21)+1)))-IF(Lists!O$22&lt;$J14,0,MIN($AO14,(((YEAR(Lists!O$22)-YEAR($J14))*12+MONTH(Lists!O$22)-MONTH($J14))-(EDATE($J14,((YEAR(Lists!O$22)-YEAR($J14))*12+MONTH(Lists!O$22)-MONTH($J14)))&gt;Lists!O$22)+1)))),IF($AP14="F",IF(N($K14)&lt;=0,0,MIN(MAX(0,$H14),N($K14)*IF(Lists!O$21&lt;$J14,0,(((YEAR(Lists!O$21)-YEAR($J14))*12+MONTH(Lists!O$21)-MONTH($J14))-(EDATE($J14,((YEAR(Lists!O$21)-YEAR($J14))*12+MONTH(Lists!O$21)-MONTH($J14)))&gt;Lists!O$21)+1)))-MIN(MAX(0,$H14),N($K14)*IF(Lists!O$22&lt;$J14,0,(((YEAR(Lists!O$22)-YEAR($J14))*12+MONTH(Lists!O$22)-MONTH($J14))-(EDATE($J14,((YEAR(Lists!O$22)-YEAR($J14))*12+MONTH(Lists!O$22)-MONTH($J14)))&gt;Lists!O$22)+1)))),N($C14)*IF($AE14-$AD14&lt;1,($AD14&gt;Lists!O$22)*($AD14&lt;=Lists!O$21),MAX(0,MIN(Lists!O$21,$AE14)-MAX(Lists!O$22,$AD14))/($AE14-$AD14))+N($D14)*IF($AG14-$AF14&lt;1,($AF14&gt;Lists!O$22)*($AF14&lt;=Lists!O$21),MAX(0,MIN(Lists!O$21,$AG14)-MAX(Lists!O$22,$AF14))/($AG14-$AF14))+N($E14)*IF($AI14-$AH14&lt;1,($AH14&gt;Lists!O$22)*($AH14&lt;=Lists!O$21),MAX(0,MIN(Lists!O$21,$AI14)-MAX(Lists!O$22,$AH14))/($AI14-$AH14))+N($F14)*IF($AK14-$AJ14&lt;1,($AJ14&gt;Lists!O$22)*($AJ14&lt;=Lists!O$21),MAX(0,MIN(Lists!O$21,$AK14)-MAX(Lists!O$22,$AJ14))/($AK14-$AJ14))+N($G14)*IF($AM14-$AL14&lt;1,($AL14&gt;Lists!O$22)*($AL14&lt;=Lists!O$21),MAX(0,MIN(Lists!O$21,$AM14)-MAX(Lists!O$22,$AL14))/($AM14-$AL14))))))))</f>
        <v>0</v>
      </c>
      <c r="Z14" s="46" t="n">
        <f aca="false">SUM(M14:Y14)</f>
        <v>0</v>
      </c>
      <c r="AA14" s="92" t="n">
        <f aca="false">H14-Z14</f>
        <v>0</v>
      </c>
      <c r="AB14" s="55"/>
      <c r="AC14" s="2"/>
      <c r="AD14" s="93" t="n">
        <f aca="false">Setup!$D$10+MAX(0,$AN14-30)</f>
        <v>46345</v>
      </c>
      <c r="AE14" s="93" t="n">
        <f aca="false">Setup!$D$10+IF($AN14-30&lt;0,MAX(Setup!$D$22,$AN14-0),$AN14-0)</f>
        <v>46375</v>
      </c>
      <c r="AF14" s="93" t="n">
        <f aca="false">Setup!$D$10+MAX(0,$AN14-60)</f>
        <v>46335</v>
      </c>
      <c r="AG14" s="93" t="n">
        <f aca="false">Setup!$D$10+IF($AN14-60&lt;0,MAX(Setup!$D$22,$AN14-31),$AN14-31)</f>
        <v>46363</v>
      </c>
      <c r="AH14" s="93" t="n">
        <f aca="false">Setup!$D$10+MAX(0,$AN14-90)</f>
        <v>46335</v>
      </c>
      <c r="AI14" s="93" t="n">
        <f aca="false">Setup!$D$10+IF($AN14-90&lt;0,MAX(Setup!$D$22,$AN14-61),$AN14-61)</f>
        <v>46363</v>
      </c>
      <c r="AJ14" s="93" t="n">
        <f aca="false">Setup!$D$10+MAX(0,$AN14-120)</f>
        <v>46335</v>
      </c>
      <c r="AK14" s="93" t="n">
        <f aca="false">Setup!$D$10+IF($AN14-120&lt;0,MAX(Setup!$D$22,$AN14-91),$AN14-91)</f>
        <v>46363</v>
      </c>
      <c r="AL14" s="93" t="n">
        <f aca="false">Setup!$D$10</f>
        <v>46335</v>
      </c>
      <c r="AM14" s="93" t="n">
        <f aca="false">IF(AL14=2958465,AL14,Setup!$D$10+Setup!$D$22)</f>
        <v>46363</v>
      </c>
      <c r="AN14" s="94" t="n">
        <f aca="false">IF(N(L14)=0,Setup!$D$21,L14)</f>
        <v>40</v>
      </c>
      <c r="AO14" s="94" t="n">
        <f aca="false">MAX(1,ROUND(N(K14),0))</f>
        <v>1</v>
      </c>
      <c r="AP14" s="95" t="str">
        <f aca="false">IF(I14="On hold","X",IF(N(J14)=0,"A",IF(I14="Specific date","S",IF(I14="Spread over days","D",IF(I14="Monthly on set day","M",IF(I14="Monthly fixed amount","F","A"))))))</f>
        <v>A</v>
      </c>
    </row>
    <row r="15" customFormat="false" ht="15" hidden="false" customHeight="false" outlineLevel="0" collapsed="false">
      <c r="A15" s="87" t="n">
        <v>7</v>
      </c>
      <c r="B15" s="55"/>
      <c r="C15" s="88"/>
      <c r="D15" s="88"/>
      <c r="E15" s="88"/>
      <c r="F15" s="88"/>
      <c r="G15" s="88"/>
      <c r="H15" s="89" t="n">
        <f aca="false">SUM(C15:G15)</f>
        <v>0</v>
      </c>
      <c r="I15" s="58"/>
      <c r="J15" s="90"/>
      <c r="K15" s="91"/>
      <c r="L15" s="80"/>
      <c r="M15" s="53" t="n">
        <f aca="false">IF($H15=0,0,IF($AP15="X",0,IF($AP15="S",$H15/$AO15*(MIN($AO15,MAX(0,INT((Lists!C$21-N($J15))/7)+1))-MIN($AO15,MAX(0,INT((Lists!C$22-N($J15))/7)+1))),IF($AP15="D",$H15*MAX(0,MIN(Lists!C$21,N($J15)+$AO15)-MAX(Lists!C$22,N($J15)))/$AO15,IF($AP15="M",$H15/$AO15*(IF(Lists!C$21&lt;$J15,0,MIN($AO15,(((YEAR(Lists!C$21)-YEAR($J15))*12+MONTH(Lists!C$21)-MONTH($J15))-(EDATE($J15,((YEAR(Lists!C$21)-YEAR($J15))*12+MONTH(Lists!C$21)-MONTH($J15)))&gt;Lists!C$21)+1)))-IF(Lists!C$22&lt;$J15,0,MIN($AO15,(((YEAR(Lists!C$22)-YEAR($J15))*12+MONTH(Lists!C$22)-MONTH($J15))-(EDATE($J15,((YEAR(Lists!C$22)-YEAR($J15))*12+MONTH(Lists!C$22)-MONTH($J15)))&gt;Lists!C$22)+1)))),IF($AP15="F",IF(N($K15)&lt;=0,0,MIN(MAX(0,$H15),N($K15)*IF(Lists!C$21&lt;$J15,0,(((YEAR(Lists!C$21)-YEAR($J15))*12+MONTH(Lists!C$21)-MONTH($J15))-(EDATE($J15,((YEAR(Lists!C$21)-YEAR($J15))*12+MONTH(Lists!C$21)-MONTH($J15)))&gt;Lists!C$21)+1)))-MIN(MAX(0,$H15),N($K15)*IF(Lists!C$22&lt;$J15,0,(((YEAR(Lists!C$22)-YEAR($J15))*12+MONTH(Lists!C$22)-MONTH($J15))-(EDATE($J15,((YEAR(Lists!C$22)-YEAR($J15))*12+MONTH(Lists!C$22)-MONTH($J15)))&gt;Lists!C$22)+1)))),N($C15)*IF($AE15-$AD15&lt;1,($AD15&gt;Lists!C$22)*($AD15&lt;=Lists!C$21),MAX(0,MIN(Lists!C$21,$AE15)-MAX(Lists!C$22,$AD15))/($AE15-$AD15))+N($D15)*IF($AG15-$AF15&lt;1,($AF15&gt;Lists!C$22)*($AF15&lt;=Lists!C$21),MAX(0,MIN(Lists!C$21,$AG15)-MAX(Lists!C$22,$AF15))/($AG15-$AF15))+N($E15)*IF($AI15-$AH15&lt;1,($AH15&gt;Lists!C$22)*($AH15&lt;=Lists!C$21),MAX(0,MIN(Lists!C$21,$AI15)-MAX(Lists!C$22,$AH15))/($AI15-$AH15))+N($F15)*IF($AK15-$AJ15&lt;1,($AJ15&gt;Lists!C$22)*($AJ15&lt;=Lists!C$21),MAX(0,MIN(Lists!C$21,$AK15)-MAX(Lists!C$22,$AJ15))/($AK15-$AJ15))+N($G15)*IF($AM15-$AL15&lt;1,($AL15&gt;Lists!C$22)*($AL15&lt;=Lists!C$21),MAX(0,MIN(Lists!C$21,$AM15)-MAX(Lists!C$22,$AL15))/($AM15-$AL15))))))))</f>
        <v>0</v>
      </c>
      <c r="N15" s="53" t="n">
        <f aca="false">IF($H15=0,0,IF($AP15="X",0,IF($AP15="S",$H15/$AO15*(MIN($AO15,MAX(0,INT((Lists!D$21-N($J15))/7)+1))-MIN($AO15,MAX(0,INT((Lists!D$22-N($J15))/7)+1))),IF($AP15="D",$H15*MAX(0,MIN(Lists!D$21,N($J15)+$AO15)-MAX(Lists!D$22,N($J15)))/$AO15,IF($AP15="M",$H15/$AO15*(IF(Lists!D$21&lt;$J15,0,MIN($AO15,(((YEAR(Lists!D$21)-YEAR($J15))*12+MONTH(Lists!D$21)-MONTH($J15))-(EDATE($J15,((YEAR(Lists!D$21)-YEAR($J15))*12+MONTH(Lists!D$21)-MONTH($J15)))&gt;Lists!D$21)+1)))-IF(Lists!D$22&lt;$J15,0,MIN($AO15,(((YEAR(Lists!D$22)-YEAR($J15))*12+MONTH(Lists!D$22)-MONTH($J15))-(EDATE($J15,((YEAR(Lists!D$22)-YEAR($J15))*12+MONTH(Lists!D$22)-MONTH($J15)))&gt;Lists!D$22)+1)))),IF($AP15="F",IF(N($K15)&lt;=0,0,MIN(MAX(0,$H15),N($K15)*IF(Lists!D$21&lt;$J15,0,(((YEAR(Lists!D$21)-YEAR($J15))*12+MONTH(Lists!D$21)-MONTH($J15))-(EDATE($J15,((YEAR(Lists!D$21)-YEAR($J15))*12+MONTH(Lists!D$21)-MONTH($J15)))&gt;Lists!D$21)+1)))-MIN(MAX(0,$H15),N($K15)*IF(Lists!D$22&lt;$J15,0,(((YEAR(Lists!D$22)-YEAR($J15))*12+MONTH(Lists!D$22)-MONTH($J15))-(EDATE($J15,((YEAR(Lists!D$22)-YEAR($J15))*12+MONTH(Lists!D$22)-MONTH($J15)))&gt;Lists!D$22)+1)))),N($C15)*IF($AE15-$AD15&lt;1,($AD15&gt;Lists!D$22)*($AD15&lt;=Lists!D$21),MAX(0,MIN(Lists!D$21,$AE15)-MAX(Lists!D$22,$AD15))/($AE15-$AD15))+N($D15)*IF($AG15-$AF15&lt;1,($AF15&gt;Lists!D$22)*($AF15&lt;=Lists!D$21),MAX(0,MIN(Lists!D$21,$AG15)-MAX(Lists!D$22,$AF15))/($AG15-$AF15))+N($E15)*IF($AI15-$AH15&lt;1,($AH15&gt;Lists!D$22)*($AH15&lt;=Lists!D$21),MAX(0,MIN(Lists!D$21,$AI15)-MAX(Lists!D$22,$AH15))/($AI15-$AH15))+N($F15)*IF($AK15-$AJ15&lt;1,($AJ15&gt;Lists!D$22)*($AJ15&lt;=Lists!D$21),MAX(0,MIN(Lists!D$21,$AK15)-MAX(Lists!D$22,$AJ15))/($AK15-$AJ15))+N($G15)*IF($AM15-$AL15&lt;1,($AL15&gt;Lists!D$22)*($AL15&lt;=Lists!D$21),MAX(0,MIN(Lists!D$21,$AM15)-MAX(Lists!D$22,$AL15))/($AM15-$AL15))))))))</f>
        <v>0</v>
      </c>
      <c r="O15" s="53" t="n">
        <f aca="false">IF($H15=0,0,IF($AP15="X",0,IF($AP15="S",$H15/$AO15*(MIN($AO15,MAX(0,INT((Lists!E$21-N($J15))/7)+1))-MIN($AO15,MAX(0,INT((Lists!E$22-N($J15))/7)+1))),IF($AP15="D",$H15*MAX(0,MIN(Lists!E$21,N($J15)+$AO15)-MAX(Lists!E$22,N($J15)))/$AO15,IF($AP15="M",$H15/$AO15*(IF(Lists!E$21&lt;$J15,0,MIN($AO15,(((YEAR(Lists!E$21)-YEAR($J15))*12+MONTH(Lists!E$21)-MONTH($J15))-(EDATE($J15,((YEAR(Lists!E$21)-YEAR($J15))*12+MONTH(Lists!E$21)-MONTH($J15)))&gt;Lists!E$21)+1)))-IF(Lists!E$22&lt;$J15,0,MIN($AO15,(((YEAR(Lists!E$22)-YEAR($J15))*12+MONTH(Lists!E$22)-MONTH($J15))-(EDATE($J15,((YEAR(Lists!E$22)-YEAR($J15))*12+MONTH(Lists!E$22)-MONTH($J15)))&gt;Lists!E$22)+1)))),IF($AP15="F",IF(N($K15)&lt;=0,0,MIN(MAX(0,$H15),N($K15)*IF(Lists!E$21&lt;$J15,0,(((YEAR(Lists!E$21)-YEAR($J15))*12+MONTH(Lists!E$21)-MONTH($J15))-(EDATE($J15,((YEAR(Lists!E$21)-YEAR($J15))*12+MONTH(Lists!E$21)-MONTH($J15)))&gt;Lists!E$21)+1)))-MIN(MAX(0,$H15),N($K15)*IF(Lists!E$22&lt;$J15,0,(((YEAR(Lists!E$22)-YEAR($J15))*12+MONTH(Lists!E$22)-MONTH($J15))-(EDATE($J15,((YEAR(Lists!E$22)-YEAR($J15))*12+MONTH(Lists!E$22)-MONTH($J15)))&gt;Lists!E$22)+1)))),N($C15)*IF($AE15-$AD15&lt;1,($AD15&gt;Lists!E$22)*($AD15&lt;=Lists!E$21),MAX(0,MIN(Lists!E$21,$AE15)-MAX(Lists!E$22,$AD15))/($AE15-$AD15))+N($D15)*IF($AG15-$AF15&lt;1,($AF15&gt;Lists!E$22)*($AF15&lt;=Lists!E$21),MAX(0,MIN(Lists!E$21,$AG15)-MAX(Lists!E$22,$AF15))/($AG15-$AF15))+N($E15)*IF($AI15-$AH15&lt;1,($AH15&gt;Lists!E$22)*($AH15&lt;=Lists!E$21),MAX(0,MIN(Lists!E$21,$AI15)-MAX(Lists!E$22,$AH15))/($AI15-$AH15))+N($F15)*IF($AK15-$AJ15&lt;1,($AJ15&gt;Lists!E$22)*($AJ15&lt;=Lists!E$21),MAX(0,MIN(Lists!E$21,$AK15)-MAX(Lists!E$22,$AJ15))/($AK15-$AJ15))+N($G15)*IF($AM15-$AL15&lt;1,($AL15&gt;Lists!E$22)*($AL15&lt;=Lists!E$21),MAX(0,MIN(Lists!E$21,$AM15)-MAX(Lists!E$22,$AL15))/($AM15-$AL15))))))))</f>
        <v>0</v>
      </c>
      <c r="P15" s="53" t="n">
        <f aca="false">IF($H15=0,0,IF($AP15="X",0,IF($AP15="S",$H15/$AO15*(MIN($AO15,MAX(0,INT((Lists!F$21-N($J15))/7)+1))-MIN($AO15,MAX(0,INT((Lists!F$22-N($J15))/7)+1))),IF($AP15="D",$H15*MAX(0,MIN(Lists!F$21,N($J15)+$AO15)-MAX(Lists!F$22,N($J15)))/$AO15,IF($AP15="M",$H15/$AO15*(IF(Lists!F$21&lt;$J15,0,MIN($AO15,(((YEAR(Lists!F$21)-YEAR($J15))*12+MONTH(Lists!F$21)-MONTH($J15))-(EDATE($J15,((YEAR(Lists!F$21)-YEAR($J15))*12+MONTH(Lists!F$21)-MONTH($J15)))&gt;Lists!F$21)+1)))-IF(Lists!F$22&lt;$J15,0,MIN($AO15,(((YEAR(Lists!F$22)-YEAR($J15))*12+MONTH(Lists!F$22)-MONTH($J15))-(EDATE($J15,((YEAR(Lists!F$22)-YEAR($J15))*12+MONTH(Lists!F$22)-MONTH($J15)))&gt;Lists!F$22)+1)))),IF($AP15="F",IF(N($K15)&lt;=0,0,MIN(MAX(0,$H15),N($K15)*IF(Lists!F$21&lt;$J15,0,(((YEAR(Lists!F$21)-YEAR($J15))*12+MONTH(Lists!F$21)-MONTH($J15))-(EDATE($J15,((YEAR(Lists!F$21)-YEAR($J15))*12+MONTH(Lists!F$21)-MONTH($J15)))&gt;Lists!F$21)+1)))-MIN(MAX(0,$H15),N($K15)*IF(Lists!F$22&lt;$J15,0,(((YEAR(Lists!F$22)-YEAR($J15))*12+MONTH(Lists!F$22)-MONTH($J15))-(EDATE($J15,((YEAR(Lists!F$22)-YEAR($J15))*12+MONTH(Lists!F$22)-MONTH($J15)))&gt;Lists!F$22)+1)))),N($C15)*IF($AE15-$AD15&lt;1,($AD15&gt;Lists!F$22)*($AD15&lt;=Lists!F$21),MAX(0,MIN(Lists!F$21,$AE15)-MAX(Lists!F$22,$AD15))/($AE15-$AD15))+N($D15)*IF($AG15-$AF15&lt;1,($AF15&gt;Lists!F$22)*($AF15&lt;=Lists!F$21),MAX(0,MIN(Lists!F$21,$AG15)-MAX(Lists!F$22,$AF15))/($AG15-$AF15))+N($E15)*IF($AI15-$AH15&lt;1,($AH15&gt;Lists!F$22)*($AH15&lt;=Lists!F$21),MAX(0,MIN(Lists!F$21,$AI15)-MAX(Lists!F$22,$AH15))/($AI15-$AH15))+N($F15)*IF($AK15-$AJ15&lt;1,($AJ15&gt;Lists!F$22)*($AJ15&lt;=Lists!F$21),MAX(0,MIN(Lists!F$21,$AK15)-MAX(Lists!F$22,$AJ15))/($AK15-$AJ15))+N($G15)*IF($AM15-$AL15&lt;1,($AL15&gt;Lists!F$22)*($AL15&lt;=Lists!F$21),MAX(0,MIN(Lists!F$21,$AM15)-MAX(Lists!F$22,$AL15))/($AM15-$AL15))))))))</f>
        <v>0</v>
      </c>
      <c r="Q15" s="53" t="n">
        <f aca="false">IF($H15=0,0,IF($AP15="X",0,IF($AP15="S",$H15/$AO15*(MIN($AO15,MAX(0,INT((Lists!G$21-N($J15))/7)+1))-MIN($AO15,MAX(0,INT((Lists!G$22-N($J15))/7)+1))),IF($AP15="D",$H15*MAX(0,MIN(Lists!G$21,N($J15)+$AO15)-MAX(Lists!G$22,N($J15)))/$AO15,IF($AP15="M",$H15/$AO15*(IF(Lists!G$21&lt;$J15,0,MIN($AO15,(((YEAR(Lists!G$21)-YEAR($J15))*12+MONTH(Lists!G$21)-MONTH($J15))-(EDATE($J15,((YEAR(Lists!G$21)-YEAR($J15))*12+MONTH(Lists!G$21)-MONTH($J15)))&gt;Lists!G$21)+1)))-IF(Lists!G$22&lt;$J15,0,MIN($AO15,(((YEAR(Lists!G$22)-YEAR($J15))*12+MONTH(Lists!G$22)-MONTH($J15))-(EDATE($J15,((YEAR(Lists!G$22)-YEAR($J15))*12+MONTH(Lists!G$22)-MONTH($J15)))&gt;Lists!G$22)+1)))),IF($AP15="F",IF(N($K15)&lt;=0,0,MIN(MAX(0,$H15),N($K15)*IF(Lists!G$21&lt;$J15,0,(((YEAR(Lists!G$21)-YEAR($J15))*12+MONTH(Lists!G$21)-MONTH($J15))-(EDATE($J15,((YEAR(Lists!G$21)-YEAR($J15))*12+MONTH(Lists!G$21)-MONTH($J15)))&gt;Lists!G$21)+1)))-MIN(MAX(0,$H15),N($K15)*IF(Lists!G$22&lt;$J15,0,(((YEAR(Lists!G$22)-YEAR($J15))*12+MONTH(Lists!G$22)-MONTH($J15))-(EDATE($J15,((YEAR(Lists!G$22)-YEAR($J15))*12+MONTH(Lists!G$22)-MONTH($J15)))&gt;Lists!G$22)+1)))),N($C15)*IF($AE15-$AD15&lt;1,($AD15&gt;Lists!G$22)*($AD15&lt;=Lists!G$21),MAX(0,MIN(Lists!G$21,$AE15)-MAX(Lists!G$22,$AD15))/($AE15-$AD15))+N($D15)*IF($AG15-$AF15&lt;1,($AF15&gt;Lists!G$22)*($AF15&lt;=Lists!G$21),MAX(0,MIN(Lists!G$21,$AG15)-MAX(Lists!G$22,$AF15))/($AG15-$AF15))+N($E15)*IF($AI15-$AH15&lt;1,($AH15&gt;Lists!G$22)*($AH15&lt;=Lists!G$21),MAX(0,MIN(Lists!G$21,$AI15)-MAX(Lists!G$22,$AH15))/($AI15-$AH15))+N($F15)*IF($AK15-$AJ15&lt;1,($AJ15&gt;Lists!G$22)*($AJ15&lt;=Lists!G$21),MAX(0,MIN(Lists!G$21,$AK15)-MAX(Lists!G$22,$AJ15))/($AK15-$AJ15))+N($G15)*IF($AM15-$AL15&lt;1,($AL15&gt;Lists!G$22)*($AL15&lt;=Lists!G$21),MAX(0,MIN(Lists!G$21,$AM15)-MAX(Lists!G$22,$AL15))/($AM15-$AL15))))))))</f>
        <v>0</v>
      </c>
      <c r="R15" s="53" t="n">
        <f aca="false">IF($H15=0,0,IF($AP15="X",0,IF($AP15="S",$H15/$AO15*(MIN($AO15,MAX(0,INT((Lists!H$21-N($J15))/7)+1))-MIN($AO15,MAX(0,INT((Lists!H$22-N($J15))/7)+1))),IF($AP15="D",$H15*MAX(0,MIN(Lists!H$21,N($J15)+$AO15)-MAX(Lists!H$22,N($J15)))/$AO15,IF($AP15="M",$H15/$AO15*(IF(Lists!H$21&lt;$J15,0,MIN($AO15,(((YEAR(Lists!H$21)-YEAR($J15))*12+MONTH(Lists!H$21)-MONTH($J15))-(EDATE($J15,((YEAR(Lists!H$21)-YEAR($J15))*12+MONTH(Lists!H$21)-MONTH($J15)))&gt;Lists!H$21)+1)))-IF(Lists!H$22&lt;$J15,0,MIN($AO15,(((YEAR(Lists!H$22)-YEAR($J15))*12+MONTH(Lists!H$22)-MONTH($J15))-(EDATE($J15,((YEAR(Lists!H$22)-YEAR($J15))*12+MONTH(Lists!H$22)-MONTH($J15)))&gt;Lists!H$22)+1)))),IF($AP15="F",IF(N($K15)&lt;=0,0,MIN(MAX(0,$H15),N($K15)*IF(Lists!H$21&lt;$J15,0,(((YEAR(Lists!H$21)-YEAR($J15))*12+MONTH(Lists!H$21)-MONTH($J15))-(EDATE($J15,((YEAR(Lists!H$21)-YEAR($J15))*12+MONTH(Lists!H$21)-MONTH($J15)))&gt;Lists!H$21)+1)))-MIN(MAX(0,$H15),N($K15)*IF(Lists!H$22&lt;$J15,0,(((YEAR(Lists!H$22)-YEAR($J15))*12+MONTH(Lists!H$22)-MONTH($J15))-(EDATE($J15,((YEAR(Lists!H$22)-YEAR($J15))*12+MONTH(Lists!H$22)-MONTH($J15)))&gt;Lists!H$22)+1)))),N($C15)*IF($AE15-$AD15&lt;1,($AD15&gt;Lists!H$22)*($AD15&lt;=Lists!H$21),MAX(0,MIN(Lists!H$21,$AE15)-MAX(Lists!H$22,$AD15))/($AE15-$AD15))+N($D15)*IF($AG15-$AF15&lt;1,($AF15&gt;Lists!H$22)*($AF15&lt;=Lists!H$21),MAX(0,MIN(Lists!H$21,$AG15)-MAX(Lists!H$22,$AF15))/($AG15-$AF15))+N($E15)*IF($AI15-$AH15&lt;1,($AH15&gt;Lists!H$22)*($AH15&lt;=Lists!H$21),MAX(0,MIN(Lists!H$21,$AI15)-MAX(Lists!H$22,$AH15))/($AI15-$AH15))+N($F15)*IF($AK15-$AJ15&lt;1,($AJ15&gt;Lists!H$22)*($AJ15&lt;=Lists!H$21),MAX(0,MIN(Lists!H$21,$AK15)-MAX(Lists!H$22,$AJ15))/($AK15-$AJ15))+N($G15)*IF($AM15-$AL15&lt;1,($AL15&gt;Lists!H$22)*($AL15&lt;=Lists!H$21),MAX(0,MIN(Lists!H$21,$AM15)-MAX(Lists!H$22,$AL15))/($AM15-$AL15))))))))</f>
        <v>0</v>
      </c>
      <c r="S15" s="53" t="n">
        <f aca="false">IF($H15=0,0,IF($AP15="X",0,IF($AP15="S",$H15/$AO15*(MIN($AO15,MAX(0,INT((Lists!I$21-N($J15))/7)+1))-MIN($AO15,MAX(0,INT((Lists!I$22-N($J15))/7)+1))),IF($AP15="D",$H15*MAX(0,MIN(Lists!I$21,N($J15)+$AO15)-MAX(Lists!I$22,N($J15)))/$AO15,IF($AP15="M",$H15/$AO15*(IF(Lists!I$21&lt;$J15,0,MIN($AO15,(((YEAR(Lists!I$21)-YEAR($J15))*12+MONTH(Lists!I$21)-MONTH($J15))-(EDATE($J15,((YEAR(Lists!I$21)-YEAR($J15))*12+MONTH(Lists!I$21)-MONTH($J15)))&gt;Lists!I$21)+1)))-IF(Lists!I$22&lt;$J15,0,MIN($AO15,(((YEAR(Lists!I$22)-YEAR($J15))*12+MONTH(Lists!I$22)-MONTH($J15))-(EDATE($J15,((YEAR(Lists!I$22)-YEAR($J15))*12+MONTH(Lists!I$22)-MONTH($J15)))&gt;Lists!I$22)+1)))),IF($AP15="F",IF(N($K15)&lt;=0,0,MIN(MAX(0,$H15),N($K15)*IF(Lists!I$21&lt;$J15,0,(((YEAR(Lists!I$21)-YEAR($J15))*12+MONTH(Lists!I$21)-MONTH($J15))-(EDATE($J15,((YEAR(Lists!I$21)-YEAR($J15))*12+MONTH(Lists!I$21)-MONTH($J15)))&gt;Lists!I$21)+1)))-MIN(MAX(0,$H15),N($K15)*IF(Lists!I$22&lt;$J15,0,(((YEAR(Lists!I$22)-YEAR($J15))*12+MONTH(Lists!I$22)-MONTH($J15))-(EDATE($J15,((YEAR(Lists!I$22)-YEAR($J15))*12+MONTH(Lists!I$22)-MONTH($J15)))&gt;Lists!I$22)+1)))),N($C15)*IF($AE15-$AD15&lt;1,($AD15&gt;Lists!I$22)*($AD15&lt;=Lists!I$21),MAX(0,MIN(Lists!I$21,$AE15)-MAX(Lists!I$22,$AD15))/($AE15-$AD15))+N($D15)*IF($AG15-$AF15&lt;1,($AF15&gt;Lists!I$22)*($AF15&lt;=Lists!I$21),MAX(0,MIN(Lists!I$21,$AG15)-MAX(Lists!I$22,$AF15))/($AG15-$AF15))+N($E15)*IF($AI15-$AH15&lt;1,($AH15&gt;Lists!I$22)*($AH15&lt;=Lists!I$21),MAX(0,MIN(Lists!I$21,$AI15)-MAX(Lists!I$22,$AH15))/($AI15-$AH15))+N($F15)*IF($AK15-$AJ15&lt;1,($AJ15&gt;Lists!I$22)*($AJ15&lt;=Lists!I$21),MAX(0,MIN(Lists!I$21,$AK15)-MAX(Lists!I$22,$AJ15))/($AK15-$AJ15))+N($G15)*IF($AM15-$AL15&lt;1,($AL15&gt;Lists!I$22)*($AL15&lt;=Lists!I$21),MAX(0,MIN(Lists!I$21,$AM15)-MAX(Lists!I$22,$AL15))/($AM15-$AL15))))))))</f>
        <v>0</v>
      </c>
      <c r="T15" s="53" t="n">
        <f aca="false">IF($H15=0,0,IF($AP15="X",0,IF($AP15="S",$H15/$AO15*(MIN($AO15,MAX(0,INT((Lists!J$21-N($J15))/7)+1))-MIN($AO15,MAX(0,INT((Lists!J$22-N($J15))/7)+1))),IF($AP15="D",$H15*MAX(0,MIN(Lists!J$21,N($J15)+$AO15)-MAX(Lists!J$22,N($J15)))/$AO15,IF($AP15="M",$H15/$AO15*(IF(Lists!J$21&lt;$J15,0,MIN($AO15,(((YEAR(Lists!J$21)-YEAR($J15))*12+MONTH(Lists!J$21)-MONTH($J15))-(EDATE($J15,((YEAR(Lists!J$21)-YEAR($J15))*12+MONTH(Lists!J$21)-MONTH($J15)))&gt;Lists!J$21)+1)))-IF(Lists!J$22&lt;$J15,0,MIN($AO15,(((YEAR(Lists!J$22)-YEAR($J15))*12+MONTH(Lists!J$22)-MONTH($J15))-(EDATE($J15,((YEAR(Lists!J$22)-YEAR($J15))*12+MONTH(Lists!J$22)-MONTH($J15)))&gt;Lists!J$22)+1)))),IF($AP15="F",IF(N($K15)&lt;=0,0,MIN(MAX(0,$H15),N($K15)*IF(Lists!J$21&lt;$J15,0,(((YEAR(Lists!J$21)-YEAR($J15))*12+MONTH(Lists!J$21)-MONTH($J15))-(EDATE($J15,((YEAR(Lists!J$21)-YEAR($J15))*12+MONTH(Lists!J$21)-MONTH($J15)))&gt;Lists!J$21)+1)))-MIN(MAX(0,$H15),N($K15)*IF(Lists!J$22&lt;$J15,0,(((YEAR(Lists!J$22)-YEAR($J15))*12+MONTH(Lists!J$22)-MONTH($J15))-(EDATE($J15,((YEAR(Lists!J$22)-YEAR($J15))*12+MONTH(Lists!J$22)-MONTH($J15)))&gt;Lists!J$22)+1)))),N($C15)*IF($AE15-$AD15&lt;1,($AD15&gt;Lists!J$22)*($AD15&lt;=Lists!J$21),MAX(0,MIN(Lists!J$21,$AE15)-MAX(Lists!J$22,$AD15))/($AE15-$AD15))+N($D15)*IF($AG15-$AF15&lt;1,($AF15&gt;Lists!J$22)*($AF15&lt;=Lists!J$21),MAX(0,MIN(Lists!J$21,$AG15)-MAX(Lists!J$22,$AF15))/($AG15-$AF15))+N($E15)*IF($AI15-$AH15&lt;1,($AH15&gt;Lists!J$22)*($AH15&lt;=Lists!J$21),MAX(0,MIN(Lists!J$21,$AI15)-MAX(Lists!J$22,$AH15))/($AI15-$AH15))+N($F15)*IF($AK15-$AJ15&lt;1,($AJ15&gt;Lists!J$22)*($AJ15&lt;=Lists!J$21),MAX(0,MIN(Lists!J$21,$AK15)-MAX(Lists!J$22,$AJ15))/($AK15-$AJ15))+N($G15)*IF($AM15-$AL15&lt;1,($AL15&gt;Lists!J$22)*($AL15&lt;=Lists!J$21),MAX(0,MIN(Lists!J$21,$AM15)-MAX(Lists!J$22,$AL15))/($AM15-$AL15))))))))</f>
        <v>0</v>
      </c>
      <c r="U15" s="53" t="n">
        <f aca="false">IF($H15=0,0,IF($AP15="X",0,IF($AP15="S",$H15/$AO15*(MIN($AO15,MAX(0,INT((Lists!K$21-N($J15))/7)+1))-MIN($AO15,MAX(0,INT((Lists!K$22-N($J15))/7)+1))),IF($AP15="D",$H15*MAX(0,MIN(Lists!K$21,N($J15)+$AO15)-MAX(Lists!K$22,N($J15)))/$AO15,IF($AP15="M",$H15/$AO15*(IF(Lists!K$21&lt;$J15,0,MIN($AO15,(((YEAR(Lists!K$21)-YEAR($J15))*12+MONTH(Lists!K$21)-MONTH($J15))-(EDATE($J15,((YEAR(Lists!K$21)-YEAR($J15))*12+MONTH(Lists!K$21)-MONTH($J15)))&gt;Lists!K$21)+1)))-IF(Lists!K$22&lt;$J15,0,MIN($AO15,(((YEAR(Lists!K$22)-YEAR($J15))*12+MONTH(Lists!K$22)-MONTH($J15))-(EDATE($J15,((YEAR(Lists!K$22)-YEAR($J15))*12+MONTH(Lists!K$22)-MONTH($J15)))&gt;Lists!K$22)+1)))),IF($AP15="F",IF(N($K15)&lt;=0,0,MIN(MAX(0,$H15),N($K15)*IF(Lists!K$21&lt;$J15,0,(((YEAR(Lists!K$21)-YEAR($J15))*12+MONTH(Lists!K$21)-MONTH($J15))-(EDATE($J15,((YEAR(Lists!K$21)-YEAR($J15))*12+MONTH(Lists!K$21)-MONTH($J15)))&gt;Lists!K$21)+1)))-MIN(MAX(0,$H15),N($K15)*IF(Lists!K$22&lt;$J15,0,(((YEAR(Lists!K$22)-YEAR($J15))*12+MONTH(Lists!K$22)-MONTH($J15))-(EDATE($J15,((YEAR(Lists!K$22)-YEAR($J15))*12+MONTH(Lists!K$22)-MONTH($J15)))&gt;Lists!K$22)+1)))),N($C15)*IF($AE15-$AD15&lt;1,($AD15&gt;Lists!K$22)*($AD15&lt;=Lists!K$21),MAX(0,MIN(Lists!K$21,$AE15)-MAX(Lists!K$22,$AD15))/($AE15-$AD15))+N($D15)*IF($AG15-$AF15&lt;1,($AF15&gt;Lists!K$22)*($AF15&lt;=Lists!K$21),MAX(0,MIN(Lists!K$21,$AG15)-MAX(Lists!K$22,$AF15))/($AG15-$AF15))+N($E15)*IF($AI15-$AH15&lt;1,($AH15&gt;Lists!K$22)*($AH15&lt;=Lists!K$21),MAX(0,MIN(Lists!K$21,$AI15)-MAX(Lists!K$22,$AH15))/($AI15-$AH15))+N($F15)*IF($AK15-$AJ15&lt;1,($AJ15&gt;Lists!K$22)*($AJ15&lt;=Lists!K$21),MAX(0,MIN(Lists!K$21,$AK15)-MAX(Lists!K$22,$AJ15))/($AK15-$AJ15))+N($G15)*IF($AM15-$AL15&lt;1,($AL15&gt;Lists!K$22)*($AL15&lt;=Lists!K$21),MAX(0,MIN(Lists!K$21,$AM15)-MAX(Lists!K$22,$AL15))/($AM15-$AL15))))))))</f>
        <v>0</v>
      </c>
      <c r="V15" s="53" t="n">
        <f aca="false">IF($H15=0,0,IF($AP15="X",0,IF($AP15="S",$H15/$AO15*(MIN($AO15,MAX(0,INT((Lists!L$21-N($J15))/7)+1))-MIN($AO15,MAX(0,INT((Lists!L$22-N($J15))/7)+1))),IF($AP15="D",$H15*MAX(0,MIN(Lists!L$21,N($J15)+$AO15)-MAX(Lists!L$22,N($J15)))/$AO15,IF($AP15="M",$H15/$AO15*(IF(Lists!L$21&lt;$J15,0,MIN($AO15,(((YEAR(Lists!L$21)-YEAR($J15))*12+MONTH(Lists!L$21)-MONTH($J15))-(EDATE($J15,((YEAR(Lists!L$21)-YEAR($J15))*12+MONTH(Lists!L$21)-MONTH($J15)))&gt;Lists!L$21)+1)))-IF(Lists!L$22&lt;$J15,0,MIN($AO15,(((YEAR(Lists!L$22)-YEAR($J15))*12+MONTH(Lists!L$22)-MONTH($J15))-(EDATE($J15,((YEAR(Lists!L$22)-YEAR($J15))*12+MONTH(Lists!L$22)-MONTH($J15)))&gt;Lists!L$22)+1)))),IF($AP15="F",IF(N($K15)&lt;=0,0,MIN(MAX(0,$H15),N($K15)*IF(Lists!L$21&lt;$J15,0,(((YEAR(Lists!L$21)-YEAR($J15))*12+MONTH(Lists!L$21)-MONTH($J15))-(EDATE($J15,((YEAR(Lists!L$21)-YEAR($J15))*12+MONTH(Lists!L$21)-MONTH($J15)))&gt;Lists!L$21)+1)))-MIN(MAX(0,$H15),N($K15)*IF(Lists!L$22&lt;$J15,0,(((YEAR(Lists!L$22)-YEAR($J15))*12+MONTH(Lists!L$22)-MONTH($J15))-(EDATE($J15,((YEAR(Lists!L$22)-YEAR($J15))*12+MONTH(Lists!L$22)-MONTH($J15)))&gt;Lists!L$22)+1)))),N($C15)*IF($AE15-$AD15&lt;1,($AD15&gt;Lists!L$22)*($AD15&lt;=Lists!L$21),MAX(0,MIN(Lists!L$21,$AE15)-MAX(Lists!L$22,$AD15))/($AE15-$AD15))+N($D15)*IF($AG15-$AF15&lt;1,($AF15&gt;Lists!L$22)*($AF15&lt;=Lists!L$21),MAX(0,MIN(Lists!L$21,$AG15)-MAX(Lists!L$22,$AF15))/($AG15-$AF15))+N($E15)*IF($AI15-$AH15&lt;1,($AH15&gt;Lists!L$22)*($AH15&lt;=Lists!L$21),MAX(0,MIN(Lists!L$21,$AI15)-MAX(Lists!L$22,$AH15))/($AI15-$AH15))+N($F15)*IF($AK15-$AJ15&lt;1,($AJ15&gt;Lists!L$22)*($AJ15&lt;=Lists!L$21),MAX(0,MIN(Lists!L$21,$AK15)-MAX(Lists!L$22,$AJ15))/($AK15-$AJ15))+N($G15)*IF($AM15-$AL15&lt;1,($AL15&gt;Lists!L$22)*($AL15&lt;=Lists!L$21),MAX(0,MIN(Lists!L$21,$AM15)-MAX(Lists!L$22,$AL15))/($AM15-$AL15))))))))</f>
        <v>0</v>
      </c>
      <c r="W15" s="53" t="n">
        <f aca="false">IF($H15=0,0,IF($AP15="X",0,IF($AP15="S",$H15/$AO15*(MIN($AO15,MAX(0,INT((Lists!M$21-N($J15))/7)+1))-MIN($AO15,MAX(0,INT((Lists!M$22-N($J15))/7)+1))),IF($AP15="D",$H15*MAX(0,MIN(Lists!M$21,N($J15)+$AO15)-MAX(Lists!M$22,N($J15)))/$AO15,IF($AP15="M",$H15/$AO15*(IF(Lists!M$21&lt;$J15,0,MIN($AO15,(((YEAR(Lists!M$21)-YEAR($J15))*12+MONTH(Lists!M$21)-MONTH($J15))-(EDATE($J15,((YEAR(Lists!M$21)-YEAR($J15))*12+MONTH(Lists!M$21)-MONTH($J15)))&gt;Lists!M$21)+1)))-IF(Lists!M$22&lt;$J15,0,MIN($AO15,(((YEAR(Lists!M$22)-YEAR($J15))*12+MONTH(Lists!M$22)-MONTH($J15))-(EDATE($J15,((YEAR(Lists!M$22)-YEAR($J15))*12+MONTH(Lists!M$22)-MONTH($J15)))&gt;Lists!M$22)+1)))),IF($AP15="F",IF(N($K15)&lt;=0,0,MIN(MAX(0,$H15),N($K15)*IF(Lists!M$21&lt;$J15,0,(((YEAR(Lists!M$21)-YEAR($J15))*12+MONTH(Lists!M$21)-MONTH($J15))-(EDATE($J15,((YEAR(Lists!M$21)-YEAR($J15))*12+MONTH(Lists!M$21)-MONTH($J15)))&gt;Lists!M$21)+1)))-MIN(MAX(0,$H15),N($K15)*IF(Lists!M$22&lt;$J15,0,(((YEAR(Lists!M$22)-YEAR($J15))*12+MONTH(Lists!M$22)-MONTH($J15))-(EDATE($J15,((YEAR(Lists!M$22)-YEAR($J15))*12+MONTH(Lists!M$22)-MONTH($J15)))&gt;Lists!M$22)+1)))),N($C15)*IF($AE15-$AD15&lt;1,($AD15&gt;Lists!M$22)*($AD15&lt;=Lists!M$21),MAX(0,MIN(Lists!M$21,$AE15)-MAX(Lists!M$22,$AD15))/($AE15-$AD15))+N($D15)*IF($AG15-$AF15&lt;1,($AF15&gt;Lists!M$22)*($AF15&lt;=Lists!M$21),MAX(0,MIN(Lists!M$21,$AG15)-MAX(Lists!M$22,$AF15))/($AG15-$AF15))+N($E15)*IF($AI15-$AH15&lt;1,($AH15&gt;Lists!M$22)*($AH15&lt;=Lists!M$21),MAX(0,MIN(Lists!M$21,$AI15)-MAX(Lists!M$22,$AH15))/($AI15-$AH15))+N($F15)*IF($AK15-$AJ15&lt;1,($AJ15&gt;Lists!M$22)*($AJ15&lt;=Lists!M$21),MAX(0,MIN(Lists!M$21,$AK15)-MAX(Lists!M$22,$AJ15))/($AK15-$AJ15))+N($G15)*IF($AM15-$AL15&lt;1,($AL15&gt;Lists!M$22)*($AL15&lt;=Lists!M$21),MAX(0,MIN(Lists!M$21,$AM15)-MAX(Lists!M$22,$AL15))/($AM15-$AL15))))))))</f>
        <v>0</v>
      </c>
      <c r="X15" s="53" t="n">
        <f aca="false">IF($H15=0,0,IF($AP15="X",0,IF($AP15="S",$H15/$AO15*(MIN($AO15,MAX(0,INT((Lists!N$21-N($J15))/7)+1))-MIN($AO15,MAX(0,INT((Lists!N$22-N($J15))/7)+1))),IF($AP15="D",$H15*MAX(0,MIN(Lists!N$21,N($J15)+$AO15)-MAX(Lists!N$22,N($J15)))/$AO15,IF($AP15="M",$H15/$AO15*(IF(Lists!N$21&lt;$J15,0,MIN($AO15,(((YEAR(Lists!N$21)-YEAR($J15))*12+MONTH(Lists!N$21)-MONTH($J15))-(EDATE($J15,((YEAR(Lists!N$21)-YEAR($J15))*12+MONTH(Lists!N$21)-MONTH($J15)))&gt;Lists!N$21)+1)))-IF(Lists!N$22&lt;$J15,0,MIN($AO15,(((YEAR(Lists!N$22)-YEAR($J15))*12+MONTH(Lists!N$22)-MONTH($J15))-(EDATE($J15,((YEAR(Lists!N$22)-YEAR($J15))*12+MONTH(Lists!N$22)-MONTH($J15)))&gt;Lists!N$22)+1)))),IF($AP15="F",IF(N($K15)&lt;=0,0,MIN(MAX(0,$H15),N($K15)*IF(Lists!N$21&lt;$J15,0,(((YEAR(Lists!N$21)-YEAR($J15))*12+MONTH(Lists!N$21)-MONTH($J15))-(EDATE($J15,((YEAR(Lists!N$21)-YEAR($J15))*12+MONTH(Lists!N$21)-MONTH($J15)))&gt;Lists!N$21)+1)))-MIN(MAX(0,$H15),N($K15)*IF(Lists!N$22&lt;$J15,0,(((YEAR(Lists!N$22)-YEAR($J15))*12+MONTH(Lists!N$22)-MONTH($J15))-(EDATE($J15,((YEAR(Lists!N$22)-YEAR($J15))*12+MONTH(Lists!N$22)-MONTH($J15)))&gt;Lists!N$22)+1)))),N($C15)*IF($AE15-$AD15&lt;1,($AD15&gt;Lists!N$22)*($AD15&lt;=Lists!N$21),MAX(0,MIN(Lists!N$21,$AE15)-MAX(Lists!N$22,$AD15))/($AE15-$AD15))+N($D15)*IF($AG15-$AF15&lt;1,($AF15&gt;Lists!N$22)*($AF15&lt;=Lists!N$21),MAX(0,MIN(Lists!N$21,$AG15)-MAX(Lists!N$22,$AF15))/($AG15-$AF15))+N($E15)*IF($AI15-$AH15&lt;1,($AH15&gt;Lists!N$22)*($AH15&lt;=Lists!N$21),MAX(0,MIN(Lists!N$21,$AI15)-MAX(Lists!N$22,$AH15))/($AI15-$AH15))+N($F15)*IF($AK15-$AJ15&lt;1,($AJ15&gt;Lists!N$22)*($AJ15&lt;=Lists!N$21),MAX(0,MIN(Lists!N$21,$AK15)-MAX(Lists!N$22,$AJ15))/($AK15-$AJ15))+N($G15)*IF($AM15-$AL15&lt;1,($AL15&gt;Lists!N$22)*($AL15&lt;=Lists!N$21),MAX(0,MIN(Lists!N$21,$AM15)-MAX(Lists!N$22,$AL15))/($AM15-$AL15))))))))</f>
        <v>0</v>
      </c>
      <c r="Y15" s="53" t="n">
        <f aca="false">IF($H15=0,0,IF($AP15="X",0,IF($AP15="S",$H15/$AO15*(MIN($AO15,MAX(0,INT((Lists!O$21-N($J15))/7)+1))-MIN($AO15,MAX(0,INT((Lists!O$22-N($J15))/7)+1))),IF($AP15="D",$H15*MAX(0,MIN(Lists!O$21,N($J15)+$AO15)-MAX(Lists!O$22,N($J15)))/$AO15,IF($AP15="M",$H15/$AO15*(IF(Lists!O$21&lt;$J15,0,MIN($AO15,(((YEAR(Lists!O$21)-YEAR($J15))*12+MONTH(Lists!O$21)-MONTH($J15))-(EDATE($J15,((YEAR(Lists!O$21)-YEAR($J15))*12+MONTH(Lists!O$21)-MONTH($J15)))&gt;Lists!O$21)+1)))-IF(Lists!O$22&lt;$J15,0,MIN($AO15,(((YEAR(Lists!O$22)-YEAR($J15))*12+MONTH(Lists!O$22)-MONTH($J15))-(EDATE($J15,((YEAR(Lists!O$22)-YEAR($J15))*12+MONTH(Lists!O$22)-MONTH($J15)))&gt;Lists!O$22)+1)))),IF($AP15="F",IF(N($K15)&lt;=0,0,MIN(MAX(0,$H15),N($K15)*IF(Lists!O$21&lt;$J15,0,(((YEAR(Lists!O$21)-YEAR($J15))*12+MONTH(Lists!O$21)-MONTH($J15))-(EDATE($J15,((YEAR(Lists!O$21)-YEAR($J15))*12+MONTH(Lists!O$21)-MONTH($J15)))&gt;Lists!O$21)+1)))-MIN(MAX(0,$H15),N($K15)*IF(Lists!O$22&lt;$J15,0,(((YEAR(Lists!O$22)-YEAR($J15))*12+MONTH(Lists!O$22)-MONTH($J15))-(EDATE($J15,((YEAR(Lists!O$22)-YEAR($J15))*12+MONTH(Lists!O$22)-MONTH($J15)))&gt;Lists!O$22)+1)))),N($C15)*IF($AE15-$AD15&lt;1,($AD15&gt;Lists!O$22)*($AD15&lt;=Lists!O$21),MAX(0,MIN(Lists!O$21,$AE15)-MAX(Lists!O$22,$AD15))/($AE15-$AD15))+N($D15)*IF($AG15-$AF15&lt;1,($AF15&gt;Lists!O$22)*($AF15&lt;=Lists!O$21),MAX(0,MIN(Lists!O$21,$AG15)-MAX(Lists!O$22,$AF15))/($AG15-$AF15))+N($E15)*IF($AI15-$AH15&lt;1,($AH15&gt;Lists!O$22)*($AH15&lt;=Lists!O$21),MAX(0,MIN(Lists!O$21,$AI15)-MAX(Lists!O$22,$AH15))/($AI15-$AH15))+N($F15)*IF($AK15-$AJ15&lt;1,($AJ15&gt;Lists!O$22)*($AJ15&lt;=Lists!O$21),MAX(0,MIN(Lists!O$21,$AK15)-MAX(Lists!O$22,$AJ15))/($AK15-$AJ15))+N($G15)*IF($AM15-$AL15&lt;1,($AL15&gt;Lists!O$22)*($AL15&lt;=Lists!O$21),MAX(0,MIN(Lists!O$21,$AM15)-MAX(Lists!O$22,$AL15))/($AM15-$AL15))))))))</f>
        <v>0</v>
      </c>
      <c r="Z15" s="46" t="n">
        <f aca="false">SUM(M15:Y15)</f>
        <v>0</v>
      </c>
      <c r="AA15" s="92" t="n">
        <f aca="false">H15-Z15</f>
        <v>0</v>
      </c>
      <c r="AB15" s="55"/>
      <c r="AC15" s="2"/>
      <c r="AD15" s="93" t="n">
        <f aca="false">Setup!$D$10+MAX(0,$AN15-30)</f>
        <v>46345</v>
      </c>
      <c r="AE15" s="93" t="n">
        <f aca="false">Setup!$D$10+IF($AN15-30&lt;0,MAX(Setup!$D$22,$AN15-0),$AN15-0)</f>
        <v>46375</v>
      </c>
      <c r="AF15" s="93" t="n">
        <f aca="false">Setup!$D$10+MAX(0,$AN15-60)</f>
        <v>46335</v>
      </c>
      <c r="AG15" s="93" t="n">
        <f aca="false">Setup!$D$10+IF($AN15-60&lt;0,MAX(Setup!$D$22,$AN15-31),$AN15-31)</f>
        <v>46363</v>
      </c>
      <c r="AH15" s="93" t="n">
        <f aca="false">Setup!$D$10+MAX(0,$AN15-90)</f>
        <v>46335</v>
      </c>
      <c r="AI15" s="93" t="n">
        <f aca="false">Setup!$D$10+IF($AN15-90&lt;0,MAX(Setup!$D$22,$AN15-61),$AN15-61)</f>
        <v>46363</v>
      </c>
      <c r="AJ15" s="93" t="n">
        <f aca="false">Setup!$D$10+MAX(0,$AN15-120)</f>
        <v>46335</v>
      </c>
      <c r="AK15" s="93" t="n">
        <f aca="false">Setup!$D$10+IF($AN15-120&lt;0,MAX(Setup!$D$22,$AN15-91),$AN15-91)</f>
        <v>46363</v>
      </c>
      <c r="AL15" s="93" t="n">
        <f aca="false">Setup!$D$10</f>
        <v>46335</v>
      </c>
      <c r="AM15" s="93" t="n">
        <f aca="false">IF(AL15=2958465,AL15,Setup!$D$10+Setup!$D$22)</f>
        <v>46363</v>
      </c>
      <c r="AN15" s="94" t="n">
        <f aca="false">IF(N(L15)=0,Setup!$D$21,L15)</f>
        <v>40</v>
      </c>
      <c r="AO15" s="94" t="n">
        <f aca="false">MAX(1,ROUND(N(K15),0))</f>
        <v>1</v>
      </c>
      <c r="AP15" s="95" t="str">
        <f aca="false">IF(I15="On hold","X",IF(N(J15)=0,"A",IF(I15="Specific date","S",IF(I15="Spread over days","D",IF(I15="Monthly on set day","M",IF(I15="Monthly fixed amount","F","A"))))))</f>
        <v>A</v>
      </c>
    </row>
    <row r="16" customFormat="false" ht="15" hidden="false" customHeight="false" outlineLevel="0" collapsed="false">
      <c r="A16" s="87" t="n">
        <v>8</v>
      </c>
      <c r="B16" s="55"/>
      <c r="C16" s="88"/>
      <c r="D16" s="88"/>
      <c r="E16" s="88"/>
      <c r="F16" s="88"/>
      <c r="G16" s="88"/>
      <c r="H16" s="89" t="n">
        <f aca="false">SUM(C16:G16)</f>
        <v>0</v>
      </c>
      <c r="I16" s="58"/>
      <c r="J16" s="90"/>
      <c r="K16" s="91"/>
      <c r="L16" s="80"/>
      <c r="M16" s="53" t="n">
        <f aca="false">IF($H16=0,0,IF($AP16="X",0,IF($AP16="S",$H16/$AO16*(MIN($AO16,MAX(0,INT((Lists!C$21-N($J16))/7)+1))-MIN($AO16,MAX(0,INT((Lists!C$22-N($J16))/7)+1))),IF($AP16="D",$H16*MAX(0,MIN(Lists!C$21,N($J16)+$AO16)-MAX(Lists!C$22,N($J16)))/$AO16,IF($AP16="M",$H16/$AO16*(IF(Lists!C$21&lt;$J16,0,MIN($AO16,(((YEAR(Lists!C$21)-YEAR($J16))*12+MONTH(Lists!C$21)-MONTH($J16))-(EDATE($J16,((YEAR(Lists!C$21)-YEAR($J16))*12+MONTH(Lists!C$21)-MONTH($J16)))&gt;Lists!C$21)+1)))-IF(Lists!C$22&lt;$J16,0,MIN($AO16,(((YEAR(Lists!C$22)-YEAR($J16))*12+MONTH(Lists!C$22)-MONTH($J16))-(EDATE($J16,((YEAR(Lists!C$22)-YEAR($J16))*12+MONTH(Lists!C$22)-MONTH($J16)))&gt;Lists!C$22)+1)))),IF($AP16="F",IF(N($K16)&lt;=0,0,MIN(MAX(0,$H16),N($K16)*IF(Lists!C$21&lt;$J16,0,(((YEAR(Lists!C$21)-YEAR($J16))*12+MONTH(Lists!C$21)-MONTH($J16))-(EDATE($J16,((YEAR(Lists!C$21)-YEAR($J16))*12+MONTH(Lists!C$21)-MONTH($J16)))&gt;Lists!C$21)+1)))-MIN(MAX(0,$H16),N($K16)*IF(Lists!C$22&lt;$J16,0,(((YEAR(Lists!C$22)-YEAR($J16))*12+MONTH(Lists!C$22)-MONTH($J16))-(EDATE($J16,((YEAR(Lists!C$22)-YEAR($J16))*12+MONTH(Lists!C$22)-MONTH($J16)))&gt;Lists!C$22)+1)))),N($C16)*IF($AE16-$AD16&lt;1,($AD16&gt;Lists!C$22)*($AD16&lt;=Lists!C$21),MAX(0,MIN(Lists!C$21,$AE16)-MAX(Lists!C$22,$AD16))/($AE16-$AD16))+N($D16)*IF($AG16-$AF16&lt;1,($AF16&gt;Lists!C$22)*($AF16&lt;=Lists!C$21),MAX(0,MIN(Lists!C$21,$AG16)-MAX(Lists!C$22,$AF16))/($AG16-$AF16))+N($E16)*IF($AI16-$AH16&lt;1,($AH16&gt;Lists!C$22)*($AH16&lt;=Lists!C$21),MAX(0,MIN(Lists!C$21,$AI16)-MAX(Lists!C$22,$AH16))/($AI16-$AH16))+N($F16)*IF($AK16-$AJ16&lt;1,($AJ16&gt;Lists!C$22)*($AJ16&lt;=Lists!C$21),MAX(0,MIN(Lists!C$21,$AK16)-MAX(Lists!C$22,$AJ16))/($AK16-$AJ16))+N($G16)*IF($AM16-$AL16&lt;1,($AL16&gt;Lists!C$22)*($AL16&lt;=Lists!C$21),MAX(0,MIN(Lists!C$21,$AM16)-MAX(Lists!C$22,$AL16))/($AM16-$AL16))))))))</f>
        <v>0</v>
      </c>
      <c r="N16" s="53" t="n">
        <f aca="false">IF($H16=0,0,IF($AP16="X",0,IF($AP16="S",$H16/$AO16*(MIN($AO16,MAX(0,INT((Lists!D$21-N($J16))/7)+1))-MIN($AO16,MAX(0,INT((Lists!D$22-N($J16))/7)+1))),IF($AP16="D",$H16*MAX(0,MIN(Lists!D$21,N($J16)+$AO16)-MAX(Lists!D$22,N($J16)))/$AO16,IF($AP16="M",$H16/$AO16*(IF(Lists!D$21&lt;$J16,0,MIN($AO16,(((YEAR(Lists!D$21)-YEAR($J16))*12+MONTH(Lists!D$21)-MONTH($J16))-(EDATE($J16,((YEAR(Lists!D$21)-YEAR($J16))*12+MONTH(Lists!D$21)-MONTH($J16)))&gt;Lists!D$21)+1)))-IF(Lists!D$22&lt;$J16,0,MIN($AO16,(((YEAR(Lists!D$22)-YEAR($J16))*12+MONTH(Lists!D$22)-MONTH($J16))-(EDATE($J16,((YEAR(Lists!D$22)-YEAR($J16))*12+MONTH(Lists!D$22)-MONTH($J16)))&gt;Lists!D$22)+1)))),IF($AP16="F",IF(N($K16)&lt;=0,0,MIN(MAX(0,$H16),N($K16)*IF(Lists!D$21&lt;$J16,0,(((YEAR(Lists!D$21)-YEAR($J16))*12+MONTH(Lists!D$21)-MONTH($J16))-(EDATE($J16,((YEAR(Lists!D$21)-YEAR($J16))*12+MONTH(Lists!D$21)-MONTH($J16)))&gt;Lists!D$21)+1)))-MIN(MAX(0,$H16),N($K16)*IF(Lists!D$22&lt;$J16,0,(((YEAR(Lists!D$22)-YEAR($J16))*12+MONTH(Lists!D$22)-MONTH($J16))-(EDATE($J16,((YEAR(Lists!D$22)-YEAR($J16))*12+MONTH(Lists!D$22)-MONTH($J16)))&gt;Lists!D$22)+1)))),N($C16)*IF($AE16-$AD16&lt;1,($AD16&gt;Lists!D$22)*($AD16&lt;=Lists!D$21),MAX(0,MIN(Lists!D$21,$AE16)-MAX(Lists!D$22,$AD16))/($AE16-$AD16))+N($D16)*IF($AG16-$AF16&lt;1,($AF16&gt;Lists!D$22)*($AF16&lt;=Lists!D$21),MAX(0,MIN(Lists!D$21,$AG16)-MAX(Lists!D$22,$AF16))/($AG16-$AF16))+N($E16)*IF($AI16-$AH16&lt;1,($AH16&gt;Lists!D$22)*($AH16&lt;=Lists!D$21),MAX(0,MIN(Lists!D$21,$AI16)-MAX(Lists!D$22,$AH16))/($AI16-$AH16))+N($F16)*IF($AK16-$AJ16&lt;1,($AJ16&gt;Lists!D$22)*($AJ16&lt;=Lists!D$21),MAX(0,MIN(Lists!D$21,$AK16)-MAX(Lists!D$22,$AJ16))/($AK16-$AJ16))+N($G16)*IF($AM16-$AL16&lt;1,($AL16&gt;Lists!D$22)*($AL16&lt;=Lists!D$21),MAX(0,MIN(Lists!D$21,$AM16)-MAX(Lists!D$22,$AL16))/($AM16-$AL16))))))))</f>
        <v>0</v>
      </c>
      <c r="O16" s="53" t="n">
        <f aca="false">IF($H16=0,0,IF($AP16="X",0,IF($AP16="S",$H16/$AO16*(MIN($AO16,MAX(0,INT((Lists!E$21-N($J16))/7)+1))-MIN($AO16,MAX(0,INT((Lists!E$22-N($J16))/7)+1))),IF($AP16="D",$H16*MAX(0,MIN(Lists!E$21,N($J16)+$AO16)-MAX(Lists!E$22,N($J16)))/$AO16,IF($AP16="M",$H16/$AO16*(IF(Lists!E$21&lt;$J16,0,MIN($AO16,(((YEAR(Lists!E$21)-YEAR($J16))*12+MONTH(Lists!E$21)-MONTH($J16))-(EDATE($J16,((YEAR(Lists!E$21)-YEAR($J16))*12+MONTH(Lists!E$21)-MONTH($J16)))&gt;Lists!E$21)+1)))-IF(Lists!E$22&lt;$J16,0,MIN($AO16,(((YEAR(Lists!E$22)-YEAR($J16))*12+MONTH(Lists!E$22)-MONTH($J16))-(EDATE($J16,((YEAR(Lists!E$22)-YEAR($J16))*12+MONTH(Lists!E$22)-MONTH($J16)))&gt;Lists!E$22)+1)))),IF($AP16="F",IF(N($K16)&lt;=0,0,MIN(MAX(0,$H16),N($K16)*IF(Lists!E$21&lt;$J16,0,(((YEAR(Lists!E$21)-YEAR($J16))*12+MONTH(Lists!E$21)-MONTH($J16))-(EDATE($J16,((YEAR(Lists!E$21)-YEAR($J16))*12+MONTH(Lists!E$21)-MONTH($J16)))&gt;Lists!E$21)+1)))-MIN(MAX(0,$H16),N($K16)*IF(Lists!E$22&lt;$J16,0,(((YEAR(Lists!E$22)-YEAR($J16))*12+MONTH(Lists!E$22)-MONTH($J16))-(EDATE($J16,((YEAR(Lists!E$22)-YEAR($J16))*12+MONTH(Lists!E$22)-MONTH($J16)))&gt;Lists!E$22)+1)))),N($C16)*IF($AE16-$AD16&lt;1,($AD16&gt;Lists!E$22)*($AD16&lt;=Lists!E$21),MAX(0,MIN(Lists!E$21,$AE16)-MAX(Lists!E$22,$AD16))/($AE16-$AD16))+N($D16)*IF($AG16-$AF16&lt;1,($AF16&gt;Lists!E$22)*($AF16&lt;=Lists!E$21),MAX(0,MIN(Lists!E$21,$AG16)-MAX(Lists!E$22,$AF16))/($AG16-$AF16))+N($E16)*IF($AI16-$AH16&lt;1,($AH16&gt;Lists!E$22)*($AH16&lt;=Lists!E$21),MAX(0,MIN(Lists!E$21,$AI16)-MAX(Lists!E$22,$AH16))/($AI16-$AH16))+N($F16)*IF($AK16-$AJ16&lt;1,($AJ16&gt;Lists!E$22)*($AJ16&lt;=Lists!E$21),MAX(0,MIN(Lists!E$21,$AK16)-MAX(Lists!E$22,$AJ16))/($AK16-$AJ16))+N($G16)*IF($AM16-$AL16&lt;1,($AL16&gt;Lists!E$22)*($AL16&lt;=Lists!E$21),MAX(0,MIN(Lists!E$21,$AM16)-MAX(Lists!E$22,$AL16))/($AM16-$AL16))))))))</f>
        <v>0</v>
      </c>
      <c r="P16" s="53" t="n">
        <f aca="false">IF($H16=0,0,IF($AP16="X",0,IF($AP16="S",$H16/$AO16*(MIN($AO16,MAX(0,INT((Lists!F$21-N($J16))/7)+1))-MIN($AO16,MAX(0,INT((Lists!F$22-N($J16))/7)+1))),IF($AP16="D",$H16*MAX(0,MIN(Lists!F$21,N($J16)+$AO16)-MAX(Lists!F$22,N($J16)))/$AO16,IF($AP16="M",$H16/$AO16*(IF(Lists!F$21&lt;$J16,0,MIN($AO16,(((YEAR(Lists!F$21)-YEAR($J16))*12+MONTH(Lists!F$21)-MONTH($J16))-(EDATE($J16,((YEAR(Lists!F$21)-YEAR($J16))*12+MONTH(Lists!F$21)-MONTH($J16)))&gt;Lists!F$21)+1)))-IF(Lists!F$22&lt;$J16,0,MIN($AO16,(((YEAR(Lists!F$22)-YEAR($J16))*12+MONTH(Lists!F$22)-MONTH($J16))-(EDATE($J16,((YEAR(Lists!F$22)-YEAR($J16))*12+MONTH(Lists!F$22)-MONTH($J16)))&gt;Lists!F$22)+1)))),IF($AP16="F",IF(N($K16)&lt;=0,0,MIN(MAX(0,$H16),N($K16)*IF(Lists!F$21&lt;$J16,0,(((YEAR(Lists!F$21)-YEAR($J16))*12+MONTH(Lists!F$21)-MONTH($J16))-(EDATE($J16,((YEAR(Lists!F$21)-YEAR($J16))*12+MONTH(Lists!F$21)-MONTH($J16)))&gt;Lists!F$21)+1)))-MIN(MAX(0,$H16),N($K16)*IF(Lists!F$22&lt;$J16,0,(((YEAR(Lists!F$22)-YEAR($J16))*12+MONTH(Lists!F$22)-MONTH($J16))-(EDATE($J16,((YEAR(Lists!F$22)-YEAR($J16))*12+MONTH(Lists!F$22)-MONTH($J16)))&gt;Lists!F$22)+1)))),N($C16)*IF($AE16-$AD16&lt;1,($AD16&gt;Lists!F$22)*($AD16&lt;=Lists!F$21),MAX(0,MIN(Lists!F$21,$AE16)-MAX(Lists!F$22,$AD16))/($AE16-$AD16))+N($D16)*IF($AG16-$AF16&lt;1,($AF16&gt;Lists!F$22)*($AF16&lt;=Lists!F$21),MAX(0,MIN(Lists!F$21,$AG16)-MAX(Lists!F$22,$AF16))/($AG16-$AF16))+N($E16)*IF($AI16-$AH16&lt;1,($AH16&gt;Lists!F$22)*($AH16&lt;=Lists!F$21),MAX(0,MIN(Lists!F$21,$AI16)-MAX(Lists!F$22,$AH16))/($AI16-$AH16))+N($F16)*IF($AK16-$AJ16&lt;1,($AJ16&gt;Lists!F$22)*($AJ16&lt;=Lists!F$21),MAX(0,MIN(Lists!F$21,$AK16)-MAX(Lists!F$22,$AJ16))/($AK16-$AJ16))+N($G16)*IF($AM16-$AL16&lt;1,($AL16&gt;Lists!F$22)*($AL16&lt;=Lists!F$21),MAX(0,MIN(Lists!F$21,$AM16)-MAX(Lists!F$22,$AL16))/($AM16-$AL16))))))))</f>
        <v>0</v>
      </c>
      <c r="Q16" s="53" t="n">
        <f aca="false">IF($H16=0,0,IF($AP16="X",0,IF($AP16="S",$H16/$AO16*(MIN($AO16,MAX(0,INT((Lists!G$21-N($J16))/7)+1))-MIN($AO16,MAX(0,INT((Lists!G$22-N($J16))/7)+1))),IF($AP16="D",$H16*MAX(0,MIN(Lists!G$21,N($J16)+$AO16)-MAX(Lists!G$22,N($J16)))/$AO16,IF($AP16="M",$H16/$AO16*(IF(Lists!G$21&lt;$J16,0,MIN($AO16,(((YEAR(Lists!G$21)-YEAR($J16))*12+MONTH(Lists!G$21)-MONTH($J16))-(EDATE($J16,((YEAR(Lists!G$21)-YEAR($J16))*12+MONTH(Lists!G$21)-MONTH($J16)))&gt;Lists!G$21)+1)))-IF(Lists!G$22&lt;$J16,0,MIN($AO16,(((YEAR(Lists!G$22)-YEAR($J16))*12+MONTH(Lists!G$22)-MONTH($J16))-(EDATE($J16,((YEAR(Lists!G$22)-YEAR($J16))*12+MONTH(Lists!G$22)-MONTH($J16)))&gt;Lists!G$22)+1)))),IF($AP16="F",IF(N($K16)&lt;=0,0,MIN(MAX(0,$H16),N($K16)*IF(Lists!G$21&lt;$J16,0,(((YEAR(Lists!G$21)-YEAR($J16))*12+MONTH(Lists!G$21)-MONTH($J16))-(EDATE($J16,((YEAR(Lists!G$21)-YEAR($J16))*12+MONTH(Lists!G$21)-MONTH($J16)))&gt;Lists!G$21)+1)))-MIN(MAX(0,$H16),N($K16)*IF(Lists!G$22&lt;$J16,0,(((YEAR(Lists!G$22)-YEAR($J16))*12+MONTH(Lists!G$22)-MONTH($J16))-(EDATE($J16,((YEAR(Lists!G$22)-YEAR($J16))*12+MONTH(Lists!G$22)-MONTH($J16)))&gt;Lists!G$22)+1)))),N($C16)*IF($AE16-$AD16&lt;1,($AD16&gt;Lists!G$22)*($AD16&lt;=Lists!G$21),MAX(0,MIN(Lists!G$21,$AE16)-MAX(Lists!G$22,$AD16))/($AE16-$AD16))+N($D16)*IF($AG16-$AF16&lt;1,($AF16&gt;Lists!G$22)*($AF16&lt;=Lists!G$21),MAX(0,MIN(Lists!G$21,$AG16)-MAX(Lists!G$22,$AF16))/($AG16-$AF16))+N($E16)*IF($AI16-$AH16&lt;1,($AH16&gt;Lists!G$22)*($AH16&lt;=Lists!G$21),MAX(0,MIN(Lists!G$21,$AI16)-MAX(Lists!G$22,$AH16))/($AI16-$AH16))+N($F16)*IF($AK16-$AJ16&lt;1,($AJ16&gt;Lists!G$22)*($AJ16&lt;=Lists!G$21),MAX(0,MIN(Lists!G$21,$AK16)-MAX(Lists!G$22,$AJ16))/($AK16-$AJ16))+N($G16)*IF($AM16-$AL16&lt;1,($AL16&gt;Lists!G$22)*($AL16&lt;=Lists!G$21),MAX(0,MIN(Lists!G$21,$AM16)-MAX(Lists!G$22,$AL16))/($AM16-$AL16))))))))</f>
        <v>0</v>
      </c>
      <c r="R16" s="53" t="n">
        <f aca="false">IF($H16=0,0,IF($AP16="X",0,IF($AP16="S",$H16/$AO16*(MIN($AO16,MAX(0,INT((Lists!H$21-N($J16))/7)+1))-MIN($AO16,MAX(0,INT((Lists!H$22-N($J16))/7)+1))),IF($AP16="D",$H16*MAX(0,MIN(Lists!H$21,N($J16)+$AO16)-MAX(Lists!H$22,N($J16)))/$AO16,IF($AP16="M",$H16/$AO16*(IF(Lists!H$21&lt;$J16,0,MIN($AO16,(((YEAR(Lists!H$21)-YEAR($J16))*12+MONTH(Lists!H$21)-MONTH($J16))-(EDATE($J16,((YEAR(Lists!H$21)-YEAR($J16))*12+MONTH(Lists!H$21)-MONTH($J16)))&gt;Lists!H$21)+1)))-IF(Lists!H$22&lt;$J16,0,MIN($AO16,(((YEAR(Lists!H$22)-YEAR($J16))*12+MONTH(Lists!H$22)-MONTH($J16))-(EDATE($J16,((YEAR(Lists!H$22)-YEAR($J16))*12+MONTH(Lists!H$22)-MONTH($J16)))&gt;Lists!H$22)+1)))),IF($AP16="F",IF(N($K16)&lt;=0,0,MIN(MAX(0,$H16),N($K16)*IF(Lists!H$21&lt;$J16,0,(((YEAR(Lists!H$21)-YEAR($J16))*12+MONTH(Lists!H$21)-MONTH($J16))-(EDATE($J16,((YEAR(Lists!H$21)-YEAR($J16))*12+MONTH(Lists!H$21)-MONTH($J16)))&gt;Lists!H$21)+1)))-MIN(MAX(0,$H16),N($K16)*IF(Lists!H$22&lt;$J16,0,(((YEAR(Lists!H$22)-YEAR($J16))*12+MONTH(Lists!H$22)-MONTH($J16))-(EDATE($J16,((YEAR(Lists!H$22)-YEAR($J16))*12+MONTH(Lists!H$22)-MONTH($J16)))&gt;Lists!H$22)+1)))),N($C16)*IF($AE16-$AD16&lt;1,($AD16&gt;Lists!H$22)*($AD16&lt;=Lists!H$21),MAX(0,MIN(Lists!H$21,$AE16)-MAX(Lists!H$22,$AD16))/($AE16-$AD16))+N($D16)*IF($AG16-$AF16&lt;1,($AF16&gt;Lists!H$22)*($AF16&lt;=Lists!H$21),MAX(0,MIN(Lists!H$21,$AG16)-MAX(Lists!H$22,$AF16))/($AG16-$AF16))+N($E16)*IF($AI16-$AH16&lt;1,($AH16&gt;Lists!H$22)*($AH16&lt;=Lists!H$21),MAX(0,MIN(Lists!H$21,$AI16)-MAX(Lists!H$22,$AH16))/($AI16-$AH16))+N($F16)*IF($AK16-$AJ16&lt;1,($AJ16&gt;Lists!H$22)*($AJ16&lt;=Lists!H$21),MAX(0,MIN(Lists!H$21,$AK16)-MAX(Lists!H$22,$AJ16))/($AK16-$AJ16))+N($G16)*IF($AM16-$AL16&lt;1,($AL16&gt;Lists!H$22)*($AL16&lt;=Lists!H$21),MAX(0,MIN(Lists!H$21,$AM16)-MAX(Lists!H$22,$AL16))/($AM16-$AL16))))))))</f>
        <v>0</v>
      </c>
      <c r="S16" s="53" t="n">
        <f aca="false">IF($H16=0,0,IF($AP16="X",0,IF($AP16="S",$H16/$AO16*(MIN($AO16,MAX(0,INT((Lists!I$21-N($J16))/7)+1))-MIN($AO16,MAX(0,INT((Lists!I$22-N($J16))/7)+1))),IF($AP16="D",$H16*MAX(0,MIN(Lists!I$21,N($J16)+$AO16)-MAX(Lists!I$22,N($J16)))/$AO16,IF($AP16="M",$H16/$AO16*(IF(Lists!I$21&lt;$J16,0,MIN($AO16,(((YEAR(Lists!I$21)-YEAR($J16))*12+MONTH(Lists!I$21)-MONTH($J16))-(EDATE($J16,((YEAR(Lists!I$21)-YEAR($J16))*12+MONTH(Lists!I$21)-MONTH($J16)))&gt;Lists!I$21)+1)))-IF(Lists!I$22&lt;$J16,0,MIN($AO16,(((YEAR(Lists!I$22)-YEAR($J16))*12+MONTH(Lists!I$22)-MONTH($J16))-(EDATE($J16,((YEAR(Lists!I$22)-YEAR($J16))*12+MONTH(Lists!I$22)-MONTH($J16)))&gt;Lists!I$22)+1)))),IF($AP16="F",IF(N($K16)&lt;=0,0,MIN(MAX(0,$H16),N($K16)*IF(Lists!I$21&lt;$J16,0,(((YEAR(Lists!I$21)-YEAR($J16))*12+MONTH(Lists!I$21)-MONTH($J16))-(EDATE($J16,((YEAR(Lists!I$21)-YEAR($J16))*12+MONTH(Lists!I$21)-MONTH($J16)))&gt;Lists!I$21)+1)))-MIN(MAX(0,$H16),N($K16)*IF(Lists!I$22&lt;$J16,0,(((YEAR(Lists!I$22)-YEAR($J16))*12+MONTH(Lists!I$22)-MONTH($J16))-(EDATE($J16,((YEAR(Lists!I$22)-YEAR($J16))*12+MONTH(Lists!I$22)-MONTH($J16)))&gt;Lists!I$22)+1)))),N($C16)*IF($AE16-$AD16&lt;1,($AD16&gt;Lists!I$22)*($AD16&lt;=Lists!I$21),MAX(0,MIN(Lists!I$21,$AE16)-MAX(Lists!I$22,$AD16))/($AE16-$AD16))+N($D16)*IF($AG16-$AF16&lt;1,($AF16&gt;Lists!I$22)*($AF16&lt;=Lists!I$21),MAX(0,MIN(Lists!I$21,$AG16)-MAX(Lists!I$22,$AF16))/($AG16-$AF16))+N($E16)*IF($AI16-$AH16&lt;1,($AH16&gt;Lists!I$22)*($AH16&lt;=Lists!I$21),MAX(0,MIN(Lists!I$21,$AI16)-MAX(Lists!I$22,$AH16))/($AI16-$AH16))+N($F16)*IF($AK16-$AJ16&lt;1,($AJ16&gt;Lists!I$22)*($AJ16&lt;=Lists!I$21),MAX(0,MIN(Lists!I$21,$AK16)-MAX(Lists!I$22,$AJ16))/($AK16-$AJ16))+N($G16)*IF($AM16-$AL16&lt;1,($AL16&gt;Lists!I$22)*($AL16&lt;=Lists!I$21),MAX(0,MIN(Lists!I$21,$AM16)-MAX(Lists!I$22,$AL16))/($AM16-$AL16))))))))</f>
        <v>0</v>
      </c>
      <c r="T16" s="53" t="n">
        <f aca="false">IF($H16=0,0,IF($AP16="X",0,IF($AP16="S",$H16/$AO16*(MIN($AO16,MAX(0,INT((Lists!J$21-N($J16))/7)+1))-MIN($AO16,MAX(0,INT((Lists!J$22-N($J16))/7)+1))),IF($AP16="D",$H16*MAX(0,MIN(Lists!J$21,N($J16)+$AO16)-MAX(Lists!J$22,N($J16)))/$AO16,IF($AP16="M",$H16/$AO16*(IF(Lists!J$21&lt;$J16,0,MIN($AO16,(((YEAR(Lists!J$21)-YEAR($J16))*12+MONTH(Lists!J$21)-MONTH($J16))-(EDATE($J16,((YEAR(Lists!J$21)-YEAR($J16))*12+MONTH(Lists!J$21)-MONTH($J16)))&gt;Lists!J$21)+1)))-IF(Lists!J$22&lt;$J16,0,MIN($AO16,(((YEAR(Lists!J$22)-YEAR($J16))*12+MONTH(Lists!J$22)-MONTH($J16))-(EDATE($J16,((YEAR(Lists!J$22)-YEAR($J16))*12+MONTH(Lists!J$22)-MONTH($J16)))&gt;Lists!J$22)+1)))),IF($AP16="F",IF(N($K16)&lt;=0,0,MIN(MAX(0,$H16),N($K16)*IF(Lists!J$21&lt;$J16,0,(((YEAR(Lists!J$21)-YEAR($J16))*12+MONTH(Lists!J$21)-MONTH($J16))-(EDATE($J16,((YEAR(Lists!J$21)-YEAR($J16))*12+MONTH(Lists!J$21)-MONTH($J16)))&gt;Lists!J$21)+1)))-MIN(MAX(0,$H16),N($K16)*IF(Lists!J$22&lt;$J16,0,(((YEAR(Lists!J$22)-YEAR($J16))*12+MONTH(Lists!J$22)-MONTH($J16))-(EDATE($J16,((YEAR(Lists!J$22)-YEAR($J16))*12+MONTH(Lists!J$22)-MONTH($J16)))&gt;Lists!J$22)+1)))),N($C16)*IF($AE16-$AD16&lt;1,($AD16&gt;Lists!J$22)*($AD16&lt;=Lists!J$21),MAX(0,MIN(Lists!J$21,$AE16)-MAX(Lists!J$22,$AD16))/($AE16-$AD16))+N($D16)*IF($AG16-$AF16&lt;1,($AF16&gt;Lists!J$22)*($AF16&lt;=Lists!J$21),MAX(0,MIN(Lists!J$21,$AG16)-MAX(Lists!J$22,$AF16))/($AG16-$AF16))+N($E16)*IF($AI16-$AH16&lt;1,($AH16&gt;Lists!J$22)*($AH16&lt;=Lists!J$21),MAX(0,MIN(Lists!J$21,$AI16)-MAX(Lists!J$22,$AH16))/($AI16-$AH16))+N($F16)*IF($AK16-$AJ16&lt;1,($AJ16&gt;Lists!J$22)*($AJ16&lt;=Lists!J$21),MAX(0,MIN(Lists!J$21,$AK16)-MAX(Lists!J$22,$AJ16))/($AK16-$AJ16))+N($G16)*IF($AM16-$AL16&lt;1,($AL16&gt;Lists!J$22)*($AL16&lt;=Lists!J$21),MAX(0,MIN(Lists!J$21,$AM16)-MAX(Lists!J$22,$AL16))/($AM16-$AL16))))))))</f>
        <v>0</v>
      </c>
      <c r="U16" s="53" t="n">
        <f aca="false">IF($H16=0,0,IF($AP16="X",0,IF($AP16="S",$H16/$AO16*(MIN($AO16,MAX(0,INT((Lists!K$21-N($J16))/7)+1))-MIN($AO16,MAX(0,INT((Lists!K$22-N($J16))/7)+1))),IF($AP16="D",$H16*MAX(0,MIN(Lists!K$21,N($J16)+$AO16)-MAX(Lists!K$22,N($J16)))/$AO16,IF($AP16="M",$H16/$AO16*(IF(Lists!K$21&lt;$J16,0,MIN($AO16,(((YEAR(Lists!K$21)-YEAR($J16))*12+MONTH(Lists!K$21)-MONTH($J16))-(EDATE($J16,((YEAR(Lists!K$21)-YEAR($J16))*12+MONTH(Lists!K$21)-MONTH($J16)))&gt;Lists!K$21)+1)))-IF(Lists!K$22&lt;$J16,0,MIN($AO16,(((YEAR(Lists!K$22)-YEAR($J16))*12+MONTH(Lists!K$22)-MONTH($J16))-(EDATE($J16,((YEAR(Lists!K$22)-YEAR($J16))*12+MONTH(Lists!K$22)-MONTH($J16)))&gt;Lists!K$22)+1)))),IF($AP16="F",IF(N($K16)&lt;=0,0,MIN(MAX(0,$H16),N($K16)*IF(Lists!K$21&lt;$J16,0,(((YEAR(Lists!K$21)-YEAR($J16))*12+MONTH(Lists!K$21)-MONTH($J16))-(EDATE($J16,((YEAR(Lists!K$21)-YEAR($J16))*12+MONTH(Lists!K$21)-MONTH($J16)))&gt;Lists!K$21)+1)))-MIN(MAX(0,$H16),N($K16)*IF(Lists!K$22&lt;$J16,0,(((YEAR(Lists!K$22)-YEAR($J16))*12+MONTH(Lists!K$22)-MONTH($J16))-(EDATE($J16,((YEAR(Lists!K$22)-YEAR($J16))*12+MONTH(Lists!K$22)-MONTH($J16)))&gt;Lists!K$22)+1)))),N($C16)*IF($AE16-$AD16&lt;1,($AD16&gt;Lists!K$22)*($AD16&lt;=Lists!K$21),MAX(0,MIN(Lists!K$21,$AE16)-MAX(Lists!K$22,$AD16))/($AE16-$AD16))+N($D16)*IF($AG16-$AF16&lt;1,($AF16&gt;Lists!K$22)*($AF16&lt;=Lists!K$21),MAX(0,MIN(Lists!K$21,$AG16)-MAX(Lists!K$22,$AF16))/($AG16-$AF16))+N($E16)*IF($AI16-$AH16&lt;1,($AH16&gt;Lists!K$22)*($AH16&lt;=Lists!K$21),MAX(0,MIN(Lists!K$21,$AI16)-MAX(Lists!K$22,$AH16))/($AI16-$AH16))+N($F16)*IF($AK16-$AJ16&lt;1,($AJ16&gt;Lists!K$22)*($AJ16&lt;=Lists!K$21),MAX(0,MIN(Lists!K$21,$AK16)-MAX(Lists!K$22,$AJ16))/($AK16-$AJ16))+N($G16)*IF($AM16-$AL16&lt;1,($AL16&gt;Lists!K$22)*($AL16&lt;=Lists!K$21),MAX(0,MIN(Lists!K$21,$AM16)-MAX(Lists!K$22,$AL16))/($AM16-$AL16))))))))</f>
        <v>0</v>
      </c>
      <c r="V16" s="53" t="n">
        <f aca="false">IF($H16=0,0,IF($AP16="X",0,IF($AP16="S",$H16/$AO16*(MIN($AO16,MAX(0,INT((Lists!L$21-N($J16))/7)+1))-MIN($AO16,MAX(0,INT((Lists!L$22-N($J16))/7)+1))),IF($AP16="D",$H16*MAX(0,MIN(Lists!L$21,N($J16)+$AO16)-MAX(Lists!L$22,N($J16)))/$AO16,IF($AP16="M",$H16/$AO16*(IF(Lists!L$21&lt;$J16,0,MIN($AO16,(((YEAR(Lists!L$21)-YEAR($J16))*12+MONTH(Lists!L$21)-MONTH($J16))-(EDATE($J16,((YEAR(Lists!L$21)-YEAR($J16))*12+MONTH(Lists!L$21)-MONTH($J16)))&gt;Lists!L$21)+1)))-IF(Lists!L$22&lt;$J16,0,MIN($AO16,(((YEAR(Lists!L$22)-YEAR($J16))*12+MONTH(Lists!L$22)-MONTH($J16))-(EDATE($J16,((YEAR(Lists!L$22)-YEAR($J16))*12+MONTH(Lists!L$22)-MONTH($J16)))&gt;Lists!L$22)+1)))),IF($AP16="F",IF(N($K16)&lt;=0,0,MIN(MAX(0,$H16),N($K16)*IF(Lists!L$21&lt;$J16,0,(((YEAR(Lists!L$21)-YEAR($J16))*12+MONTH(Lists!L$21)-MONTH($J16))-(EDATE($J16,((YEAR(Lists!L$21)-YEAR($J16))*12+MONTH(Lists!L$21)-MONTH($J16)))&gt;Lists!L$21)+1)))-MIN(MAX(0,$H16),N($K16)*IF(Lists!L$22&lt;$J16,0,(((YEAR(Lists!L$22)-YEAR($J16))*12+MONTH(Lists!L$22)-MONTH($J16))-(EDATE($J16,((YEAR(Lists!L$22)-YEAR($J16))*12+MONTH(Lists!L$22)-MONTH($J16)))&gt;Lists!L$22)+1)))),N($C16)*IF($AE16-$AD16&lt;1,($AD16&gt;Lists!L$22)*($AD16&lt;=Lists!L$21),MAX(0,MIN(Lists!L$21,$AE16)-MAX(Lists!L$22,$AD16))/($AE16-$AD16))+N($D16)*IF($AG16-$AF16&lt;1,($AF16&gt;Lists!L$22)*($AF16&lt;=Lists!L$21),MAX(0,MIN(Lists!L$21,$AG16)-MAX(Lists!L$22,$AF16))/($AG16-$AF16))+N($E16)*IF($AI16-$AH16&lt;1,($AH16&gt;Lists!L$22)*($AH16&lt;=Lists!L$21),MAX(0,MIN(Lists!L$21,$AI16)-MAX(Lists!L$22,$AH16))/($AI16-$AH16))+N($F16)*IF($AK16-$AJ16&lt;1,($AJ16&gt;Lists!L$22)*($AJ16&lt;=Lists!L$21),MAX(0,MIN(Lists!L$21,$AK16)-MAX(Lists!L$22,$AJ16))/($AK16-$AJ16))+N($G16)*IF($AM16-$AL16&lt;1,($AL16&gt;Lists!L$22)*($AL16&lt;=Lists!L$21),MAX(0,MIN(Lists!L$21,$AM16)-MAX(Lists!L$22,$AL16))/($AM16-$AL16))))))))</f>
        <v>0</v>
      </c>
      <c r="W16" s="53" t="n">
        <f aca="false">IF($H16=0,0,IF($AP16="X",0,IF($AP16="S",$H16/$AO16*(MIN($AO16,MAX(0,INT((Lists!M$21-N($J16))/7)+1))-MIN($AO16,MAX(0,INT((Lists!M$22-N($J16))/7)+1))),IF($AP16="D",$H16*MAX(0,MIN(Lists!M$21,N($J16)+$AO16)-MAX(Lists!M$22,N($J16)))/$AO16,IF($AP16="M",$H16/$AO16*(IF(Lists!M$21&lt;$J16,0,MIN($AO16,(((YEAR(Lists!M$21)-YEAR($J16))*12+MONTH(Lists!M$21)-MONTH($J16))-(EDATE($J16,((YEAR(Lists!M$21)-YEAR($J16))*12+MONTH(Lists!M$21)-MONTH($J16)))&gt;Lists!M$21)+1)))-IF(Lists!M$22&lt;$J16,0,MIN($AO16,(((YEAR(Lists!M$22)-YEAR($J16))*12+MONTH(Lists!M$22)-MONTH($J16))-(EDATE($J16,((YEAR(Lists!M$22)-YEAR($J16))*12+MONTH(Lists!M$22)-MONTH($J16)))&gt;Lists!M$22)+1)))),IF($AP16="F",IF(N($K16)&lt;=0,0,MIN(MAX(0,$H16),N($K16)*IF(Lists!M$21&lt;$J16,0,(((YEAR(Lists!M$21)-YEAR($J16))*12+MONTH(Lists!M$21)-MONTH($J16))-(EDATE($J16,((YEAR(Lists!M$21)-YEAR($J16))*12+MONTH(Lists!M$21)-MONTH($J16)))&gt;Lists!M$21)+1)))-MIN(MAX(0,$H16),N($K16)*IF(Lists!M$22&lt;$J16,0,(((YEAR(Lists!M$22)-YEAR($J16))*12+MONTH(Lists!M$22)-MONTH($J16))-(EDATE($J16,((YEAR(Lists!M$22)-YEAR($J16))*12+MONTH(Lists!M$22)-MONTH($J16)))&gt;Lists!M$22)+1)))),N($C16)*IF($AE16-$AD16&lt;1,($AD16&gt;Lists!M$22)*($AD16&lt;=Lists!M$21),MAX(0,MIN(Lists!M$21,$AE16)-MAX(Lists!M$22,$AD16))/($AE16-$AD16))+N($D16)*IF($AG16-$AF16&lt;1,($AF16&gt;Lists!M$22)*($AF16&lt;=Lists!M$21),MAX(0,MIN(Lists!M$21,$AG16)-MAX(Lists!M$22,$AF16))/($AG16-$AF16))+N($E16)*IF($AI16-$AH16&lt;1,($AH16&gt;Lists!M$22)*($AH16&lt;=Lists!M$21),MAX(0,MIN(Lists!M$21,$AI16)-MAX(Lists!M$22,$AH16))/($AI16-$AH16))+N($F16)*IF($AK16-$AJ16&lt;1,($AJ16&gt;Lists!M$22)*($AJ16&lt;=Lists!M$21),MAX(0,MIN(Lists!M$21,$AK16)-MAX(Lists!M$22,$AJ16))/($AK16-$AJ16))+N($G16)*IF($AM16-$AL16&lt;1,($AL16&gt;Lists!M$22)*($AL16&lt;=Lists!M$21),MAX(0,MIN(Lists!M$21,$AM16)-MAX(Lists!M$22,$AL16))/($AM16-$AL16))))))))</f>
        <v>0</v>
      </c>
      <c r="X16" s="53" t="n">
        <f aca="false">IF($H16=0,0,IF($AP16="X",0,IF($AP16="S",$H16/$AO16*(MIN($AO16,MAX(0,INT((Lists!N$21-N($J16))/7)+1))-MIN($AO16,MAX(0,INT((Lists!N$22-N($J16))/7)+1))),IF($AP16="D",$H16*MAX(0,MIN(Lists!N$21,N($J16)+$AO16)-MAX(Lists!N$22,N($J16)))/$AO16,IF($AP16="M",$H16/$AO16*(IF(Lists!N$21&lt;$J16,0,MIN($AO16,(((YEAR(Lists!N$21)-YEAR($J16))*12+MONTH(Lists!N$21)-MONTH($J16))-(EDATE($J16,((YEAR(Lists!N$21)-YEAR($J16))*12+MONTH(Lists!N$21)-MONTH($J16)))&gt;Lists!N$21)+1)))-IF(Lists!N$22&lt;$J16,0,MIN($AO16,(((YEAR(Lists!N$22)-YEAR($J16))*12+MONTH(Lists!N$22)-MONTH($J16))-(EDATE($J16,((YEAR(Lists!N$22)-YEAR($J16))*12+MONTH(Lists!N$22)-MONTH($J16)))&gt;Lists!N$22)+1)))),IF($AP16="F",IF(N($K16)&lt;=0,0,MIN(MAX(0,$H16),N($K16)*IF(Lists!N$21&lt;$J16,0,(((YEAR(Lists!N$21)-YEAR($J16))*12+MONTH(Lists!N$21)-MONTH($J16))-(EDATE($J16,((YEAR(Lists!N$21)-YEAR($J16))*12+MONTH(Lists!N$21)-MONTH($J16)))&gt;Lists!N$21)+1)))-MIN(MAX(0,$H16),N($K16)*IF(Lists!N$22&lt;$J16,0,(((YEAR(Lists!N$22)-YEAR($J16))*12+MONTH(Lists!N$22)-MONTH($J16))-(EDATE($J16,((YEAR(Lists!N$22)-YEAR($J16))*12+MONTH(Lists!N$22)-MONTH($J16)))&gt;Lists!N$22)+1)))),N($C16)*IF($AE16-$AD16&lt;1,($AD16&gt;Lists!N$22)*($AD16&lt;=Lists!N$21),MAX(0,MIN(Lists!N$21,$AE16)-MAX(Lists!N$22,$AD16))/($AE16-$AD16))+N($D16)*IF($AG16-$AF16&lt;1,($AF16&gt;Lists!N$22)*($AF16&lt;=Lists!N$21),MAX(0,MIN(Lists!N$21,$AG16)-MAX(Lists!N$22,$AF16))/($AG16-$AF16))+N($E16)*IF($AI16-$AH16&lt;1,($AH16&gt;Lists!N$22)*($AH16&lt;=Lists!N$21),MAX(0,MIN(Lists!N$21,$AI16)-MAX(Lists!N$22,$AH16))/($AI16-$AH16))+N($F16)*IF($AK16-$AJ16&lt;1,($AJ16&gt;Lists!N$22)*($AJ16&lt;=Lists!N$21),MAX(0,MIN(Lists!N$21,$AK16)-MAX(Lists!N$22,$AJ16))/($AK16-$AJ16))+N($G16)*IF($AM16-$AL16&lt;1,($AL16&gt;Lists!N$22)*($AL16&lt;=Lists!N$21),MAX(0,MIN(Lists!N$21,$AM16)-MAX(Lists!N$22,$AL16))/($AM16-$AL16))))))))</f>
        <v>0</v>
      </c>
      <c r="Y16" s="53" t="n">
        <f aca="false">IF($H16=0,0,IF($AP16="X",0,IF($AP16="S",$H16/$AO16*(MIN($AO16,MAX(0,INT((Lists!O$21-N($J16))/7)+1))-MIN($AO16,MAX(0,INT((Lists!O$22-N($J16))/7)+1))),IF($AP16="D",$H16*MAX(0,MIN(Lists!O$21,N($J16)+$AO16)-MAX(Lists!O$22,N($J16)))/$AO16,IF($AP16="M",$H16/$AO16*(IF(Lists!O$21&lt;$J16,0,MIN($AO16,(((YEAR(Lists!O$21)-YEAR($J16))*12+MONTH(Lists!O$21)-MONTH($J16))-(EDATE($J16,((YEAR(Lists!O$21)-YEAR($J16))*12+MONTH(Lists!O$21)-MONTH($J16)))&gt;Lists!O$21)+1)))-IF(Lists!O$22&lt;$J16,0,MIN($AO16,(((YEAR(Lists!O$22)-YEAR($J16))*12+MONTH(Lists!O$22)-MONTH($J16))-(EDATE($J16,((YEAR(Lists!O$22)-YEAR($J16))*12+MONTH(Lists!O$22)-MONTH($J16)))&gt;Lists!O$22)+1)))),IF($AP16="F",IF(N($K16)&lt;=0,0,MIN(MAX(0,$H16),N($K16)*IF(Lists!O$21&lt;$J16,0,(((YEAR(Lists!O$21)-YEAR($J16))*12+MONTH(Lists!O$21)-MONTH($J16))-(EDATE($J16,((YEAR(Lists!O$21)-YEAR($J16))*12+MONTH(Lists!O$21)-MONTH($J16)))&gt;Lists!O$21)+1)))-MIN(MAX(0,$H16),N($K16)*IF(Lists!O$22&lt;$J16,0,(((YEAR(Lists!O$22)-YEAR($J16))*12+MONTH(Lists!O$22)-MONTH($J16))-(EDATE($J16,((YEAR(Lists!O$22)-YEAR($J16))*12+MONTH(Lists!O$22)-MONTH($J16)))&gt;Lists!O$22)+1)))),N($C16)*IF($AE16-$AD16&lt;1,($AD16&gt;Lists!O$22)*($AD16&lt;=Lists!O$21),MAX(0,MIN(Lists!O$21,$AE16)-MAX(Lists!O$22,$AD16))/($AE16-$AD16))+N($D16)*IF($AG16-$AF16&lt;1,($AF16&gt;Lists!O$22)*($AF16&lt;=Lists!O$21),MAX(0,MIN(Lists!O$21,$AG16)-MAX(Lists!O$22,$AF16))/($AG16-$AF16))+N($E16)*IF($AI16-$AH16&lt;1,($AH16&gt;Lists!O$22)*($AH16&lt;=Lists!O$21),MAX(0,MIN(Lists!O$21,$AI16)-MAX(Lists!O$22,$AH16))/($AI16-$AH16))+N($F16)*IF($AK16-$AJ16&lt;1,($AJ16&gt;Lists!O$22)*($AJ16&lt;=Lists!O$21),MAX(0,MIN(Lists!O$21,$AK16)-MAX(Lists!O$22,$AJ16))/($AK16-$AJ16))+N($G16)*IF($AM16-$AL16&lt;1,($AL16&gt;Lists!O$22)*($AL16&lt;=Lists!O$21),MAX(0,MIN(Lists!O$21,$AM16)-MAX(Lists!O$22,$AL16))/($AM16-$AL16))))))))</f>
        <v>0</v>
      </c>
      <c r="Z16" s="46" t="n">
        <f aca="false">SUM(M16:Y16)</f>
        <v>0</v>
      </c>
      <c r="AA16" s="92" t="n">
        <f aca="false">H16-Z16</f>
        <v>0</v>
      </c>
      <c r="AB16" s="55"/>
      <c r="AC16" s="2"/>
      <c r="AD16" s="93" t="n">
        <f aca="false">Setup!$D$10+MAX(0,$AN16-30)</f>
        <v>46345</v>
      </c>
      <c r="AE16" s="93" t="n">
        <f aca="false">Setup!$D$10+IF($AN16-30&lt;0,MAX(Setup!$D$22,$AN16-0),$AN16-0)</f>
        <v>46375</v>
      </c>
      <c r="AF16" s="93" t="n">
        <f aca="false">Setup!$D$10+MAX(0,$AN16-60)</f>
        <v>46335</v>
      </c>
      <c r="AG16" s="93" t="n">
        <f aca="false">Setup!$D$10+IF($AN16-60&lt;0,MAX(Setup!$D$22,$AN16-31),$AN16-31)</f>
        <v>46363</v>
      </c>
      <c r="AH16" s="93" t="n">
        <f aca="false">Setup!$D$10+MAX(0,$AN16-90)</f>
        <v>46335</v>
      </c>
      <c r="AI16" s="93" t="n">
        <f aca="false">Setup!$D$10+IF($AN16-90&lt;0,MAX(Setup!$D$22,$AN16-61),$AN16-61)</f>
        <v>46363</v>
      </c>
      <c r="AJ16" s="93" t="n">
        <f aca="false">Setup!$D$10+MAX(0,$AN16-120)</f>
        <v>46335</v>
      </c>
      <c r="AK16" s="93" t="n">
        <f aca="false">Setup!$D$10+IF($AN16-120&lt;0,MAX(Setup!$D$22,$AN16-91),$AN16-91)</f>
        <v>46363</v>
      </c>
      <c r="AL16" s="93" t="n">
        <f aca="false">Setup!$D$10</f>
        <v>46335</v>
      </c>
      <c r="AM16" s="93" t="n">
        <f aca="false">IF(AL16=2958465,AL16,Setup!$D$10+Setup!$D$22)</f>
        <v>46363</v>
      </c>
      <c r="AN16" s="94" t="n">
        <f aca="false">IF(N(L16)=0,Setup!$D$21,L16)</f>
        <v>40</v>
      </c>
      <c r="AO16" s="94" t="n">
        <f aca="false">MAX(1,ROUND(N(K16),0))</f>
        <v>1</v>
      </c>
      <c r="AP16" s="95" t="str">
        <f aca="false">IF(I16="On hold","X",IF(N(J16)=0,"A",IF(I16="Specific date","S",IF(I16="Spread over days","D",IF(I16="Monthly on set day","M",IF(I16="Monthly fixed amount","F","A"))))))</f>
        <v>A</v>
      </c>
    </row>
    <row r="17" customFormat="false" ht="15" hidden="false" customHeight="false" outlineLevel="0" collapsed="false">
      <c r="A17" s="87" t="n">
        <v>9</v>
      </c>
      <c r="B17" s="55"/>
      <c r="C17" s="88"/>
      <c r="D17" s="88"/>
      <c r="E17" s="88"/>
      <c r="F17" s="88"/>
      <c r="G17" s="88"/>
      <c r="H17" s="89" t="n">
        <f aca="false">SUM(C17:G17)</f>
        <v>0</v>
      </c>
      <c r="I17" s="58"/>
      <c r="J17" s="90"/>
      <c r="K17" s="91"/>
      <c r="L17" s="80"/>
      <c r="M17" s="53" t="n">
        <f aca="false">IF($H17=0,0,IF($AP17="X",0,IF($AP17="S",$H17/$AO17*(MIN($AO17,MAX(0,INT((Lists!C$21-N($J17))/7)+1))-MIN($AO17,MAX(0,INT((Lists!C$22-N($J17))/7)+1))),IF($AP17="D",$H17*MAX(0,MIN(Lists!C$21,N($J17)+$AO17)-MAX(Lists!C$22,N($J17)))/$AO17,IF($AP17="M",$H17/$AO17*(IF(Lists!C$21&lt;$J17,0,MIN($AO17,(((YEAR(Lists!C$21)-YEAR($J17))*12+MONTH(Lists!C$21)-MONTH($J17))-(EDATE($J17,((YEAR(Lists!C$21)-YEAR($J17))*12+MONTH(Lists!C$21)-MONTH($J17)))&gt;Lists!C$21)+1)))-IF(Lists!C$22&lt;$J17,0,MIN($AO17,(((YEAR(Lists!C$22)-YEAR($J17))*12+MONTH(Lists!C$22)-MONTH($J17))-(EDATE($J17,((YEAR(Lists!C$22)-YEAR($J17))*12+MONTH(Lists!C$22)-MONTH($J17)))&gt;Lists!C$22)+1)))),IF($AP17="F",IF(N($K17)&lt;=0,0,MIN(MAX(0,$H17),N($K17)*IF(Lists!C$21&lt;$J17,0,(((YEAR(Lists!C$21)-YEAR($J17))*12+MONTH(Lists!C$21)-MONTH($J17))-(EDATE($J17,((YEAR(Lists!C$21)-YEAR($J17))*12+MONTH(Lists!C$21)-MONTH($J17)))&gt;Lists!C$21)+1)))-MIN(MAX(0,$H17),N($K17)*IF(Lists!C$22&lt;$J17,0,(((YEAR(Lists!C$22)-YEAR($J17))*12+MONTH(Lists!C$22)-MONTH($J17))-(EDATE($J17,((YEAR(Lists!C$22)-YEAR($J17))*12+MONTH(Lists!C$22)-MONTH($J17)))&gt;Lists!C$22)+1)))),N($C17)*IF($AE17-$AD17&lt;1,($AD17&gt;Lists!C$22)*($AD17&lt;=Lists!C$21),MAX(0,MIN(Lists!C$21,$AE17)-MAX(Lists!C$22,$AD17))/($AE17-$AD17))+N($D17)*IF($AG17-$AF17&lt;1,($AF17&gt;Lists!C$22)*($AF17&lt;=Lists!C$21),MAX(0,MIN(Lists!C$21,$AG17)-MAX(Lists!C$22,$AF17))/($AG17-$AF17))+N($E17)*IF($AI17-$AH17&lt;1,($AH17&gt;Lists!C$22)*($AH17&lt;=Lists!C$21),MAX(0,MIN(Lists!C$21,$AI17)-MAX(Lists!C$22,$AH17))/($AI17-$AH17))+N($F17)*IF($AK17-$AJ17&lt;1,($AJ17&gt;Lists!C$22)*($AJ17&lt;=Lists!C$21),MAX(0,MIN(Lists!C$21,$AK17)-MAX(Lists!C$22,$AJ17))/($AK17-$AJ17))+N($G17)*IF($AM17-$AL17&lt;1,($AL17&gt;Lists!C$22)*($AL17&lt;=Lists!C$21),MAX(0,MIN(Lists!C$21,$AM17)-MAX(Lists!C$22,$AL17))/($AM17-$AL17))))))))</f>
        <v>0</v>
      </c>
      <c r="N17" s="53" t="n">
        <f aca="false">IF($H17=0,0,IF($AP17="X",0,IF($AP17="S",$H17/$AO17*(MIN($AO17,MAX(0,INT((Lists!D$21-N($J17))/7)+1))-MIN($AO17,MAX(0,INT((Lists!D$22-N($J17))/7)+1))),IF($AP17="D",$H17*MAX(0,MIN(Lists!D$21,N($J17)+$AO17)-MAX(Lists!D$22,N($J17)))/$AO17,IF($AP17="M",$H17/$AO17*(IF(Lists!D$21&lt;$J17,0,MIN($AO17,(((YEAR(Lists!D$21)-YEAR($J17))*12+MONTH(Lists!D$21)-MONTH($J17))-(EDATE($J17,((YEAR(Lists!D$21)-YEAR($J17))*12+MONTH(Lists!D$21)-MONTH($J17)))&gt;Lists!D$21)+1)))-IF(Lists!D$22&lt;$J17,0,MIN($AO17,(((YEAR(Lists!D$22)-YEAR($J17))*12+MONTH(Lists!D$22)-MONTH($J17))-(EDATE($J17,((YEAR(Lists!D$22)-YEAR($J17))*12+MONTH(Lists!D$22)-MONTH($J17)))&gt;Lists!D$22)+1)))),IF($AP17="F",IF(N($K17)&lt;=0,0,MIN(MAX(0,$H17),N($K17)*IF(Lists!D$21&lt;$J17,0,(((YEAR(Lists!D$21)-YEAR($J17))*12+MONTH(Lists!D$21)-MONTH($J17))-(EDATE($J17,((YEAR(Lists!D$21)-YEAR($J17))*12+MONTH(Lists!D$21)-MONTH($J17)))&gt;Lists!D$21)+1)))-MIN(MAX(0,$H17),N($K17)*IF(Lists!D$22&lt;$J17,0,(((YEAR(Lists!D$22)-YEAR($J17))*12+MONTH(Lists!D$22)-MONTH($J17))-(EDATE($J17,((YEAR(Lists!D$22)-YEAR($J17))*12+MONTH(Lists!D$22)-MONTH($J17)))&gt;Lists!D$22)+1)))),N($C17)*IF($AE17-$AD17&lt;1,($AD17&gt;Lists!D$22)*($AD17&lt;=Lists!D$21),MAX(0,MIN(Lists!D$21,$AE17)-MAX(Lists!D$22,$AD17))/($AE17-$AD17))+N($D17)*IF($AG17-$AF17&lt;1,($AF17&gt;Lists!D$22)*($AF17&lt;=Lists!D$21),MAX(0,MIN(Lists!D$21,$AG17)-MAX(Lists!D$22,$AF17))/($AG17-$AF17))+N($E17)*IF($AI17-$AH17&lt;1,($AH17&gt;Lists!D$22)*($AH17&lt;=Lists!D$21),MAX(0,MIN(Lists!D$21,$AI17)-MAX(Lists!D$22,$AH17))/($AI17-$AH17))+N($F17)*IF($AK17-$AJ17&lt;1,($AJ17&gt;Lists!D$22)*($AJ17&lt;=Lists!D$21),MAX(0,MIN(Lists!D$21,$AK17)-MAX(Lists!D$22,$AJ17))/($AK17-$AJ17))+N($G17)*IF($AM17-$AL17&lt;1,($AL17&gt;Lists!D$22)*($AL17&lt;=Lists!D$21),MAX(0,MIN(Lists!D$21,$AM17)-MAX(Lists!D$22,$AL17))/($AM17-$AL17))))))))</f>
        <v>0</v>
      </c>
      <c r="O17" s="53" t="n">
        <f aca="false">IF($H17=0,0,IF($AP17="X",0,IF($AP17="S",$H17/$AO17*(MIN($AO17,MAX(0,INT((Lists!E$21-N($J17))/7)+1))-MIN($AO17,MAX(0,INT((Lists!E$22-N($J17))/7)+1))),IF($AP17="D",$H17*MAX(0,MIN(Lists!E$21,N($J17)+$AO17)-MAX(Lists!E$22,N($J17)))/$AO17,IF($AP17="M",$H17/$AO17*(IF(Lists!E$21&lt;$J17,0,MIN($AO17,(((YEAR(Lists!E$21)-YEAR($J17))*12+MONTH(Lists!E$21)-MONTH($J17))-(EDATE($J17,((YEAR(Lists!E$21)-YEAR($J17))*12+MONTH(Lists!E$21)-MONTH($J17)))&gt;Lists!E$21)+1)))-IF(Lists!E$22&lt;$J17,0,MIN($AO17,(((YEAR(Lists!E$22)-YEAR($J17))*12+MONTH(Lists!E$22)-MONTH($J17))-(EDATE($J17,((YEAR(Lists!E$22)-YEAR($J17))*12+MONTH(Lists!E$22)-MONTH($J17)))&gt;Lists!E$22)+1)))),IF($AP17="F",IF(N($K17)&lt;=0,0,MIN(MAX(0,$H17),N($K17)*IF(Lists!E$21&lt;$J17,0,(((YEAR(Lists!E$21)-YEAR($J17))*12+MONTH(Lists!E$21)-MONTH($J17))-(EDATE($J17,((YEAR(Lists!E$21)-YEAR($J17))*12+MONTH(Lists!E$21)-MONTH($J17)))&gt;Lists!E$21)+1)))-MIN(MAX(0,$H17),N($K17)*IF(Lists!E$22&lt;$J17,0,(((YEAR(Lists!E$22)-YEAR($J17))*12+MONTH(Lists!E$22)-MONTH($J17))-(EDATE($J17,((YEAR(Lists!E$22)-YEAR($J17))*12+MONTH(Lists!E$22)-MONTH($J17)))&gt;Lists!E$22)+1)))),N($C17)*IF($AE17-$AD17&lt;1,($AD17&gt;Lists!E$22)*($AD17&lt;=Lists!E$21),MAX(0,MIN(Lists!E$21,$AE17)-MAX(Lists!E$22,$AD17))/($AE17-$AD17))+N($D17)*IF($AG17-$AF17&lt;1,($AF17&gt;Lists!E$22)*($AF17&lt;=Lists!E$21),MAX(0,MIN(Lists!E$21,$AG17)-MAX(Lists!E$22,$AF17))/($AG17-$AF17))+N($E17)*IF($AI17-$AH17&lt;1,($AH17&gt;Lists!E$22)*($AH17&lt;=Lists!E$21),MAX(0,MIN(Lists!E$21,$AI17)-MAX(Lists!E$22,$AH17))/($AI17-$AH17))+N($F17)*IF($AK17-$AJ17&lt;1,($AJ17&gt;Lists!E$22)*($AJ17&lt;=Lists!E$21),MAX(0,MIN(Lists!E$21,$AK17)-MAX(Lists!E$22,$AJ17))/($AK17-$AJ17))+N($G17)*IF($AM17-$AL17&lt;1,($AL17&gt;Lists!E$22)*($AL17&lt;=Lists!E$21),MAX(0,MIN(Lists!E$21,$AM17)-MAX(Lists!E$22,$AL17))/($AM17-$AL17))))))))</f>
        <v>0</v>
      </c>
      <c r="P17" s="53" t="n">
        <f aca="false">IF($H17=0,0,IF($AP17="X",0,IF($AP17="S",$H17/$AO17*(MIN($AO17,MAX(0,INT((Lists!F$21-N($J17))/7)+1))-MIN($AO17,MAX(0,INT((Lists!F$22-N($J17))/7)+1))),IF($AP17="D",$H17*MAX(0,MIN(Lists!F$21,N($J17)+$AO17)-MAX(Lists!F$22,N($J17)))/$AO17,IF($AP17="M",$H17/$AO17*(IF(Lists!F$21&lt;$J17,0,MIN($AO17,(((YEAR(Lists!F$21)-YEAR($J17))*12+MONTH(Lists!F$21)-MONTH($J17))-(EDATE($J17,((YEAR(Lists!F$21)-YEAR($J17))*12+MONTH(Lists!F$21)-MONTH($J17)))&gt;Lists!F$21)+1)))-IF(Lists!F$22&lt;$J17,0,MIN($AO17,(((YEAR(Lists!F$22)-YEAR($J17))*12+MONTH(Lists!F$22)-MONTH($J17))-(EDATE($J17,((YEAR(Lists!F$22)-YEAR($J17))*12+MONTH(Lists!F$22)-MONTH($J17)))&gt;Lists!F$22)+1)))),IF($AP17="F",IF(N($K17)&lt;=0,0,MIN(MAX(0,$H17),N($K17)*IF(Lists!F$21&lt;$J17,0,(((YEAR(Lists!F$21)-YEAR($J17))*12+MONTH(Lists!F$21)-MONTH($J17))-(EDATE($J17,((YEAR(Lists!F$21)-YEAR($J17))*12+MONTH(Lists!F$21)-MONTH($J17)))&gt;Lists!F$21)+1)))-MIN(MAX(0,$H17),N($K17)*IF(Lists!F$22&lt;$J17,0,(((YEAR(Lists!F$22)-YEAR($J17))*12+MONTH(Lists!F$22)-MONTH($J17))-(EDATE($J17,((YEAR(Lists!F$22)-YEAR($J17))*12+MONTH(Lists!F$22)-MONTH($J17)))&gt;Lists!F$22)+1)))),N($C17)*IF($AE17-$AD17&lt;1,($AD17&gt;Lists!F$22)*($AD17&lt;=Lists!F$21),MAX(0,MIN(Lists!F$21,$AE17)-MAX(Lists!F$22,$AD17))/($AE17-$AD17))+N($D17)*IF($AG17-$AF17&lt;1,($AF17&gt;Lists!F$22)*($AF17&lt;=Lists!F$21),MAX(0,MIN(Lists!F$21,$AG17)-MAX(Lists!F$22,$AF17))/($AG17-$AF17))+N($E17)*IF($AI17-$AH17&lt;1,($AH17&gt;Lists!F$22)*($AH17&lt;=Lists!F$21),MAX(0,MIN(Lists!F$21,$AI17)-MAX(Lists!F$22,$AH17))/($AI17-$AH17))+N($F17)*IF($AK17-$AJ17&lt;1,($AJ17&gt;Lists!F$22)*($AJ17&lt;=Lists!F$21),MAX(0,MIN(Lists!F$21,$AK17)-MAX(Lists!F$22,$AJ17))/($AK17-$AJ17))+N($G17)*IF($AM17-$AL17&lt;1,($AL17&gt;Lists!F$22)*($AL17&lt;=Lists!F$21),MAX(0,MIN(Lists!F$21,$AM17)-MAX(Lists!F$22,$AL17))/($AM17-$AL17))))))))</f>
        <v>0</v>
      </c>
      <c r="Q17" s="53" t="n">
        <f aca="false">IF($H17=0,0,IF($AP17="X",0,IF($AP17="S",$H17/$AO17*(MIN($AO17,MAX(0,INT((Lists!G$21-N($J17))/7)+1))-MIN($AO17,MAX(0,INT((Lists!G$22-N($J17))/7)+1))),IF($AP17="D",$H17*MAX(0,MIN(Lists!G$21,N($J17)+$AO17)-MAX(Lists!G$22,N($J17)))/$AO17,IF($AP17="M",$H17/$AO17*(IF(Lists!G$21&lt;$J17,0,MIN($AO17,(((YEAR(Lists!G$21)-YEAR($J17))*12+MONTH(Lists!G$21)-MONTH($J17))-(EDATE($J17,((YEAR(Lists!G$21)-YEAR($J17))*12+MONTH(Lists!G$21)-MONTH($J17)))&gt;Lists!G$21)+1)))-IF(Lists!G$22&lt;$J17,0,MIN($AO17,(((YEAR(Lists!G$22)-YEAR($J17))*12+MONTH(Lists!G$22)-MONTH($J17))-(EDATE($J17,((YEAR(Lists!G$22)-YEAR($J17))*12+MONTH(Lists!G$22)-MONTH($J17)))&gt;Lists!G$22)+1)))),IF($AP17="F",IF(N($K17)&lt;=0,0,MIN(MAX(0,$H17),N($K17)*IF(Lists!G$21&lt;$J17,0,(((YEAR(Lists!G$21)-YEAR($J17))*12+MONTH(Lists!G$21)-MONTH($J17))-(EDATE($J17,((YEAR(Lists!G$21)-YEAR($J17))*12+MONTH(Lists!G$21)-MONTH($J17)))&gt;Lists!G$21)+1)))-MIN(MAX(0,$H17),N($K17)*IF(Lists!G$22&lt;$J17,0,(((YEAR(Lists!G$22)-YEAR($J17))*12+MONTH(Lists!G$22)-MONTH($J17))-(EDATE($J17,((YEAR(Lists!G$22)-YEAR($J17))*12+MONTH(Lists!G$22)-MONTH($J17)))&gt;Lists!G$22)+1)))),N($C17)*IF($AE17-$AD17&lt;1,($AD17&gt;Lists!G$22)*($AD17&lt;=Lists!G$21),MAX(0,MIN(Lists!G$21,$AE17)-MAX(Lists!G$22,$AD17))/($AE17-$AD17))+N($D17)*IF($AG17-$AF17&lt;1,($AF17&gt;Lists!G$22)*($AF17&lt;=Lists!G$21),MAX(0,MIN(Lists!G$21,$AG17)-MAX(Lists!G$22,$AF17))/($AG17-$AF17))+N($E17)*IF($AI17-$AH17&lt;1,($AH17&gt;Lists!G$22)*($AH17&lt;=Lists!G$21),MAX(0,MIN(Lists!G$21,$AI17)-MAX(Lists!G$22,$AH17))/($AI17-$AH17))+N($F17)*IF($AK17-$AJ17&lt;1,($AJ17&gt;Lists!G$22)*($AJ17&lt;=Lists!G$21),MAX(0,MIN(Lists!G$21,$AK17)-MAX(Lists!G$22,$AJ17))/($AK17-$AJ17))+N($G17)*IF($AM17-$AL17&lt;1,($AL17&gt;Lists!G$22)*($AL17&lt;=Lists!G$21),MAX(0,MIN(Lists!G$21,$AM17)-MAX(Lists!G$22,$AL17))/($AM17-$AL17))))))))</f>
        <v>0</v>
      </c>
      <c r="R17" s="53" t="n">
        <f aca="false">IF($H17=0,0,IF($AP17="X",0,IF($AP17="S",$H17/$AO17*(MIN($AO17,MAX(0,INT((Lists!H$21-N($J17))/7)+1))-MIN($AO17,MAX(0,INT((Lists!H$22-N($J17))/7)+1))),IF($AP17="D",$H17*MAX(0,MIN(Lists!H$21,N($J17)+$AO17)-MAX(Lists!H$22,N($J17)))/$AO17,IF($AP17="M",$H17/$AO17*(IF(Lists!H$21&lt;$J17,0,MIN($AO17,(((YEAR(Lists!H$21)-YEAR($J17))*12+MONTH(Lists!H$21)-MONTH($J17))-(EDATE($J17,((YEAR(Lists!H$21)-YEAR($J17))*12+MONTH(Lists!H$21)-MONTH($J17)))&gt;Lists!H$21)+1)))-IF(Lists!H$22&lt;$J17,0,MIN($AO17,(((YEAR(Lists!H$22)-YEAR($J17))*12+MONTH(Lists!H$22)-MONTH($J17))-(EDATE($J17,((YEAR(Lists!H$22)-YEAR($J17))*12+MONTH(Lists!H$22)-MONTH($J17)))&gt;Lists!H$22)+1)))),IF($AP17="F",IF(N($K17)&lt;=0,0,MIN(MAX(0,$H17),N($K17)*IF(Lists!H$21&lt;$J17,0,(((YEAR(Lists!H$21)-YEAR($J17))*12+MONTH(Lists!H$21)-MONTH($J17))-(EDATE($J17,((YEAR(Lists!H$21)-YEAR($J17))*12+MONTH(Lists!H$21)-MONTH($J17)))&gt;Lists!H$21)+1)))-MIN(MAX(0,$H17),N($K17)*IF(Lists!H$22&lt;$J17,0,(((YEAR(Lists!H$22)-YEAR($J17))*12+MONTH(Lists!H$22)-MONTH($J17))-(EDATE($J17,((YEAR(Lists!H$22)-YEAR($J17))*12+MONTH(Lists!H$22)-MONTH($J17)))&gt;Lists!H$22)+1)))),N($C17)*IF($AE17-$AD17&lt;1,($AD17&gt;Lists!H$22)*($AD17&lt;=Lists!H$21),MAX(0,MIN(Lists!H$21,$AE17)-MAX(Lists!H$22,$AD17))/($AE17-$AD17))+N($D17)*IF($AG17-$AF17&lt;1,($AF17&gt;Lists!H$22)*($AF17&lt;=Lists!H$21),MAX(0,MIN(Lists!H$21,$AG17)-MAX(Lists!H$22,$AF17))/($AG17-$AF17))+N($E17)*IF($AI17-$AH17&lt;1,($AH17&gt;Lists!H$22)*($AH17&lt;=Lists!H$21),MAX(0,MIN(Lists!H$21,$AI17)-MAX(Lists!H$22,$AH17))/($AI17-$AH17))+N($F17)*IF($AK17-$AJ17&lt;1,($AJ17&gt;Lists!H$22)*($AJ17&lt;=Lists!H$21),MAX(0,MIN(Lists!H$21,$AK17)-MAX(Lists!H$22,$AJ17))/($AK17-$AJ17))+N($G17)*IF($AM17-$AL17&lt;1,($AL17&gt;Lists!H$22)*($AL17&lt;=Lists!H$21),MAX(0,MIN(Lists!H$21,$AM17)-MAX(Lists!H$22,$AL17))/($AM17-$AL17))))))))</f>
        <v>0</v>
      </c>
      <c r="S17" s="53" t="n">
        <f aca="false">IF($H17=0,0,IF($AP17="X",0,IF($AP17="S",$H17/$AO17*(MIN($AO17,MAX(0,INT((Lists!I$21-N($J17))/7)+1))-MIN($AO17,MAX(0,INT((Lists!I$22-N($J17))/7)+1))),IF($AP17="D",$H17*MAX(0,MIN(Lists!I$21,N($J17)+$AO17)-MAX(Lists!I$22,N($J17)))/$AO17,IF($AP17="M",$H17/$AO17*(IF(Lists!I$21&lt;$J17,0,MIN($AO17,(((YEAR(Lists!I$21)-YEAR($J17))*12+MONTH(Lists!I$21)-MONTH($J17))-(EDATE($J17,((YEAR(Lists!I$21)-YEAR($J17))*12+MONTH(Lists!I$21)-MONTH($J17)))&gt;Lists!I$21)+1)))-IF(Lists!I$22&lt;$J17,0,MIN($AO17,(((YEAR(Lists!I$22)-YEAR($J17))*12+MONTH(Lists!I$22)-MONTH($J17))-(EDATE($J17,((YEAR(Lists!I$22)-YEAR($J17))*12+MONTH(Lists!I$22)-MONTH($J17)))&gt;Lists!I$22)+1)))),IF($AP17="F",IF(N($K17)&lt;=0,0,MIN(MAX(0,$H17),N($K17)*IF(Lists!I$21&lt;$J17,0,(((YEAR(Lists!I$21)-YEAR($J17))*12+MONTH(Lists!I$21)-MONTH($J17))-(EDATE($J17,((YEAR(Lists!I$21)-YEAR($J17))*12+MONTH(Lists!I$21)-MONTH($J17)))&gt;Lists!I$21)+1)))-MIN(MAX(0,$H17),N($K17)*IF(Lists!I$22&lt;$J17,0,(((YEAR(Lists!I$22)-YEAR($J17))*12+MONTH(Lists!I$22)-MONTH($J17))-(EDATE($J17,((YEAR(Lists!I$22)-YEAR($J17))*12+MONTH(Lists!I$22)-MONTH($J17)))&gt;Lists!I$22)+1)))),N($C17)*IF($AE17-$AD17&lt;1,($AD17&gt;Lists!I$22)*($AD17&lt;=Lists!I$21),MAX(0,MIN(Lists!I$21,$AE17)-MAX(Lists!I$22,$AD17))/($AE17-$AD17))+N($D17)*IF($AG17-$AF17&lt;1,($AF17&gt;Lists!I$22)*($AF17&lt;=Lists!I$21),MAX(0,MIN(Lists!I$21,$AG17)-MAX(Lists!I$22,$AF17))/($AG17-$AF17))+N($E17)*IF($AI17-$AH17&lt;1,($AH17&gt;Lists!I$22)*($AH17&lt;=Lists!I$21),MAX(0,MIN(Lists!I$21,$AI17)-MAX(Lists!I$22,$AH17))/($AI17-$AH17))+N($F17)*IF($AK17-$AJ17&lt;1,($AJ17&gt;Lists!I$22)*($AJ17&lt;=Lists!I$21),MAX(0,MIN(Lists!I$21,$AK17)-MAX(Lists!I$22,$AJ17))/($AK17-$AJ17))+N($G17)*IF($AM17-$AL17&lt;1,($AL17&gt;Lists!I$22)*($AL17&lt;=Lists!I$21),MAX(0,MIN(Lists!I$21,$AM17)-MAX(Lists!I$22,$AL17))/($AM17-$AL17))))))))</f>
        <v>0</v>
      </c>
      <c r="T17" s="53" t="n">
        <f aca="false">IF($H17=0,0,IF($AP17="X",0,IF($AP17="S",$H17/$AO17*(MIN($AO17,MAX(0,INT((Lists!J$21-N($J17))/7)+1))-MIN($AO17,MAX(0,INT((Lists!J$22-N($J17))/7)+1))),IF($AP17="D",$H17*MAX(0,MIN(Lists!J$21,N($J17)+$AO17)-MAX(Lists!J$22,N($J17)))/$AO17,IF($AP17="M",$H17/$AO17*(IF(Lists!J$21&lt;$J17,0,MIN($AO17,(((YEAR(Lists!J$21)-YEAR($J17))*12+MONTH(Lists!J$21)-MONTH($J17))-(EDATE($J17,((YEAR(Lists!J$21)-YEAR($J17))*12+MONTH(Lists!J$21)-MONTH($J17)))&gt;Lists!J$21)+1)))-IF(Lists!J$22&lt;$J17,0,MIN($AO17,(((YEAR(Lists!J$22)-YEAR($J17))*12+MONTH(Lists!J$22)-MONTH($J17))-(EDATE($J17,((YEAR(Lists!J$22)-YEAR($J17))*12+MONTH(Lists!J$22)-MONTH($J17)))&gt;Lists!J$22)+1)))),IF($AP17="F",IF(N($K17)&lt;=0,0,MIN(MAX(0,$H17),N($K17)*IF(Lists!J$21&lt;$J17,0,(((YEAR(Lists!J$21)-YEAR($J17))*12+MONTH(Lists!J$21)-MONTH($J17))-(EDATE($J17,((YEAR(Lists!J$21)-YEAR($J17))*12+MONTH(Lists!J$21)-MONTH($J17)))&gt;Lists!J$21)+1)))-MIN(MAX(0,$H17),N($K17)*IF(Lists!J$22&lt;$J17,0,(((YEAR(Lists!J$22)-YEAR($J17))*12+MONTH(Lists!J$22)-MONTH($J17))-(EDATE($J17,((YEAR(Lists!J$22)-YEAR($J17))*12+MONTH(Lists!J$22)-MONTH($J17)))&gt;Lists!J$22)+1)))),N($C17)*IF($AE17-$AD17&lt;1,($AD17&gt;Lists!J$22)*($AD17&lt;=Lists!J$21),MAX(0,MIN(Lists!J$21,$AE17)-MAX(Lists!J$22,$AD17))/($AE17-$AD17))+N($D17)*IF($AG17-$AF17&lt;1,($AF17&gt;Lists!J$22)*($AF17&lt;=Lists!J$21),MAX(0,MIN(Lists!J$21,$AG17)-MAX(Lists!J$22,$AF17))/($AG17-$AF17))+N($E17)*IF($AI17-$AH17&lt;1,($AH17&gt;Lists!J$22)*($AH17&lt;=Lists!J$21),MAX(0,MIN(Lists!J$21,$AI17)-MAX(Lists!J$22,$AH17))/($AI17-$AH17))+N($F17)*IF($AK17-$AJ17&lt;1,($AJ17&gt;Lists!J$22)*($AJ17&lt;=Lists!J$21),MAX(0,MIN(Lists!J$21,$AK17)-MAX(Lists!J$22,$AJ17))/($AK17-$AJ17))+N($G17)*IF($AM17-$AL17&lt;1,($AL17&gt;Lists!J$22)*($AL17&lt;=Lists!J$21),MAX(0,MIN(Lists!J$21,$AM17)-MAX(Lists!J$22,$AL17))/($AM17-$AL17))))))))</f>
        <v>0</v>
      </c>
      <c r="U17" s="53" t="n">
        <f aca="false">IF($H17=0,0,IF($AP17="X",0,IF($AP17="S",$H17/$AO17*(MIN($AO17,MAX(0,INT((Lists!K$21-N($J17))/7)+1))-MIN($AO17,MAX(0,INT((Lists!K$22-N($J17))/7)+1))),IF($AP17="D",$H17*MAX(0,MIN(Lists!K$21,N($J17)+$AO17)-MAX(Lists!K$22,N($J17)))/$AO17,IF($AP17="M",$H17/$AO17*(IF(Lists!K$21&lt;$J17,0,MIN($AO17,(((YEAR(Lists!K$21)-YEAR($J17))*12+MONTH(Lists!K$21)-MONTH($J17))-(EDATE($J17,((YEAR(Lists!K$21)-YEAR($J17))*12+MONTH(Lists!K$21)-MONTH($J17)))&gt;Lists!K$21)+1)))-IF(Lists!K$22&lt;$J17,0,MIN($AO17,(((YEAR(Lists!K$22)-YEAR($J17))*12+MONTH(Lists!K$22)-MONTH($J17))-(EDATE($J17,((YEAR(Lists!K$22)-YEAR($J17))*12+MONTH(Lists!K$22)-MONTH($J17)))&gt;Lists!K$22)+1)))),IF($AP17="F",IF(N($K17)&lt;=0,0,MIN(MAX(0,$H17),N($K17)*IF(Lists!K$21&lt;$J17,0,(((YEAR(Lists!K$21)-YEAR($J17))*12+MONTH(Lists!K$21)-MONTH($J17))-(EDATE($J17,((YEAR(Lists!K$21)-YEAR($J17))*12+MONTH(Lists!K$21)-MONTH($J17)))&gt;Lists!K$21)+1)))-MIN(MAX(0,$H17),N($K17)*IF(Lists!K$22&lt;$J17,0,(((YEAR(Lists!K$22)-YEAR($J17))*12+MONTH(Lists!K$22)-MONTH($J17))-(EDATE($J17,((YEAR(Lists!K$22)-YEAR($J17))*12+MONTH(Lists!K$22)-MONTH($J17)))&gt;Lists!K$22)+1)))),N($C17)*IF($AE17-$AD17&lt;1,($AD17&gt;Lists!K$22)*($AD17&lt;=Lists!K$21),MAX(0,MIN(Lists!K$21,$AE17)-MAX(Lists!K$22,$AD17))/($AE17-$AD17))+N($D17)*IF($AG17-$AF17&lt;1,($AF17&gt;Lists!K$22)*($AF17&lt;=Lists!K$21),MAX(0,MIN(Lists!K$21,$AG17)-MAX(Lists!K$22,$AF17))/($AG17-$AF17))+N($E17)*IF($AI17-$AH17&lt;1,($AH17&gt;Lists!K$22)*($AH17&lt;=Lists!K$21),MAX(0,MIN(Lists!K$21,$AI17)-MAX(Lists!K$22,$AH17))/($AI17-$AH17))+N($F17)*IF($AK17-$AJ17&lt;1,($AJ17&gt;Lists!K$22)*($AJ17&lt;=Lists!K$21),MAX(0,MIN(Lists!K$21,$AK17)-MAX(Lists!K$22,$AJ17))/($AK17-$AJ17))+N($G17)*IF($AM17-$AL17&lt;1,($AL17&gt;Lists!K$22)*($AL17&lt;=Lists!K$21),MAX(0,MIN(Lists!K$21,$AM17)-MAX(Lists!K$22,$AL17))/($AM17-$AL17))))))))</f>
        <v>0</v>
      </c>
      <c r="V17" s="53" t="n">
        <f aca="false">IF($H17=0,0,IF($AP17="X",0,IF($AP17="S",$H17/$AO17*(MIN($AO17,MAX(0,INT((Lists!L$21-N($J17))/7)+1))-MIN($AO17,MAX(0,INT((Lists!L$22-N($J17))/7)+1))),IF($AP17="D",$H17*MAX(0,MIN(Lists!L$21,N($J17)+$AO17)-MAX(Lists!L$22,N($J17)))/$AO17,IF($AP17="M",$H17/$AO17*(IF(Lists!L$21&lt;$J17,0,MIN($AO17,(((YEAR(Lists!L$21)-YEAR($J17))*12+MONTH(Lists!L$21)-MONTH($J17))-(EDATE($J17,((YEAR(Lists!L$21)-YEAR($J17))*12+MONTH(Lists!L$21)-MONTH($J17)))&gt;Lists!L$21)+1)))-IF(Lists!L$22&lt;$J17,0,MIN($AO17,(((YEAR(Lists!L$22)-YEAR($J17))*12+MONTH(Lists!L$22)-MONTH($J17))-(EDATE($J17,((YEAR(Lists!L$22)-YEAR($J17))*12+MONTH(Lists!L$22)-MONTH($J17)))&gt;Lists!L$22)+1)))),IF($AP17="F",IF(N($K17)&lt;=0,0,MIN(MAX(0,$H17),N($K17)*IF(Lists!L$21&lt;$J17,0,(((YEAR(Lists!L$21)-YEAR($J17))*12+MONTH(Lists!L$21)-MONTH($J17))-(EDATE($J17,((YEAR(Lists!L$21)-YEAR($J17))*12+MONTH(Lists!L$21)-MONTH($J17)))&gt;Lists!L$21)+1)))-MIN(MAX(0,$H17),N($K17)*IF(Lists!L$22&lt;$J17,0,(((YEAR(Lists!L$22)-YEAR($J17))*12+MONTH(Lists!L$22)-MONTH($J17))-(EDATE($J17,((YEAR(Lists!L$22)-YEAR($J17))*12+MONTH(Lists!L$22)-MONTH($J17)))&gt;Lists!L$22)+1)))),N($C17)*IF($AE17-$AD17&lt;1,($AD17&gt;Lists!L$22)*($AD17&lt;=Lists!L$21),MAX(0,MIN(Lists!L$21,$AE17)-MAX(Lists!L$22,$AD17))/($AE17-$AD17))+N($D17)*IF($AG17-$AF17&lt;1,($AF17&gt;Lists!L$22)*($AF17&lt;=Lists!L$21),MAX(0,MIN(Lists!L$21,$AG17)-MAX(Lists!L$22,$AF17))/($AG17-$AF17))+N($E17)*IF($AI17-$AH17&lt;1,($AH17&gt;Lists!L$22)*($AH17&lt;=Lists!L$21),MAX(0,MIN(Lists!L$21,$AI17)-MAX(Lists!L$22,$AH17))/($AI17-$AH17))+N($F17)*IF($AK17-$AJ17&lt;1,($AJ17&gt;Lists!L$22)*($AJ17&lt;=Lists!L$21),MAX(0,MIN(Lists!L$21,$AK17)-MAX(Lists!L$22,$AJ17))/($AK17-$AJ17))+N($G17)*IF($AM17-$AL17&lt;1,($AL17&gt;Lists!L$22)*($AL17&lt;=Lists!L$21),MAX(0,MIN(Lists!L$21,$AM17)-MAX(Lists!L$22,$AL17))/($AM17-$AL17))))))))</f>
        <v>0</v>
      </c>
      <c r="W17" s="53" t="n">
        <f aca="false">IF($H17=0,0,IF($AP17="X",0,IF($AP17="S",$H17/$AO17*(MIN($AO17,MAX(0,INT((Lists!M$21-N($J17))/7)+1))-MIN($AO17,MAX(0,INT((Lists!M$22-N($J17))/7)+1))),IF($AP17="D",$H17*MAX(0,MIN(Lists!M$21,N($J17)+$AO17)-MAX(Lists!M$22,N($J17)))/$AO17,IF($AP17="M",$H17/$AO17*(IF(Lists!M$21&lt;$J17,0,MIN($AO17,(((YEAR(Lists!M$21)-YEAR($J17))*12+MONTH(Lists!M$21)-MONTH($J17))-(EDATE($J17,((YEAR(Lists!M$21)-YEAR($J17))*12+MONTH(Lists!M$21)-MONTH($J17)))&gt;Lists!M$21)+1)))-IF(Lists!M$22&lt;$J17,0,MIN($AO17,(((YEAR(Lists!M$22)-YEAR($J17))*12+MONTH(Lists!M$22)-MONTH($J17))-(EDATE($J17,((YEAR(Lists!M$22)-YEAR($J17))*12+MONTH(Lists!M$22)-MONTH($J17)))&gt;Lists!M$22)+1)))),IF($AP17="F",IF(N($K17)&lt;=0,0,MIN(MAX(0,$H17),N($K17)*IF(Lists!M$21&lt;$J17,0,(((YEAR(Lists!M$21)-YEAR($J17))*12+MONTH(Lists!M$21)-MONTH($J17))-(EDATE($J17,((YEAR(Lists!M$21)-YEAR($J17))*12+MONTH(Lists!M$21)-MONTH($J17)))&gt;Lists!M$21)+1)))-MIN(MAX(0,$H17),N($K17)*IF(Lists!M$22&lt;$J17,0,(((YEAR(Lists!M$22)-YEAR($J17))*12+MONTH(Lists!M$22)-MONTH($J17))-(EDATE($J17,((YEAR(Lists!M$22)-YEAR($J17))*12+MONTH(Lists!M$22)-MONTH($J17)))&gt;Lists!M$22)+1)))),N($C17)*IF($AE17-$AD17&lt;1,($AD17&gt;Lists!M$22)*($AD17&lt;=Lists!M$21),MAX(0,MIN(Lists!M$21,$AE17)-MAX(Lists!M$22,$AD17))/($AE17-$AD17))+N($D17)*IF($AG17-$AF17&lt;1,($AF17&gt;Lists!M$22)*($AF17&lt;=Lists!M$21),MAX(0,MIN(Lists!M$21,$AG17)-MAX(Lists!M$22,$AF17))/($AG17-$AF17))+N($E17)*IF($AI17-$AH17&lt;1,($AH17&gt;Lists!M$22)*($AH17&lt;=Lists!M$21),MAX(0,MIN(Lists!M$21,$AI17)-MAX(Lists!M$22,$AH17))/($AI17-$AH17))+N($F17)*IF($AK17-$AJ17&lt;1,($AJ17&gt;Lists!M$22)*($AJ17&lt;=Lists!M$21),MAX(0,MIN(Lists!M$21,$AK17)-MAX(Lists!M$22,$AJ17))/($AK17-$AJ17))+N($G17)*IF($AM17-$AL17&lt;1,($AL17&gt;Lists!M$22)*($AL17&lt;=Lists!M$21),MAX(0,MIN(Lists!M$21,$AM17)-MAX(Lists!M$22,$AL17))/($AM17-$AL17))))))))</f>
        <v>0</v>
      </c>
      <c r="X17" s="53" t="n">
        <f aca="false">IF($H17=0,0,IF($AP17="X",0,IF($AP17="S",$H17/$AO17*(MIN($AO17,MAX(0,INT((Lists!N$21-N($J17))/7)+1))-MIN($AO17,MAX(0,INT((Lists!N$22-N($J17))/7)+1))),IF($AP17="D",$H17*MAX(0,MIN(Lists!N$21,N($J17)+$AO17)-MAX(Lists!N$22,N($J17)))/$AO17,IF($AP17="M",$H17/$AO17*(IF(Lists!N$21&lt;$J17,0,MIN($AO17,(((YEAR(Lists!N$21)-YEAR($J17))*12+MONTH(Lists!N$21)-MONTH($J17))-(EDATE($J17,((YEAR(Lists!N$21)-YEAR($J17))*12+MONTH(Lists!N$21)-MONTH($J17)))&gt;Lists!N$21)+1)))-IF(Lists!N$22&lt;$J17,0,MIN($AO17,(((YEAR(Lists!N$22)-YEAR($J17))*12+MONTH(Lists!N$22)-MONTH($J17))-(EDATE($J17,((YEAR(Lists!N$22)-YEAR($J17))*12+MONTH(Lists!N$22)-MONTH($J17)))&gt;Lists!N$22)+1)))),IF($AP17="F",IF(N($K17)&lt;=0,0,MIN(MAX(0,$H17),N($K17)*IF(Lists!N$21&lt;$J17,0,(((YEAR(Lists!N$21)-YEAR($J17))*12+MONTH(Lists!N$21)-MONTH($J17))-(EDATE($J17,((YEAR(Lists!N$21)-YEAR($J17))*12+MONTH(Lists!N$21)-MONTH($J17)))&gt;Lists!N$21)+1)))-MIN(MAX(0,$H17),N($K17)*IF(Lists!N$22&lt;$J17,0,(((YEAR(Lists!N$22)-YEAR($J17))*12+MONTH(Lists!N$22)-MONTH($J17))-(EDATE($J17,((YEAR(Lists!N$22)-YEAR($J17))*12+MONTH(Lists!N$22)-MONTH($J17)))&gt;Lists!N$22)+1)))),N($C17)*IF($AE17-$AD17&lt;1,($AD17&gt;Lists!N$22)*($AD17&lt;=Lists!N$21),MAX(0,MIN(Lists!N$21,$AE17)-MAX(Lists!N$22,$AD17))/($AE17-$AD17))+N($D17)*IF($AG17-$AF17&lt;1,($AF17&gt;Lists!N$22)*($AF17&lt;=Lists!N$21),MAX(0,MIN(Lists!N$21,$AG17)-MAX(Lists!N$22,$AF17))/($AG17-$AF17))+N($E17)*IF($AI17-$AH17&lt;1,($AH17&gt;Lists!N$22)*($AH17&lt;=Lists!N$21),MAX(0,MIN(Lists!N$21,$AI17)-MAX(Lists!N$22,$AH17))/($AI17-$AH17))+N($F17)*IF($AK17-$AJ17&lt;1,($AJ17&gt;Lists!N$22)*($AJ17&lt;=Lists!N$21),MAX(0,MIN(Lists!N$21,$AK17)-MAX(Lists!N$22,$AJ17))/($AK17-$AJ17))+N($G17)*IF($AM17-$AL17&lt;1,($AL17&gt;Lists!N$22)*($AL17&lt;=Lists!N$21),MAX(0,MIN(Lists!N$21,$AM17)-MAX(Lists!N$22,$AL17))/($AM17-$AL17))))))))</f>
        <v>0</v>
      </c>
      <c r="Y17" s="53" t="n">
        <f aca="false">IF($H17=0,0,IF($AP17="X",0,IF($AP17="S",$H17/$AO17*(MIN($AO17,MAX(0,INT((Lists!O$21-N($J17))/7)+1))-MIN($AO17,MAX(0,INT((Lists!O$22-N($J17))/7)+1))),IF($AP17="D",$H17*MAX(0,MIN(Lists!O$21,N($J17)+$AO17)-MAX(Lists!O$22,N($J17)))/$AO17,IF($AP17="M",$H17/$AO17*(IF(Lists!O$21&lt;$J17,0,MIN($AO17,(((YEAR(Lists!O$21)-YEAR($J17))*12+MONTH(Lists!O$21)-MONTH($J17))-(EDATE($J17,((YEAR(Lists!O$21)-YEAR($J17))*12+MONTH(Lists!O$21)-MONTH($J17)))&gt;Lists!O$21)+1)))-IF(Lists!O$22&lt;$J17,0,MIN($AO17,(((YEAR(Lists!O$22)-YEAR($J17))*12+MONTH(Lists!O$22)-MONTH($J17))-(EDATE($J17,((YEAR(Lists!O$22)-YEAR($J17))*12+MONTH(Lists!O$22)-MONTH($J17)))&gt;Lists!O$22)+1)))),IF($AP17="F",IF(N($K17)&lt;=0,0,MIN(MAX(0,$H17),N($K17)*IF(Lists!O$21&lt;$J17,0,(((YEAR(Lists!O$21)-YEAR($J17))*12+MONTH(Lists!O$21)-MONTH($J17))-(EDATE($J17,((YEAR(Lists!O$21)-YEAR($J17))*12+MONTH(Lists!O$21)-MONTH($J17)))&gt;Lists!O$21)+1)))-MIN(MAX(0,$H17),N($K17)*IF(Lists!O$22&lt;$J17,0,(((YEAR(Lists!O$22)-YEAR($J17))*12+MONTH(Lists!O$22)-MONTH($J17))-(EDATE($J17,((YEAR(Lists!O$22)-YEAR($J17))*12+MONTH(Lists!O$22)-MONTH($J17)))&gt;Lists!O$22)+1)))),N($C17)*IF($AE17-$AD17&lt;1,($AD17&gt;Lists!O$22)*($AD17&lt;=Lists!O$21),MAX(0,MIN(Lists!O$21,$AE17)-MAX(Lists!O$22,$AD17))/($AE17-$AD17))+N($D17)*IF($AG17-$AF17&lt;1,($AF17&gt;Lists!O$22)*($AF17&lt;=Lists!O$21),MAX(0,MIN(Lists!O$21,$AG17)-MAX(Lists!O$22,$AF17))/($AG17-$AF17))+N($E17)*IF($AI17-$AH17&lt;1,($AH17&gt;Lists!O$22)*($AH17&lt;=Lists!O$21),MAX(0,MIN(Lists!O$21,$AI17)-MAX(Lists!O$22,$AH17))/($AI17-$AH17))+N($F17)*IF($AK17-$AJ17&lt;1,($AJ17&gt;Lists!O$22)*($AJ17&lt;=Lists!O$21),MAX(0,MIN(Lists!O$21,$AK17)-MAX(Lists!O$22,$AJ17))/($AK17-$AJ17))+N($G17)*IF($AM17-$AL17&lt;1,($AL17&gt;Lists!O$22)*($AL17&lt;=Lists!O$21),MAX(0,MIN(Lists!O$21,$AM17)-MAX(Lists!O$22,$AL17))/($AM17-$AL17))))))))</f>
        <v>0</v>
      </c>
      <c r="Z17" s="46" t="n">
        <f aca="false">SUM(M17:Y17)</f>
        <v>0</v>
      </c>
      <c r="AA17" s="92" t="n">
        <f aca="false">H17-Z17</f>
        <v>0</v>
      </c>
      <c r="AB17" s="55"/>
      <c r="AC17" s="2"/>
      <c r="AD17" s="93" t="n">
        <f aca="false">Setup!$D$10+MAX(0,$AN17-30)</f>
        <v>46345</v>
      </c>
      <c r="AE17" s="93" t="n">
        <f aca="false">Setup!$D$10+IF($AN17-30&lt;0,MAX(Setup!$D$22,$AN17-0),$AN17-0)</f>
        <v>46375</v>
      </c>
      <c r="AF17" s="93" t="n">
        <f aca="false">Setup!$D$10+MAX(0,$AN17-60)</f>
        <v>46335</v>
      </c>
      <c r="AG17" s="93" t="n">
        <f aca="false">Setup!$D$10+IF($AN17-60&lt;0,MAX(Setup!$D$22,$AN17-31),$AN17-31)</f>
        <v>46363</v>
      </c>
      <c r="AH17" s="93" t="n">
        <f aca="false">Setup!$D$10+MAX(0,$AN17-90)</f>
        <v>46335</v>
      </c>
      <c r="AI17" s="93" t="n">
        <f aca="false">Setup!$D$10+IF($AN17-90&lt;0,MAX(Setup!$D$22,$AN17-61),$AN17-61)</f>
        <v>46363</v>
      </c>
      <c r="AJ17" s="93" t="n">
        <f aca="false">Setup!$D$10+MAX(0,$AN17-120)</f>
        <v>46335</v>
      </c>
      <c r="AK17" s="93" t="n">
        <f aca="false">Setup!$D$10+IF($AN17-120&lt;0,MAX(Setup!$D$22,$AN17-91),$AN17-91)</f>
        <v>46363</v>
      </c>
      <c r="AL17" s="93" t="n">
        <f aca="false">Setup!$D$10</f>
        <v>46335</v>
      </c>
      <c r="AM17" s="93" t="n">
        <f aca="false">IF(AL17=2958465,AL17,Setup!$D$10+Setup!$D$22)</f>
        <v>46363</v>
      </c>
      <c r="AN17" s="94" t="n">
        <f aca="false">IF(N(L17)=0,Setup!$D$21,L17)</f>
        <v>40</v>
      </c>
      <c r="AO17" s="94" t="n">
        <f aca="false">MAX(1,ROUND(N(K17),0))</f>
        <v>1</v>
      </c>
      <c r="AP17" s="95" t="str">
        <f aca="false">IF(I17="On hold","X",IF(N(J17)=0,"A",IF(I17="Specific date","S",IF(I17="Spread over days","D",IF(I17="Monthly on set day","M",IF(I17="Monthly fixed amount","F","A"))))))</f>
        <v>A</v>
      </c>
    </row>
    <row r="18" customFormat="false" ht="15" hidden="false" customHeight="false" outlineLevel="0" collapsed="false">
      <c r="A18" s="87" t="n">
        <v>10</v>
      </c>
      <c r="B18" s="55"/>
      <c r="C18" s="88"/>
      <c r="D18" s="88"/>
      <c r="E18" s="88"/>
      <c r="F18" s="88"/>
      <c r="G18" s="88"/>
      <c r="H18" s="89" t="n">
        <f aca="false">SUM(C18:G18)</f>
        <v>0</v>
      </c>
      <c r="I18" s="58"/>
      <c r="J18" s="90"/>
      <c r="K18" s="91"/>
      <c r="L18" s="80"/>
      <c r="M18" s="53" t="n">
        <f aca="false">IF($H18=0,0,IF($AP18="X",0,IF($AP18="S",$H18/$AO18*(MIN($AO18,MAX(0,INT((Lists!C$21-N($J18))/7)+1))-MIN($AO18,MAX(0,INT((Lists!C$22-N($J18))/7)+1))),IF($AP18="D",$H18*MAX(0,MIN(Lists!C$21,N($J18)+$AO18)-MAX(Lists!C$22,N($J18)))/$AO18,IF($AP18="M",$H18/$AO18*(IF(Lists!C$21&lt;$J18,0,MIN($AO18,(((YEAR(Lists!C$21)-YEAR($J18))*12+MONTH(Lists!C$21)-MONTH($J18))-(EDATE($J18,((YEAR(Lists!C$21)-YEAR($J18))*12+MONTH(Lists!C$21)-MONTH($J18)))&gt;Lists!C$21)+1)))-IF(Lists!C$22&lt;$J18,0,MIN($AO18,(((YEAR(Lists!C$22)-YEAR($J18))*12+MONTH(Lists!C$22)-MONTH($J18))-(EDATE($J18,((YEAR(Lists!C$22)-YEAR($J18))*12+MONTH(Lists!C$22)-MONTH($J18)))&gt;Lists!C$22)+1)))),IF($AP18="F",IF(N($K18)&lt;=0,0,MIN(MAX(0,$H18),N($K18)*IF(Lists!C$21&lt;$J18,0,(((YEAR(Lists!C$21)-YEAR($J18))*12+MONTH(Lists!C$21)-MONTH($J18))-(EDATE($J18,((YEAR(Lists!C$21)-YEAR($J18))*12+MONTH(Lists!C$21)-MONTH($J18)))&gt;Lists!C$21)+1)))-MIN(MAX(0,$H18),N($K18)*IF(Lists!C$22&lt;$J18,0,(((YEAR(Lists!C$22)-YEAR($J18))*12+MONTH(Lists!C$22)-MONTH($J18))-(EDATE($J18,((YEAR(Lists!C$22)-YEAR($J18))*12+MONTH(Lists!C$22)-MONTH($J18)))&gt;Lists!C$22)+1)))),N($C18)*IF($AE18-$AD18&lt;1,($AD18&gt;Lists!C$22)*($AD18&lt;=Lists!C$21),MAX(0,MIN(Lists!C$21,$AE18)-MAX(Lists!C$22,$AD18))/($AE18-$AD18))+N($D18)*IF($AG18-$AF18&lt;1,($AF18&gt;Lists!C$22)*($AF18&lt;=Lists!C$21),MAX(0,MIN(Lists!C$21,$AG18)-MAX(Lists!C$22,$AF18))/($AG18-$AF18))+N($E18)*IF($AI18-$AH18&lt;1,($AH18&gt;Lists!C$22)*($AH18&lt;=Lists!C$21),MAX(0,MIN(Lists!C$21,$AI18)-MAX(Lists!C$22,$AH18))/($AI18-$AH18))+N($F18)*IF($AK18-$AJ18&lt;1,($AJ18&gt;Lists!C$22)*($AJ18&lt;=Lists!C$21),MAX(0,MIN(Lists!C$21,$AK18)-MAX(Lists!C$22,$AJ18))/($AK18-$AJ18))+N($G18)*IF($AM18-$AL18&lt;1,($AL18&gt;Lists!C$22)*($AL18&lt;=Lists!C$21),MAX(0,MIN(Lists!C$21,$AM18)-MAX(Lists!C$22,$AL18))/($AM18-$AL18))))))))</f>
        <v>0</v>
      </c>
      <c r="N18" s="53" t="n">
        <f aca="false">IF($H18=0,0,IF($AP18="X",0,IF($AP18="S",$H18/$AO18*(MIN($AO18,MAX(0,INT((Lists!D$21-N($J18))/7)+1))-MIN($AO18,MAX(0,INT((Lists!D$22-N($J18))/7)+1))),IF($AP18="D",$H18*MAX(0,MIN(Lists!D$21,N($J18)+$AO18)-MAX(Lists!D$22,N($J18)))/$AO18,IF($AP18="M",$H18/$AO18*(IF(Lists!D$21&lt;$J18,0,MIN($AO18,(((YEAR(Lists!D$21)-YEAR($J18))*12+MONTH(Lists!D$21)-MONTH($J18))-(EDATE($J18,((YEAR(Lists!D$21)-YEAR($J18))*12+MONTH(Lists!D$21)-MONTH($J18)))&gt;Lists!D$21)+1)))-IF(Lists!D$22&lt;$J18,0,MIN($AO18,(((YEAR(Lists!D$22)-YEAR($J18))*12+MONTH(Lists!D$22)-MONTH($J18))-(EDATE($J18,((YEAR(Lists!D$22)-YEAR($J18))*12+MONTH(Lists!D$22)-MONTH($J18)))&gt;Lists!D$22)+1)))),IF($AP18="F",IF(N($K18)&lt;=0,0,MIN(MAX(0,$H18),N($K18)*IF(Lists!D$21&lt;$J18,0,(((YEAR(Lists!D$21)-YEAR($J18))*12+MONTH(Lists!D$21)-MONTH($J18))-(EDATE($J18,((YEAR(Lists!D$21)-YEAR($J18))*12+MONTH(Lists!D$21)-MONTH($J18)))&gt;Lists!D$21)+1)))-MIN(MAX(0,$H18),N($K18)*IF(Lists!D$22&lt;$J18,0,(((YEAR(Lists!D$22)-YEAR($J18))*12+MONTH(Lists!D$22)-MONTH($J18))-(EDATE($J18,((YEAR(Lists!D$22)-YEAR($J18))*12+MONTH(Lists!D$22)-MONTH($J18)))&gt;Lists!D$22)+1)))),N($C18)*IF($AE18-$AD18&lt;1,($AD18&gt;Lists!D$22)*($AD18&lt;=Lists!D$21),MAX(0,MIN(Lists!D$21,$AE18)-MAX(Lists!D$22,$AD18))/($AE18-$AD18))+N($D18)*IF($AG18-$AF18&lt;1,($AF18&gt;Lists!D$22)*($AF18&lt;=Lists!D$21),MAX(0,MIN(Lists!D$21,$AG18)-MAX(Lists!D$22,$AF18))/($AG18-$AF18))+N($E18)*IF($AI18-$AH18&lt;1,($AH18&gt;Lists!D$22)*($AH18&lt;=Lists!D$21),MAX(0,MIN(Lists!D$21,$AI18)-MAX(Lists!D$22,$AH18))/($AI18-$AH18))+N($F18)*IF($AK18-$AJ18&lt;1,($AJ18&gt;Lists!D$22)*($AJ18&lt;=Lists!D$21),MAX(0,MIN(Lists!D$21,$AK18)-MAX(Lists!D$22,$AJ18))/($AK18-$AJ18))+N($G18)*IF($AM18-$AL18&lt;1,($AL18&gt;Lists!D$22)*($AL18&lt;=Lists!D$21),MAX(0,MIN(Lists!D$21,$AM18)-MAX(Lists!D$22,$AL18))/($AM18-$AL18))))))))</f>
        <v>0</v>
      </c>
      <c r="O18" s="53" t="n">
        <f aca="false">IF($H18=0,0,IF($AP18="X",0,IF($AP18="S",$H18/$AO18*(MIN($AO18,MAX(0,INT((Lists!E$21-N($J18))/7)+1))-MIN($AO18,MAX(0,INT((Lists!E$22-N($J18))/7)+1))),IF($AP18="D",$H18*MAX(0,MIN(Lists!E$21,N($J18)+$AO18)-MAX(Lists!E$22,N($J18)))/$AO18,IF($AP18="M",$H18/$AO18*(IF(Lists!E$21&lt;$J18,0,MIN($AO18,(((YEAR(Lists!E$21)-YEAR($J18))*12+MONTH(Lists!E$21)-MONTH($J18))-(EDATE($J18,((YEAR(Lists!E$21)-YEAR($J18))*12+MONTH(Lists!E$21)-MONTH($J18)))&gt;Lists!E$21)+1)))-IF(Lists!E$22&lt;$J18,0,MIN($AO18,(((YEAR(Lists!E$22)-YEAR($J18))*12+MONTH(Lists!E$22)-MONTH($J18))-(EDATE($J18,((YEAR(Lists!E$22)-YEAR($J18))*12+MONTH(Lists!E$22)-MONTH($J18)))&gt;Lists!E$22)+1)))),IF($AP18="F",IF(N($K18)&lt;=0,0,MIN(MAX(0,$H18),N($K18)*IF(Lists!E$21&lt;$J18,0,(((YEAR(Lists!E$21)-YEAR($J18))*12+MONTH(Lists!E$21)-MONTH($J18))-(EDATE($J18,((YEAR(Lists!E$21)-YEAR($J18))*12+MONTH(Lists!E$21)-MONTH($J18)))&gt;Lists!E$21)+1)))-MIN(MAX(0,$H18),N($K18)*IF(Lists!E$22&lt;$J18,0,(((YEAR(Lists!E$22)-YEAR($J18))*12+MONTH(Lists!E$22)-MONTH($J18))-(EDATE($J18,((YEAR(Lists!E$22)-YEAR($J18))*12+MONTH(Lists!E$22)-MONTH($J18)))&gt;Lists!E$22)+1)))),N($C18)*IF($AE18-$AD18&lt;1,($AD18&gt;Lists!E$22)*($AD18&lt;=Lists!E$21),MAX(0,MIN(Lists!E$21,$AE18)-MAX(Lists!E$22,$AD18))/($AE18-$AD18))+N($D18)*IF($AG18-$AF18&lt;1,($AF18&gt;Lists!E$22)*($AF18&lt;=Lists!E$21),MAX(0,MIN(Lists!E$21,$AG18)-MAX(Lists!E$22,$AF18))/($AG18-$AF18))+N($E18)*IF($AI18-$AH18&lt;1,($AH18&gt;Lists!E$22)*($AH18&lt;=Lists!E$21),MAX(0,MIN(Lists!E$21,$AI18)-MAX(Lists!E$22,$AH18))/($AI18-$AH18))+N($F18)*IF($AK18-$AJ18&lt;1,($AJ18&gt;Lists!E$22)*($AJ18&lt;=Lists!E$21),MAX(0,MIN(Lists!E$21,$AK18)-MAX(Lists!E$22,$AJ18))/($AK18-$AJ18))+N($G18)*IF($AM18-$AL18&lt;1,($AL18&gt;Lists!E$22)*($AL18&lt;=Lists!E$21),MAX(0,MIN(Lists!E$21,$AM18)-MAX(Lists!E$22,$AL18))/($AM18-$AL18))))))))</f>
        <v>0</v>
      </c>
      <c r="P18" s="53" t="n">
        <f aca="false">IF($H18=0,0,IF($AP18="X",0,IF($AP18="S",$H18/$AO18*(MIN($AO18,MAX(0,INT((Lists!F$21-N($J18))/7)+1))-MIN($AO18,MAX(0,INT((Lists!F$22-N($J18))/7)+1))),IF($AP18="D",$H18*MAX(0,MIN(Lists!F$21,N($J18)+$AO18)-MAX(Lists!F$22,N($J18)))/$AO18,IF($AP18="M",$H18/$AO18*(IF(Lists!F$21&lt;$J18,0,MIN($AO18,(((YEAR(Lists!F$21)-YEAR($J18))*12+MONTH(Lists!F$21)-MONTH($J18))-(EDATE($J18,((YEAR(Lists!F$21)-YEAR($J18))*12+MONTH(Lists!F$21)-MONTH($J18)))&gt;Lists!F$21)+1)))-IF(Lists!F$22&lt;$J18,0,MIN($AO18,(((YEAR(Lists!F$22)-YEAR($J18))*12+MONTH(Lists!F$22)-MONTH($J18))-(EDATE($J18,((YEAR(Lists!F$22)-YEAR($J18))*12+MONTH(Lists!F$22)-MONTH($J18)))&gt;Lists!F$22)+1)))),IF($AP18="F",IF(N($K18)&lt;=0,0,MIN(MAX(0,$H18),N($K18)*IF(Lists!F$21&lt;$J18,0,(((YEAR(Lists!F$21)-YEAR($J18))*12+MONTH(Lists!F$21)-MONTH($J18))-(EDATE($J18,((YEAR(Lists!F$21)-YEAR($J18))*12+MONTH(Lists!F$21)-MONTH($J18)))&gt;Lists!F$21)+1)))-MIN(MAX(0,$H18),N($K18)*IF(Lists!F$22&lt;$J18,0,(((YEAR(Lists!F$22)-YEAR($J18))*12+MONTH(Lists!F$22)-MONTH($J18))-(EDATE($J18,((YEAR(Lists!F$22)-YEAR($J18))*12+MONTH(Lists!F$22)-MONTH($J18)))&gt;Lists!F$22)+1)))),N($C18)*IF($AE18-$AD18&lt;1,($AD18&gt;Lists!F$22)*($AD18&lt;=Lists!F$21),MAX(0,MIN(Lists!F$21,$AE18)-MAX(Lists!F$22,$AD18))/($AE18-$AD18))+N($D18)*IF($AG18-$AF18&lt;1,($AF18&gt;Lists!F$22)*($AF18&lt;=Lists!F$21),MAX(0,MIN(Lists!F$21,$AG18)-MAX(Lists!F$22,$AF18))/($AG18-$AF18))+N($E18)*IF($AI18-$AH18&lt;1,($AH18&gt;Lists!F$22)*($AH18&lt;=Lists!F$21),MAX(0,MIN(Lists!F$21,$AI18)-MAX(Lists!F$22,$AH18))/($AI18-$AH18))+N($F18)*IF($AK18-$AJ18&lt;1,($AJ18&gt;Lists!F$22)*($AJ18&lt;=Lists!F$21),MAX(0,MIN(Lists!F$21,$AK18)-MAX(Lists!F$22,$AJ18))/($AK18-$AJ18))+N($G18)*IF($AM18-$AL18&lt;1,($AL18&gt;Lists!F$22)*($AL18&lt;=Lists!F$21),MAX(0,MIN(Lists!F$21,$AM18)-MAX(Lists!F$22,$AL18))/($AM18-$AL18))))))))</f>
        <v>0</v>
      </c>
      <c r="Q18" s="53" t="n">
        <f aca="false">IF($H18=0,0,IF($AP18="X",0,IF($AP18="S",$H18/$AO18*(MIN($AO18,MAX(0,INT((Lists!G$21-N($J18))/7)+1))-MIN($AO18,MAX(0,INT((Lists!G$22-N($J18))/7)+1))),IF($AP18="D",$H18*MAX(0,MIN(Lists!G$21,N($J18)+$AO18)-MAX(Lists!G$22,N($J18)))/$AO18,IF($AP18="M",$H18/$AO18*(IF(Lists!G$21&lt;$J18,0,MIN($AO18,(((YEAR(Lists!G$21)-YEAR($J18))*12+MONTH(Lists!G$21)-MONTH($J18))-(EDATE($J18,((YEAR(Lists!G$21)-YEAR($J18))*12+MONTH(Lists!G$21)-MONTH($J18)))&gt;Lists!G$21)+1)))-IF(Lists!G$22&lt;$J18,0,MIN($AO18,(((YEAR(Lists!G$22)-YEAR($J18))*12+MONTH(Lists!G$22)-MONTH($J18))-(EDATE($J18,((YEAR(Lists!G$22)-YEAR($J18))*12+MONTH(Lists!G$22)-MONTH($J18)))&gt;Lists!G$22)+1)))),IF($AP18="F",IF(N($K18)&lt;=0,0,MIN(MAX(0,$H18),N($K18)*IF(Lists!G$21&lt;$J18,0,(((YEAR(Lists!G$21)-YEAR($J18))*12+MONTH(Lists!G$21)-MONTH($J18))-(EDATE($J18,((YEAR(Lists!G$21)-YEAR($J18))*12+MONTH(Lists!G$21)-MONTH($J18)))&gt;Lists!G$21)+1)))-MIN(MAX(0,$H18),N($K18)*IF(Lists!G$22&lt;$J18,0,(((YEAR(Lists!G$22)-YEAR($J18))*12+MONTH(Lists!G$22)-MONTH($J18))-(EDATE($J18,((YEAR(Lists!G$22)-YEAR($J18))*12+MONTH(Lists!G$22)-MONTH($J18)))&gt;Lists!G$22)+1)))),N($C18)*IF($AE18-$AD18&lt;1,($AD18&gt;Lists!G$22)*($AD18&lt;=Lists!G$21),MAX(0,MIN(Lists!G$21,$AE18)-MAX(Lists!G$22,$AD18))/($AE18-$AD18))+N($D18)*IF($AG18-$AF18&lt;1,($AF18&gt;Lists!G$22)*($AF18&lt;=Lists!G$21),MAX(0,MIN(Lists!G$21,$AG18)-MAX(Lists!G$22,$AF18))/($AG18-$AF18))+N($E18)*IF($AI18-$AH18&lt;1,($AH18&gt;Lists!G$22)*($AH18&lt;=Lists!G$21),MAX(0,MIN(Lists!G$21,$AI18)-MAX(Lists!G$22,$AH18))/($AI18-$AH18))+N($F18)*IF($AK18-$AJ18&lt;1,($AJ18&gt;Lists!G$22)*($AJ18&lt;=Lists!G$21),MAX(0,MIN(Lists!G$21,$AK18)-MAX(Lists!G$22,$AJ18))/($AK18-$AJ18))+N($G18)*IF($AM18-$AL18&lt;1,($AL18&gt;Lists!G$22)*($AL18&lt;=Lists!G$21),MAX(0,MIN(Lists!G$21,$AM18)-MAX(Lists!G$22,$AL18))/($AM18-$AL18))))))))</f>
        <v>0</v>
      </c>
      <c r="R18" s="53" t="n">
        <f aca="false">IF($H18=0,0,IF($AP18="X",0,IF($AP18="S",$H18/$AO18*(MIN($AO18,MAX(0,INT((Lists!H$21-N($J18))/7)+1))-MIN($AO18,MAX(0,INT((Lists!H$22-N($J18))/7)+1))),IF($AP18="D",$H18*MAX(0,MIN(Lists!H$21,N($J18)+$AO18)-MAX(Lists!H$22,N($J18)))/$AO18,IF($AP18="M",$H18/$AO18*(IF(Lists!H$21&lt;$J18,0,MIN($AO18,(((YEAR(Lists!H$21)-YEAR($J18))*12+MONTH(Lists!H$21)-MONTH($J18))-(EDATE($J18,((YEAR(Lists!H$21)-YEAR($J18))*12+MONTH(Lists!H$21)-MONTH($J18)))&gt;Lists!H$21)+1)))-IF(Lists!H$22&lt;$J18,0,MIN($AO18,(((YEAR(Lists!H$22)-YEAR($J18))*12+MONTH(Lists!H$22)-MONTH($J18))-(EDATE($J18,((YEAR(Lists!H$22)-YEAR($J18))*12+MONTH(Lists!H$22)-MONTH($J18)))&gt;Lists!H$22)+1)))),IF($AP18="F",IF(N($K18)&lt;=0,0,MIN(MAX(0,$H18),N($K18)*IF(Lists!H$21&lt;$J18,0,(((YEAR(Lists!H$21)-YEAR($J18))*12+MONTH(Lists!H$21)-MONTH($J18))-(EDATE($J18,((YEAR(Lists!H$21)-YEAR($J18))*12+MONTH(Lists!H$21)-MONTH($J18)))&gt;Lists!H$21)+1)))-MIN(MAX(0,$H18),N($K18)*IF(Lists!H$22&lt;$J18,0,(((YEAR(Lists!H$22)-YEAR($J18))*12+MONTH(Lists!H$22)-MONTH($J18))-(EDATE($J18,((YEAR(Lists!H$22)-YEAR($J18))*12+MONTH(Lists!H$22)-MONTH($J18)))&gt;Lists!H$22)+1)))),N($C18)*IF($AE18-$AD18&lt;1,($AD18&gt;Lists!H$22)*($AD18&lt;=Lists!H$21),MAX(0,MIN(Lists!H$21,$AE18)-MAX(Lists!H$22,$AD18))/($AE18-$AD18))+N($D18)*IF($AG18-$AF18&lt;1,($AF18&gt;Lists!H$22)*($AF18&lt;=Lists!H$21),MAX(0,MIN(Lists!H$21,$AG18)-MAX(Lists!H$22,$AF18))/($AG18-$AF18))+N($E18)*IF($AI18-$AH18&lt;1,($AH18&gt;Lists!H$22)*($AH18&lt;=Lists!H$21),MAX(0,MIN(Lists!H$21,$AI18)-MAX(Lists!H$22,$AH18))/($AI18-$AH18))+N($F18)*IF($AK18-$AJ18&lt;1,($AJ18&gt;Lists!H$22)*($AJ18&lt;=Lists!H$21),MAX(0,MIN(Lists!H$21,$AK18)-MAX(Lists!H$22,$AJ18))/($AK18-$AJ18))+N($G18)*IF($AM18-$AL18&lt;1,($AL18&gt;Lists!H$22)*($AL18&lt;=Lists!H$21),MAX(0,MIN(Lists!H$21,$AM18)-MAX(Lists!H$22,$AL18))/($AM18-$AL18))))))))</f>
        <v>0</v>
      </c>
      <c r="S18" s="53" t="n">
        <f aca="false">IF($H18=0,0,IF($AP18="X",0,IF($AP18="S",$H18/$AO18*(MIN($AO18,MAX(0,INT((Lists!I$21-N($J18))/7)+1))-MIN($AO18,MAX(0,INT((Lists!I$22-N($J18))/7)+1))),IF($AP18="D",$H18*MAX(0,MIN(Lists!I$21,N($J18)+$AO18)-MAX(Lists!I$22,N($J18)))/$AO18,IF($AP18="M",$H18/$AO18*(IF(Lists!I$21&lt;$J18,0,MIN($AO18,(((YEAR(Lists!I$21)-YEAR($J18))*12+MONTH(Lists!I$21)-MONTH($J18))-(EDATE($J18,((YEAR(Lists!I$21)-YEAR($J18))*12+MONTH(Lists!I$21)-MONTH($J18)))&gt;Lists!I$21)+1)))-IF(Lists!I$22&lt;$J18,0,MIN($AO18,(((YEAR(Lists!I$22)-YEAR($J18))*12+MONTH(Lists!I$22)-MONTH($J18))-(EDATE($J18,((YEAR(Lists!I$22)-YEAR($J18))*12+MONTH(Lists!I$22)-MONTH($J18)))&gt;Lists!I$22)+1)))),IF($AP18="F",IF(N($K18)&lt;=0,0,MIN(MAX(0,$H18),N($K18)*IF(Lists!I$21&lt;$J18,0,(((YEAR(Lists!I$21)-YEAR($J18))*12+MONTH(Lists!I$21)-MONTH($J18))-(EDATE($J18,((YEAR(Lists!I$21)-YEAR($J18))*12+MONTH(Lists!I$21)-MONTH($J18)))&gt;Lists!I$21)+1)))-MIN(MAX(0,$H18),N($K18)*IF(Lists!I$22&lt;$J18,0,(((YEAR(Lists!I$22)-YEAR($J18))*12+MONTH(Lists!I$22)-MONTH($J18))-(EDATE($J18,((YEAR(Lists!I$22)-YEAR($J18))*12+MONTH(Lists!I$22)-MONTH($J18)))&gt;Lists!I$22)+1)))),N($C18)*IF($AE18-$AD18&lt;1,($AD18&gt;Lists!I$22)*($AD18&lt;=Lists!I$21),MAX(0,MIN(Lists!I$21,$AE18)-MAX(Lists!I$22,$AD18))/($AE18-$AD18))+N($D18)*IF($AG18-$AF18&lt;1,($AF18&gt;Lists!I$22)*($AF18&lt;=Lists!I$21),MAX(0,MIN(Lists!I$21,$AG18)-MAX(Lists!I$22,$AF18))/($AG18-$AF18))+N($E18)*IF($AI18-$AH18&lt;1,($AH18&gt;Lists!I$22)*($AH18&lt;=Lists!I$21),MAX(0,MIN(Lists!I$21,$AI18)-MAX(Lists!I$22,$AH18))/($AI18-$AH18))+N($F18)*IF($AK18-$AJ18&lt;1,($AJ18&gt;Lists!I$22)*($AJ18&lt;=Lists!I$21),MAX(0,MIN(Lists!I$21,$AK18)-MAX(Lists!I$22,$AJ18))/($AK18-$AJ18))+N($G18)*IF($AM18-$AL18&lt;1,($AL18&gt;Lists!I$22)*($AL18&lt;=Lists!I$21),MAX(0,MIN(Lists!I$21,$AM18)-MAX(Lists!I$22,$AL18))/($AM18-$AL18))))))))</f>
        <v>0</v>
      </c>
      <c r="T18" s="53" t="n">
        <f aca="false">IF($H18=0,0,IF($AP18="X",0,IF($AP18="S",$H18/$AO18*(MIN($AO18,MAX(0,INT((Lists!J$21-N($J18))/7)+1))-MIN($AO18,MAX(0,INT((Lists!J$22-N($J18))/7)+1))),IF($AP18="D",$H18*MAX(0,MIN(Lists!J$21,N($J18)+$AO18)-MAX(Lists!J$22,N($J18)))/$AO18,IF($AP18="M",$H18/$AO18*(IF(Lists!J$21&lt;$J18,0,MIN($AO18,(((YEAR(Lists!J$21)-YEAR($J18))*12+MONTH(Lists!J$21)-MONTH($J18))-(EDATE($J18,((YEAR(Lists!J$21)-YEAR($J18))*12+MONTH(Lists!J$21)-MONTH($J18)))&gt;Lists!J$21)+1)))-IF(Lists!J$22&lt;$J18,0,MIN($AO18,(((YEAR(Lists!J$22)-YEAR($J18))*12+MONTH(Lists!J$22)-MONTH($J18))-(EDATE($J18,((YEAR(Lists!J$22)-YEAR($J18))*12+MONTH(Lists!J$22)-MONTH($J18)))&gt;Lists!J$22)+1)))),IF($AP18="F",IF(N($K18)&lt;=0,0,MIN(MAX(0,$H18),N($K18)*IF(Lists!J$21&lt;$J18,0,(((YEAR(Lists!J$21)-YEAR($J18))*12+MONTH(Lists!J$21)-MONTH($J18))-(EDATE($J18,((YEAR(Lists!J$21)-YEAR($J18))*12+MONTH(Lists!J$21)-MONTH($J18)))&gt;Lists!J$21)+1)))-MIN(MAX(0,$H18),N($K18)*IF(Lists!J$22&lt;$J18,0,(((YEAR(Lists!J$22)-YEAR($J18))*12+MONTH(Lists!J$22)-MONTH($J18))-(EDATE($J18,((YEAR(Lists!J$22)-YEAR($J18))*12+MONTH(Lists!J$22)-MONTH($J18)))&gt;Lists!J$22)+1)))),N($C18)*IF($AE18-$AD18&lt;1,($AD18&gt;Lists!J$22)*($AD18&lt;=Lists!J$21),MAX(0,MIN(Lists!J$21,$AE18)-MAX(Lists!J$22,$AD18))/($AE18-$AD18))+N($D18)*IF($AG18-$AF18&lt;1,($AF18&gt;Lists!J$22)*($AF18&lt;=Lists!J$21),MAX(0,MIN(Lists!J$21,$AG18)-MAX(Lists!J$22,$AF18))/($AG18-$AF18))+N($E18)*IF($AI18-$AH18&lt;1,($AH18&gt;Lists!J$22)*($AH18&lt;=Lists!J$21),MAX(0,MIN(Lists!J$21,$AI18)-MAX(Lists!J$22,$AH18))/($AI18-$AH18))+N($F18)*IF($AK18-$AJ18&lt;1,($AJ18&gt;Lists!J$22)*($AJ18&lt;=Lists!J$21),MAX(0,MIN(Lists!J$21,$AK18)-MAX(Lists!J$22,$AJ18))/($AK18-$AJ18))+N($G18)*IF($AM18-$AL18&lt;1,($AL18&gt;Lists!J$22)*($AL18&lt;=Lists!J$21),MAX(0,MIN(Lists!J$21,$AM18)-MAX(Lists!J$22,$AL18))/($AM18-$AL18))))))))</f>
        <v>0</v>
      </c>
      <c r="U18" s="53" t="n">
        <f aca="false">IF($H18=0,0,IF($AP18="X",0,IF($AP18="S",$H18/$AO18*(MIN($AO18,MAX(0,INT((Lists!K$21-N($J18))/7)+1))-MIN($AO18,MAX(0,INT((Lists!K$22-N($J18))/7)+1))),IF($AP18="D",$H18*MAX(0,MIN(Lists!K$21,N($J18)+$AO18)-MAX(Lists!K$22,N($J18)))/$AO18,IF($AP18="M",$H18/$AO18*(IF(Lists!K$21&lt;$J18,0,MIN($AO18,(((YEAR(Lists!K$21)-YEAR($J18))*12+MONTH(Lists!K$21)-MONTH($J18))-(EDATE($J18,((YEAR(Lists!K$21)-YEAR($J18))*12+MONTH(Lists!K$21)-MONTH($J18)))&gt;Lists!K$21)+1)))-IF(Lists!K$22&lt;$J18,0,MIN($AO18,(((YEAR(Lists!K$22)-YEAR($J18))*12+MONTH(Lists!K$22)-MONTH($J18))-(EDATE($J18,((YEAR(Lists!K$22)-YEAR($J18))*12+MONTH(Lists!K$22)-MONTH($J18)))&gt;Lists!K$22)+1)))),IF($AP18="F",IF(N($K18)&lt;=0,0,MIN(MAX(0,$H18),N($K18)*IF(Lists!K$21&lt;$J18,0,(((YEAR(Lists!K$21)-YEAR($J18))*12+MONTH(Lists!K$21)-MONTH($J18))-(EDATE($J18,((YEAR(Lists!K$21)-YEAR($J18))*12+MONTH(Lists!K$21)-MONTH($J18)))&gt;Lists!K$21)+1)))-MIN(MAX(0,$H18),N($K18)*IF(Lists!K$22&lt;$J18,0,(((YEAR(Lists!K$22)-YEAR($J18))*12+MONTH(Lists!K$22)-MONTH($J18))-(EDATE($J18,((YEAR(Lists!K$22)-YEAR($J18))*12+MONTH(Lists!K$22)-MONTH($J18)))&gt;Lists!K$22)+1)))),N($C18)*IF($AE18-$AD18&lt;1,($AD18&gt;Lists!K$22)*($AD18&lt;=Lists!K$21),MAX(0,MIN(Lists!K$21,$AE18)-MAX(Lists!K$22,$AD18))/($AE18-$AD18))+N($D18)*IF($AG18-$AF18&lt;1,($AF18&gt;Lists!K$22)*($AF18&lt;=Lists!K$21),MAX(0,MIN(Lists!K$21,$AG18)-MAX(Lists!K$22,$AF18))/($AG18-$AF18))+N($E18)*IF($AI18-$AH18&lt;1,($AH18&gt;Lists!K$22)*($AH18&lt;=Lists!K$21),MAX(0,MIN(Lists!K$21,$AI18)-MAX(Lists!K$22,$AH18))/($AI18-$AH18))+N($F18)*IF($AK18-$AJ18&lt;1,($AJ18&gt;Lists!K$22)*($AJ18&lt;=Lists!K$21),MAX(0,MIN(Lists!K$21,$AK18)-MAX(Lists!K$22,$AJ18))/($AK18-$AJ18))+N($G18)*IF($AM18-$AL18&lt;1,($AL18&gt;Lists!K$22)*($AL18&lt;=Lists!K$21),MAX(0,MIN(Lists!K$21,$AM18)-MAX(Lists!K$22,$AL18))/($AM18-$AL18))))))))</f>
        <v>0</v>
      </c>
      <c r="V18" s="53" t="n">
        <f aca="false">IF($H18=0,0,IF($AP18="X",0,IF($AP18="S",$H18/$AO18*(MIN($AO18,MAX(0,INT((Lists!L$21-N($J18))/7)+1))-MIN($AO18,MAX(0,INT((Lists!L$22-N($J18))/7)+1))),IF($AP18="D",$H18*MAX(0,MIN(Lists!L$21,N($J18)+$AO18)-MAX(Lists!L$22,N($J18)))/$AO18,IF($AP18="M",$H18/$AO18*(IF(Lists!L$21&lt;$J18,0,MIN($AO18,(((YEAR(Lists!L$21)-YEAR($J18))*12+MONTH(Lists!L$21)-MONTH($J18))-(EDATE($J18,((YEAR(Lists!L$21)-YEAR($J18))*12+MONTH(Lists!L$21)-MONTH($J18)))&gt;Lists!L$21)+1)))-IF(Lists!L$22&lt;$J18,0,MIN($AO18,(((YEAR(Lists!L$22)-YEAR($J18))*12+MONTH(Lists!L$22)-MONTH($J18))-(EDATE($J18,((YEAR(Lists!L$22)-YEAR($J18))*12+MONTH(Lists!L$22)-MONTH($J18)))&gt;Lists!L$22)+1)))),IF($AP18="F",IF(N($K18)&lt;=0,0,MIN(MAX(0,$H18),N($K18)*IF(Lists!L$21&lt;$J18,0,(((YEAR(Lists!L$21)-YEAR($J18))*12+MONTH(Lists!L$21)-MONTH($J18))-(EDATE($J18,((YEAR(Lists!L$21)-YEAR($J18))*12+MONTH(Lists!L$21)-MONTH($J18)))&gt;Lists!L$21)+1)))-MIN(MAX(0,$H18),N($K18)*IF(Lists!L$22&lt;$J18,0,(((YEAR(Lists!L$22)-YEAR($J18))*12+MONTH(Lists!L$22)-MONTH($J18))-(EDATE($J18,((YEAR(Lists!L$22)-YEAR($J18))*12+MONTH(Lists!L$22)-MONTH($J18)))&gt;Lists!L$22)+1)))),N($C18)*IF($AE18-$AD18&lt;1,($AD18&gt;Lists!L$22)*($AD18&lt;=Lists!L$21),MAX(0,MIN(Lists!L$21,$AE18)-MAX(Lists!L$22,$AD18))/($AE18-$AD18))+N($D18)*IF($AG18-$AF18&lt;1,($AF18&gt;Lists!L$22)*($AF18&lt;=Lists!L$21),MAX(0,MIN(Lists!L$21,$AG18)-MAX(Lists!L$22,$AF18))/($AG18-$AF18))+N($E18)*IF($AI18-$AH18&lt;1,($AH18&gt;Lists!L$22)*($AH18&lt;=Lists!L$21),MAX(0,MIN(Lists!L$21,$AI18)-MAX(Lists!L$22,$AH18))/($AI18-$AH18))+N($F18)*IF($AK18-$AJ18&lt;1,($AJ18&gt;Lists!L$22)*($AJ18&lt;=Lists!L$21),MAX(0,MIN(Lists!L$21,$AK18)-MAX(Lists!L$22,$AJ18))/($AK18-$AJ18))+N($G18)*IF($AM18-$AL18&lt;1,($AL18&gt;Lists!L$22)*($AL18&lt;=Lists!L$21),MAX(0,MIN(Lists!L$21,$AM18)-MAX(Lists!L$22,$AL18))/($AM18-$AL18))))))))</f>
        <v>0</v>
      </c>
      <c r="W18" s="53" t="n">
        <f aca="false">IF($H18=0,0,IF($AP18="X",0,IF($AP18="S",$H18/$AO18*(MIN($AO18,MAX(0,INT((Lists!M$21-N($J18))/7)+1))-MIN($AO18,MAX(0,INT((Lists!M$22-N($J18))/7)+1))),IF($AP18="D",$H18*MAX(0,MIN(Lists!M$21,N($J18)+$AO18)-MAX(Lists!M$22,N($J18)))/$AO18,IF($AP18="M",$H18/$AO18*(IF(Lists!M$21&lt;$J18,0,MIN($AO18,(((YEAR(Lists!M$21)-YEAR($J18))*12+MONTH(Lists!M$21)-MONTH($J18))-(EDATE($J18,((YEAR(Lists!M$21)-YEAR($J18))*12+MONTH(Lists!M$21)-MONTH($J18)))&gt;Lists!M$21)+1)))-IF(Lists!M$22&lt;$J18,0,MIN($AO18,(((YEAR(Lists!M$22)-YEAR($J18))*12+MONTH(Lists!M$22)-MONTH($J18))-(EDATE($J18,((YEAR(Lists!M$22)-YEAR($J18))*12+MONTH(Lists!M$22)-MONTH($J18)))&gt;Lists!M$22)+1)))),IF($AP18="F",IF(N($K18)&lt;=0,0,MIN(MAX(0,$H18),N($K18)*IF(Lists!M$21&lt;$J18,0,(((YEAR(Lists!M$21)-YEAR($J18))*12+MONTH(Lists!M$21)-MONTH($J18))-(EDATE($J18,((YEAR(Lists!M$21)-YEAR($J18))*12+MONTH(Lists!M$21)-MONTH($J18)))&gt;Lists!M$21)+1)))-MIN(MAX(0,$H18),N($K18)*IF(Lists!M$22&lt;$J18,0,(((YEAR(Lists!M$22)-YEAR($J18))*12+MONTH(Lists!M$22)-MONTH($J18))-(EDATE($J18,((YEAR(Lists!M$22)-YEAR($J18))*12+MONTH(Lists!M$22)-MONTH($J18)))&gt;Lists!M$22)+1)))),N($C18)*IF($AE18-$AD18&lt;1,($AD18&gt;Lists!M$22)*($AD18&lt;=Lists!M$21),MAX(0,MIN(Lists!M$21,$AE18)-MAX(Lists!M$22,$AD18))/($AE18-$AD18))+N($D18)*IF($AG18-$AF18&lt;1,($AF18&gt;Lists!M$22)*($AF18&lt;=Lists!M$21),MAX(0,MIN(Lists!M$21,$AG18)-MAX(Lists!M$22,$AF18))/($AG18-$AF18))+N($E18)*IF($AI18-$AH18&lt;1,($AH18&gt;Lists!M$22)*($AH18&lt;=Lists!M$21),MAX(0,MIN(Lists!M$21,$AI18)-MAX(Lists!M$22,$AH18))/($AI18-$AH18))+N($F18)*IF($AK18-$AJ18&lt;1,($AJ18&gt;Lists!M$22)*($AJ18&lt;=Lists!M$21),MAX(0,MIN(Lists!M$21,$AK18)-MAX(Lists!M$22,$AJ18))/($AK18-$AJ18))+N($G18)*IF($AM18-$AL18&lt;1,($AL18&gt;Lists!M$22)*($AL18&lt;=Lists!M$21),MAX(0,MIN(Lists!M$21,$AM18)-MAX(Lists!M$22,$AL18))/($AM18-$AL18))))))))</f>
        <v>0</v>
      </c>
      <c r="X18" s="53" t="n">
        <f aca="false">IF($H18=0,0,IF($AP18="X",0,IF($AP18="S",$H18/$AO18*(MIN($AO18,MAX(0,INT((Lists!N$21-N($J18))/7)+1))-MIN($AO18,MAX(0,INT((Lists!N$22-N($J18))/7)+1))),IF($AP18="D",$H18*MAX(0,MIN(Lists!N$21,N($J18)+$AO18)-MAX(Lists!N$22,N($J18)))/$AO18,IF($AP18="M",$H18/$AO18*(IF(Lists!N$21&lt;$J18,0,MIN($AO18,(((YEAR(Lists!N$21)-YEAR($J18))*12+MONTH(Lists!N$21)-MONTH($J18))-(EDATE($J18,((YEAR(Lists!N$21)-YEAR($J18))*12+MONTH(Lists!N$21)-MONTH($J18)))&gt;Lists!N$21)+1)))-IF(Lists!N$22&lt;$J18,0,MIN($AO18,(((YEAR(Lists!N$22)-YEAR($J18))*12+MONTH(Lists!N$22)-MONTH($J18))-(EDATE($J18,((YEAR(Lists!N$22)-YEAR($J18))*12+MONTH(Lists!N$22)-MONTH($J18)))&gt;Lists!N$22)+1)))),IF($AP18="F",IF(N($K18)&lt;=0,0,MIN(MAX(0,$H18),N($K18)*IF(Lists!N$21&lt;$J18,0,(((YEAR(Lists!N$21)-YEAR($J18))*12+MONTH(Lists!N$21)-MONTH($J18))-(EDATE($J18,((YEAR(Lists!N$21)-YEAR($J18))*12+MONTH(Lists!N$21)-MONTH($J18)))&gt;Lists!N$21)+1)))-MIN(MAX(0,$H18),N($K18)*IF(Lists!N$22&lt;$J18,0,(((YEAR(Lists!N$22)-YEAR($J18))*12+MONTH(Lists!N$22)-MONTH($J18))-(EDATE($J18,((YEAR(Lists!N$22)-YEAR($J18))*12+MONTH(Lists!N$22)-MONTH($J18)))&gt;Lists!N$22)+1)))),N($C18)*IF($AE18-$AD18&lt;1,($AD18&gt;Lists!N$22)*($AD18&lt;=Lists!N$21),MAX(0,MIN(Lists!N$21,$AE18)-MAX(Lists!N$22,$AD18))/($AE18-$AD18))+N($D18)*IF($AG18-$AF18&lt;1,($AF18&gt;Lists!N$22)*($AF18&lt;=Lists!N$21),MAX(0,MIN(Lists!N$21,$AG18)-MAX(Lists!N$22,$AF18))/($AG18-$AF18))+N($E18)*IF($AI18-$AH18&lt;1,($AH18&gt;Lists!N$22)*($AH18&lt;=Lists!N$21),MAX(0,MIN(Lists!N$21,$AI18)-MAX(Lists!N$22,$AH18))/($AI18-$AH18))+N($F18)*IF($AK18-$AJ18&lt;1,($AJ18&gt;Lists!N$22)*($AJ18&lt;=Lists!N$21),MAX(0,MIN(Lists!N$21,$AK18)-MAX(Lists!N$22,$AJ18))/($AK18-$AJ18))+N($G18)*IF($AM18-$AL18&lt;1,($AL18&gt;Lists!N$22)*($AL18&lt;=Lists!N$21),MAX(0,MIN(Lists!N$21,$AM18)-MAX(Lists!N$22,$AL18))/($AM18-$AL18))))))))</f>
        <v>0</v>
      </c>
      <c r="Y18" s="53" t="n">
        <f aca="false">IF($H18=0,0,IF($AP18="X",0,IF($AP18="S",$H18/$AO18*(MIN($AO18,MAX(0,INT((Lists!O$21-N($J18))/7)+1))-MIN($AO18,MAX(0,INT((Lists!O$22-N($J18))/7)+1))),IF($AP18="D",$H18*MAX(0,MIN(Lists!O$21,N($J18)+$AO18)-MAX(Lists!O$22,N($J18)))/$AO18,IF($AP18="M",$H18/$AO18*(IF(Lists!O$21&lt;$J18,0,MIN($AO18,(((YEAR(Lists!O$21)-YEAR($J18))*12+MONTH(Lists!O$21)-MONTH($J18))-(EDATE($J18,((YEAR(Lists!O$21)-YEAR($J18))*12+MONTH(Lists!O$21)-MONTH($J18)))&gt;Lists!O$21)+1)))-IF(Lists!O$22&lt;$J18,0,MIN($AO18,(((YEAR(Lists!O$22)-YEAR($J18))*12+MONTH(Lists!O$22)-MONTH($J18))-(EDATE($J18,((YEAR(Lists!O$22)-YEAR($J18))*12+MONTH(Lists!O$22)-MONTH($J18)))&gt;Lists!O$22)+1)))),IF($AP18="F",IF(N($K18)&lt;=0,0,MIN(MAX(0,$H18),N($K18)*IF(Lists!O$21&lt;$J18,0,(((YEAR(Lists!O$21)-YEAR($J18))*12+MONTH(Lists!O$21)-MONTH($J18))-(EDATE($J18,((YEAR(Lists!O$21)-YEAR($J18))*12+MONTH(Lists!O$21)-MONTH($J18)))&gt;Lists!O$21)+1)))-MIN(MAX(0,$H18),N($K18)*IF(Lists!O$22&lt;$J18,0,(((YEAR(Lists!O$22)-YEAR($J18))*12+MONTH(Lists!O$22)-MONTH($J18))-(EDATE($J18,((YEAR(Lists!O$22)-YEAR($J18))*12+MONTH(Lists!O$22)-MONTH($J18)))&gt;Lists!O$22)+1)))),N($C18)*IF($AE18-$AD18&lt;1,($AD18&gt;Lists!O$22)*($AD18&lt;=Lists!O$21),MAX(0,MIN(Lists!O$21,$AE18)-MAX(Lists!O$22,$AD18))/($AE18-$AD18))+N($D18)*IF($AG18-$AF18&lt;1,($AF18&gt;Lists!O$22)*($AF18&lt;=Lists!O$21),MAX(0,MIN(Lists!O$21,$AG18)-MAX(Lists!O$22,$AF18))/($AG18-$AF18))+N($E18)*IF($AI18-$AH18&lt;1,($AH18&gt;Lists!O$22)*($AH18&lt;=Lists!O$21),MAX(0,MIN(Lists!O$21,$AI18)-MAX(Lists!O$22,$AH18))/($AI18-$AH18))+N($F18)*IF($AK18-$AJ18&lt;1,($AJ18&gt;Lists!O$22)*($AJ18&lt;=Lists!O$21),MAX(0,MIN(Lists!O$21,$AK18)-MAX(Lists!O$22,$AJ18))/($AK18-$AJ18))+N($G18)*IF($AM18-$AL18&lt;1,($AL18&gt;Lists!O$22)*($AL18&lt;=Lists!O$21),MAX(0,MIN(Lists!O$21,$AM18)-MAX(Lists!O$22,$AL18))/($AM18-$AL18))))))))</f>
        <v>0</v>
      </c>
      <c r="Z18" s="46" t="n">
        <f aca="false">SUM(M18:Y18)</f>
        <v>0</v>
      </c>
      <c r="AA18" s="92" t="n">
        <f aca="false">H18-Z18</f>
        <v>0</v>
      </c>
      <c r="AB18" s="55"/>
      <c r="AC18" s="2"/>
      <c r="AD18" s="93" t="n">
        <f aca="false">Setup!$D$10+MAX(0,$AN18-30)</f>
        <v>46345</v>
      </c>
      <c r="AE18" s="93" t="n">
        <f aca="false">Setup!$D$10+IF($AN18-30&lt;0,MAX(Setup!$D$22,$AN18-0),$AN18-0)</f>
        <v>46375</v>
      </c>
      <c r="AF18" s="93" t="n">
        <f aca="false">Setup!$D$10+MAX(0,$AN18-60)</f>
        <v>46335</v>
      </c>
      <c r="AG18" s="93" t="n">
        <f aca="false">Setup!$D$10+IF($AN18-60&lt;0,MAX(Setup!$D$22,$AN18-31),$AN18-31)</f>
        <v>46363</v>
      </c>
      <c r="AH18" s="93" t="n">
        <f aca="false">Setup!$D$10+MAX(0,$AN18-90)</f>
        <v>46335</v>
      </c>
      <c r="AI18" s="93" t="n">
        <f aca="false">Setup!$D$10+IF($AN18-90&lt;0,MAX(Setup!$D$22,$AN18-61),$AN18-61)</f>
        <v>46363</v>
      </c>
      <c r="AJ18" s="93" t="n">
        <f aca="false">Setup!$D$10+MAX(0,$AN18-120)</f>
        <v>46335</v>
      </c>
      <c r="AK18" s="93" t="n">
        <f aca="false">Setup!$D$10+IF($AN18-120&lt;0,MAX(Setup!$D$22,$AN18-91),$AN18-91)</f>
        <v>46363</v>
      </c>
      <c r="AL18" s="93" t="n">
        <f aca="false">Setup!$D$10</f>
        <v>46335</v>
      </c>
      <c r="AM18" s="93" t="n">
        <f aca="false">IF(AL18=2958465,AL18,Setup!$D$10+Setup!$D$22)</f>
        <v>46363</v>
      </c>
      <c r="AN18" s="94" t="n">
        <f aca="false">IF(N(L18)=0,Setup!$D$21,L18)</f>
        <v>40</v>
      </c>
      <c r="AO18" s="94" t="n">
        <f aca="false">MAX(1,ROUND(N(K18),0))</f>
        <v>1</v>
      </c>
      <c r="AP18" s="95" t="str">
        <f aca="false">IF(I18="On hold","X",IF(N(J18)=0,"A",IF(I18="Specific date","S",IF(I18="Spread over days","D",IF(I18="Monthly on set day","M",IF(I18="Monthly fixed amount","F","A"))))))</f>
        <v>A</v>
      </c>
    </row>
    <row r="19" customFormat="false" ht="15" hidden="false" customHeight="false" outlineLevel="0" collapsed="false">
      <c r="A19" s="87" t="n">
        <v>11</v>
      </c>
      <c r="B19" s="55"/>
      <c r="C19" s="88"/>
      <c r="D19" s="88"/>
      <c r="E19" s="88"/>
      <c r="F19" s="88"/>
      <c r="G19" s="88"/>
      <c r="H19" s="89" t="n">
        <f aca="false">SUM(C19:G19)</f>
        <v>0</v>
      </c>
      <c r="I19" s="58"/>
      <c r="J19" s="90"/>
      <c r="K19" s="91"/>
      <c r="L19" s="80"/>
      <c r="M19" s="53" t="n">
        <f aca="false">IF($H19=0,0,IF($AP19="X",0,IF($AP19="S",$H19/$AO19*(MIN($AO19,MAX(0,INT((Lists!C$21-N($J19))/7)+1))-MIN($AO19,MAX(0,INT((Lists!C$22-N($J19))/7)+1))),IF($AP19="D",$H19*MAX(0,MIN(Lists!C$21,N($J19)+$AO19)-MAX(Lists!C$22,N($J19)))/$AO19,IF($AP19="M",$H19/$AO19*(IF(Lists!C$21&lt;$J19,0,MIN($AO19,(((YEAR(Lists!C$21)-YEAR($J19))*12+MONTH(Lists!C$21)-MONTH($J19))-(EDATE($J19,((YEAR(Lists!C$21)-YEAR($J19))*12+MONTH(Lists!C$21)-MONTH($J19)))&gt;Lists!C$21)+1)))-IF(Lists!C$22&lt;$J19,0,MIN($AO19,(((YEAR(Lists!C$22)-YEAR($J19))*12+MONTH(Lists!C$22)-MONTH($J19))-(EDATE($J19,((YEAR(Lists!C$22)-YEAR($J19))*12+MONTH(Lists!C$22)-MONTH($J19)))&gt;Lists!C$22)+1)))),IF($AP19="F",IF(N($K19)&lt;=0,0,MIN(MAX(0,$H19),N($K19)*IF(Lists!C$21&lt;$J19,0,(((YEAR(Lists!C$21)-YEAR($J19))*12+MONTH(Lists!C$21)-MONTH($J19))-(EDATE($J19,((YEAR(Lists!C$21)-YEAR($J19))*12+MONTH(Lists!C$21)-MONTH($J19)))&gt;Lists!C$21)+1)))-MIN(MAX(0,$H19),N($K19)*IF(Lists!C$22&lt;$J19,0,(((YEAR(Lists!C$22)-YEAR($J19))*12+MONTH(Lists!C$22)-MONTH($J19))-(EDATE($J19,((YEAR(Lists!C$22)-YEAR($J19))*12+MONTH(Lists!C$22)-MONTH($J19)))&gt;Lists!C$22)+1)))),N($C19)*IF($AE19-$AD19&lt;1,($AD19&gt;Lists!C$22)*($AD19&lt;=Lists!C$21),MAX(0,MIN(Lists!C$21,$AE19)-MAX(Lists!C$22,$AD19))/($AE19-$AD19))+N($D19)*IF($AG19-$AF19&lt;1,($AF19&gt;Lists!C$22)*($AF19&lt;=Lists!C$21),MAX(0,MIN(Lists!C$21,$AG19)-MAX(Lists!C$22,$AF19))/($AG19-$AF19))+N($E19)*IF($AI19-$AH19&lt;1,($AH19&gt;Lists!C$22)*($AH19&lt;=Lists!C$21),MAX(0,MIN(Lists!C$21,$AI19)-MAX(Lists!C$22,$AH19))/($AI19-$AH19))+N($F19)*IF($AK19-$AJ19&lt;1,($AJ19&gt;Lists!C$22)*($AJ19&lt;=Lists!C$21),MAX(0,MIN(Lists!C$21,$AK19)-MAX(Lists!C$22,$AJ19))/($AK19-$AJ19))+N($G19)*IF($AM19-$AL19&lt;1,($AL19&gt;Lists!C$22)*($AL19&lt;=Lists!C$21),MAX(0,MIN(Lists!C$21,$AM19)-MAX(Lists!C$22,$AL19))/($AM19-$AL19))))))))</f>
        <v>0</v>
      </c>
      <c r="N19" s="53" t="n">
        <f aca="false">IF($H19=0,0,IF($AP19="X",0,IF($AP19="S",$H19/$AO19*(MIN($AO19,MAX(0,INT((Lists!D$21-N($J19))/7)+1))-MIN($AO19,MAX(0,INT((Lists!D$22-N($J19))/7)+1))),IF($AP19="D",$H19*MAX(0,MIN(Lists!D$21,N($J19)+$AO19)-MAX(Lists!D$22,N($J19)))/$AO19,IF($AP19="M",$H19/$AO19*(IF(Lists!D$21&lt;$J19,0,MIN($AO19,(((YEAR(Lists!D$21)-YEAR($J19))*12+MONTH(Lists!D$21)-MONTH($J19))-(EDATE($J19,((YEAR(Lists!D$21)-YEAR($J19))*12+MONTH(Lists!D$21)-MONTH($J19)))&gt;Lists!D$21)+1)))-IF(Lists!D$22&lt;$J19,0,MIN($AO19,(((YEAR(Lists!D$22)-YEAR($J19))*12+MONTH(Lists!D$22)-MONTH($J19))-(EDATE($J19,((YEAR(Lists!D$22)-YEAR($J19))*12+MONTH(Lists!D$22)-MONTH($J19)))&gt;Lists!D$22)+1)))),IF($AP19="F",IF(N($K19)&lt;=0,0,MIN(MAX(0,$H19),N($K19)*IF(Lists!D$21&lt;$J19,0,(((YEAR(Lists!D$21)-YEAR($J19))*12+MONTH(Lists!D$21)-MONTH($J19))-(EDATE($J19,((YEAR(Lists!D$21)-YEAR($J19))*12+MONTH(Lists!D$21)-MONTH($J19)))&gt;Lists!D$21)+1)))-MIN(MAX(0,$H19),N($K19)*IF(Lists!D$22&lt;$J19,0,(((YEAR(Lists!D$22)-YEAR($J19))*12+MONTH(Lists!D$22)-MONTH($J19))-(EDATE($J19,((YEAR(Lists!D$22)-YEAR($J19))*12+MONTH(Lists!D$22)-MONTH($J19)))&gt;Lists!D$22)+1)))),N($C19)*IF($AE19-$AD19&lt;1,($AD19&gt;Lists!D$22)*($AD19&lt;=Lists!D$21),MAX(0,MIN(Lists!D$21,$AE19)-MAX(Lists!D$22,$AD19))/($AE19-$AD19))+N($D19)*IF($AG19-$AF19&lt;1,($AF19&gt;Lists!D$22)*($AF19&lt;=Lists!D$21),MAX(0,MIN(Lists!D$21,$AG19)-MAX(Lists!D$22,$AF19))/($AG19-$AF19))+N($E19)*IF($AI19-$AH19&lt;1,($AH19&gt;Lists!D$22)*($AH19&lt;=Lists!D$21),MAX(0,MIN(Lists!D$21,$AI19)-MAX(Lists!D$22,$AH19))/($AI19-$AH19))+N($F19)*IF($AK19-$AJ19&lt;1,($AJ19&gt;Lists!D$22)*($AJ19&lt;=Lists!D$21),MAX(0,MIN(Lists!D$21,$AK19)-MAX(Lists!D$22,$AJ19))/($AK19-$AJ19))+N($G19)*IF($AM19-$AL19&lt;1,($AL19&gt;Lists!D$22)*($AL19&lt;=Lists!D$21),MAX(0,MIN(Lists!D$21,$AM19)-MAX(Lists!D$22,$AL19))/($AM19-$AL19))))))))</f>
        <v>0</v>
      </c>
      <c r="O19" s="53" t="n">
        <f aca="false">IF($H19=0,0,IF($AP19="X",0,IF($AP19="S",$H19/$AO19*(MIN($AO19,MAX(0,INT((Lists!E$21-N($J19))/7)+1))-MIN($AO19,MAX(0,INT((Lists!E$22-N($J19))/7)+1))),IF($AP19="D",$H19*MAX(0,MIN(Lists!E$21,N($J19)+$AO19)-MAX(Lists!E$22,N($J19)))/$AO19,IF($AP19="M",$H19/$AO19*(IF(Lists!E$21&lt;$J19,0,MIN($AO19,(((YEAR(Lists!E$21)-YEAR($J19))*12+MONTH(Lists!E$21)-MONTH($J19))-(EDATE($J19,((YEAR(Lists!E$21)-YEAR($J19))*12+MONTH(Lists!E$21)-MONTH($J19)))&gt;Lists!E$21)+1)))-IF(Lists!E$22&lt;$J19,0,MIN($AO19,(((YEAR(Lists!E$22)-YEAR($J19))*12+MONTH(Lists!E$22)-MONTH($J19))-(EDATE($J19,((YEAR(Lists!E$22)-YEAR($J19))*12+MONTH(Lists!E$22)-MONTH($J19)))&gt;Lists!E$22)+1)))),IF($AP19="F",IF(N($K19)&lt;=0,0,MIN(MAX(0,$H19),N($K19)*IF(Lists!E$21&lt;$J19,0,(((YEAR(Lists!E$21)-YEAR($J19))*12+MONTH(Lists!E$21)-MONTH($J19))-(EDATE($J19,((YEAR(Lists!E$21)-YEAR($J19))*12+MONTH(Lists!E$21)-MONTH($J19)))&gt;Lists!E$21)+1)))-MIN(MAX(0,$H19),N($K19)*IF(Lists!E$22&lt;$J19,0,(((YEAR(Lists!E$22)-YEAR($J19))*12+MONTH(Lists!E$22)-MONTH($J19))-(EDATE($J19,((YEAR(Lists!E$22)-YEAR($J19))*12+MONTH(Lists!E$22)-MONTH($J19)))&gt;Lists!E$22)+1)))),N($C19)*IF($AE19-$AD19&lt;1,($AD19&gt;Lists!E$22)*($AD19&lt;=Lists!E$21),MAX(0,MIN(Lists!E$21,$AE19)-MAX(Lists!E$22,$AD19))/($AE19-$AD19))+N($D19)*IF($AG19-$AF19&lt;1,($AF19&gt;Lists!E$22)*($AF19&lt;=Lists!E$21),MAX(0,MIN(Lists!E$21,$AG19)-MAX(Lists!E$22,$AF19))/($AG19-$AF19))+N($E19)*IF($AI19-$AH19&lt;1,($AH19&gt;Lists!E$22)*($AH19&lt;=Lists!E$21),MAX(0,MIN(Lists!E$21,$AI19)-MAX(Lists!E$22,$AH19))/($AI19-$AH19))+N($F19)*IF($AK19-$AJ19&lt;1,($AJ19&gt;Lists!E$22)*($AJ19&lt;=Lists!E$21),MAX(0,MIN(Lists!E$21,$AK19)-MAX(Lists!E$22,$AJ19))/($AK19-$AJ19))+N($G19)*IF($AM19-$AL19&lt;1,($AL19&gt;Lists!E$22)*($AL19&lt;=Lists!E$21),MAX(0,MIN(Lists!E$21,$AM19)-MAX(Lists!E$22,$AL19))/($AM19-$AL19))))))))</f>
        <v>0</v>
      </c>
      <c r="P19" s="53" t="n">
        <f aca="false">IF($H19=0,0,IF($AP19="X",0,IF($AP19="S",$H19/$AO19*(MIN($AO19,MAX(0,INT((Lists!F$21-N($J19))/7)+1))-MIN($AO19,MAX(0,INT((Lists!F$22-N($J19))/7)+1))),IF($AP19="D",$H19*MAX(0,MIN(Lists!F$21,N($J19)+$AO19)-MAX(Lists!F$22,N($J19)))/$AO19,IF($AP19="M",$H19/$AO19*(IF(Lists!F$21&lt;$J19,0,MIN($AO19,(((YEAR(Lists!F$21)-YEAR($J19))*12+MONTH(Lists!F$21)-MONTH($J19))-(EDATE($J19,((YEAR(Lists!F$21)-YEAR($J19))*12+MONTH(Lists!F$21)-MONTH($J19)))&gt;Lists!F$21)+1)))-IF(Lists!F$22&lt;$J19,0,MIN($AO19,(((YEAR(Lists!F$22)-YEAR($J19))*12+MONTH(Lists!F$22)-MONTH($J19))-(EDATE($J19,((YEAR(Lists!F$22)-YEAR($J19))*12+MONTH(Lists!F$22)-MONTH($J19)))&gt;Lists!F$22)+1)))),IF($AP19="F",IF(N($K19)&lt;=0,0,MIN(MAX(0,$H19),N($K19)*IF(Lists!F$21&lt;$J19,0,(((YEAR(Lists!F$21)-YEAR($J19))*12+MONTH(Lists!F$21)-MONTH($J19))-(EDATE($J19,((YEAR(Lists!F$21)-YEAR($J19))*12+MONTH(Lists!F$21)-MONTH($J19)))&gt;Lists!F$21)+1)))-MIN(MAX(0,$H19),N($K19)*IF(Lists!F$22&lt;$J19,0,(((YEAR(Lists!F$22)-YEAR($J19))*12+MONTH(Lists!F$22)-MONTH($J19))-(EDATE($J19,((YEAR(Lists!F$22)-YEAR($J19))*12+MONTH(Lists!F$22)-MONTH($J19)))&gt;Lists!F$22)+1)))),N($C19)*IF($AE19-$AD19&lt;1,($AD19&gt;Lists!F$22)*($AD19&lt;=Lists!F$21),MAX(0,MIN(Lists!F$21,$AE19)-MAX(Lists!F$22,$AD19))/($AE19-$AD19))+N($D19)*IF($AG19-$AF19&lt;1,($AF19&gt;Lists!F$22)*($AF19&lt;=Lists!F$21),MAX(0,MIN(Lists!F$21,$AG19)-MAX(Lists!F$22,$AF19))/($AG19-$AF19))+N($E19)*IF($AI19-$AH19&lt;1,($AH19&gt;Lists!F$22)*($AH19&lt;=Lists!F$21),MAX(0,MIN(Lists!F$21,$AI19)-MAX(Lists!F$22,$AH19))/($AI19-$AH19))+N($F19)*IF($AK19-$AJ19&lt;1,($AJ19&gt;Lists!F$22)*($AJ19&lt;=Lists!F$21),MAX(0,MIN(Lists!F$21,$AK19)-MAX(Lists!F$22,$AJ19))/($AK19-$AJ19))+N($G19)*IF($AM19-$AL19&lt;1,($AL19&gt;Lists!F$22)*($AL19&lt;=Lists!F$21),MAX(0,MIN(Lists!F$21,$AM19)-MAX(Lists!F$22,$AL19))/($AM19-$AL19))))))))</f>
        <v>0</v>
      </c>
      <c r="Q19" s="53" t="n">
        <f aca="false">IF($H19=0,0,IF($AP19="X",0,IF($AP19="S",$H19/$AO19*(MIN($AO19,MAX(0,INT((Lists!G$21-N($J19))/7)+1))-MIN($AO19,MAX(0,INT((Lists!G$22-N($J19))/7)+1))),IF($AP19="D",$H19*MAX(0,MIN(Lists!G$21,N($J19)+$AO19)-MAX(Lists!G$22,N($J19)))/$AO19,IF($AP19="M",$H19/$AO19*(IF(Lists!G$21&lt;$J19,0,MIN($AO19,(((YEAR(Lists!G$21)-YEAR($J19))*12+MONTH(Lists!G$21)-MONTH($J19))-(EDATE($J19,((YEAR(Lists!G$21)-YEAR($J19))*12+MONTH(Lists!G$21)-MONTH($J19)))&gt;Lists!G$21)+1)))-IF(Lists!G$22&lt;$J19,0,MIN($AO19,(((YEAR(Lists!G$22)-YEAR($J19))*12+MONTH(Lists!G$22)-MONTH($J19))-(EDATE($J19,((YEAR(Lists!G$22)-YEAR($J19))*12+MONTH(Lists!G$22)-MONTH($J19)))&gt;Lists!G$22)+1)))),IF($AP19="F",IF(N($K19)&lt;=0,0,MIN(MAX(0,$H19),N($K19)*IF(Lists!G$21&lt;$J19,0,(((YEAR(Lists!G$21)-YEAR($J19))*12+MONTH(Lists!G$21)-MONTH($J19))-(EDATE($J19,((YEAR(Lists!G$21)-YEAR($J19))*12+MONTH(Lists!G$21)-MONTH($J19)))&gt;Lists!G$21)+1)))-MIN(MAX(0,$H19),N($K19)*IF(Lists!G$22&lt;$J19,0,(((YEAR(Lists!G$22)-YEAR($J19))*12+MONTH(Lists!G$22)-MONTH($J19))-(EDATE($J19,((YEAR(Lists!G$22)-YEAR($J19))*12+MONTH(Lists!G$22)-MONTH($J19)))&gt;Lists!G$22)+1)))),N($C19)*IF($AE19-$AD19&lt;1,($AD19&gt;Lists!G$22)*($AD19&lt;=Lists!G$21),MAX(0,MIN(Lists!G$21,$AE19)-MAX(Lists!G$22,$AD19))/($AE19-$AD19))+N($D19)*IF($AG19-$AF19&lt;1,($AF19&gt;Lists!G$22)*($AF19&lt;=Lists!G$21),MAX(0,MIN(Lists!G$21,$AG19)-MAX(Lists!G$22,$AF19))/($AG19-$AF19))+N($E19)*IF($AI19-$AH19&lt;1,($AH19&gt;Lists!G$22)*($AH19&lt;=Lists!G$21),MAX(0,MIN(Lists!G$21,$AI19)-MAX(Lists!G$22,$AH19))/($AI19-$AH19))+N($F19)*IF($AK19-$AJ19&lt;1,($AJ19&gt;Lists!G$22)*($AJ19&lt;=Lists!G$21),MAX(0,MIN(Lists!G$21,$AK19)-MAX(Lists!G$22,$AJ19))/($AK19-$AJ19))+N($G19)*IF($AM19-$AL19&lt;1,($AL19&gt;Lists!G$22)*($AL19&lt;=Lists!G$21),MAX(0,MIN(Lists!G$21,$AM19)-MAX(Lists!G$22,$AL19))/($AM19-$AL19))))))))</f>
        <v>0</v>
      </c>
      <c r="R19" s="53" t="n">
        <f aca="false">IF($H19=0,0,IF($AP19="X",0,IF($AP19="S",$H19/$AO19*(MIN($AO19,MAX(0,INT((Lists!H$21-N($J19))/7)+1))-MIN($AO19,MAX(0,INT((Lists!H$22-N($J19))/7)+1))),IF($AP19="D",$H19*MAX(0,MIN(Lists!H$21,N($J19)+$AO19)-MAX(Lists!H$22,N($J19)))/$AO19,IF($AP19="M",$H19/$AO19*(IF(Lists!H$21&lt;$J19,0,MIN($AO19,(((YEAR(Lists!H$21)-YEAR($J19))*12+MONTH(Lists!H$21)-MONTH($J19))-(EDATE($J19,((YEAR(Lists!H$21)-YEAR($J19))*12+MONTH(Lists!H$21)-MONTH($J19)))&gt;Lists!H$21)+1)))-IF(Lists!H$22&lt;$J19,0,MIN($AO19,(((YEAR(Lists!H$22)-YEAR($J19))*12+MONTH(Lists!H$22)-MONTH($J19))-(EDATE($J19,((YEAR(Lists!H$22)-YEAR($J19))*12+MONTH(Lists!H$22)-MONTH($J19)))&gt;Lists!H$22)+1)))),IF($AP19="F",IF(N($K19)&lt;=0,0,MIN(MAX(0,$H19),N($K19)*IF(Lists!H$21&lt;$J19,0,(((YEAR(Lists!H$21)-YEAR($J19))*12+MONTH(Lists!H$21)-MONTH($J19))-(EDATE($J19,((YEAR(Lists!H$21)-YEAR($J19))*12+MONTH(Lists!H$21)-MONTH($J19)))&gt;Lists!H$21)+1)))-MIN(MAX(0,$H19),N($K19)*IF(Lists!H$22&lt;$J19,0,(((YEAR(Lists!H$22)-YEAR($J19))*12+MONTH(Lists!H$22)-MONTH($J19))-(EDATE($J19,((YEAR(Lists!H$22)-YEAR($J19))*12+MONTH(Lists!H$22)-MONTH($J19)))&gt;Lists!H$22)+1)))),N($C19)*IF($AE19-$AD19&lt;1,($AD19&gt;Lists!H$22)*($AD19&lt;=Lists!H$21),MAX(0,MIN(Lists!H$21,$AE19)-MAX(Lists!H$22,$AD19))/($AE19-$AD19))+N($D19)*IF($AG19-$AF19&lt;1,($AF19&gt;Lists!H$22)*($AF19&lt;=Lists!H$21),MAX(0,MIN(Lists!H$21,$AG19)-MAX(Lists!H$22,$AF19))/($AG19-$AF19))+N($E19)*IF($AI19-$AH19&lt;1,($AH19&gt;Lists!H$22)*($AH19&lt;=Lists!H$21),MAX(0,MIN(Lists!H$21,$AI19)-MAX(Lists!H$22,$AH19))/($AI19-$AH19))+N($F19)*IF($AK19-$AJ19&lt;1,($AJ19&gt;Lists!H$22)*($AJ19&lt;=Lists!H$21),MAX(0,MIN(Lists!H$21,$AK19)-MAX(Lists!H$22,$AJ19))/($AK19-$AJ19))+N($G19)*IF($AM19-$AL19&lt;1,($AL19&gt;Lists!H$22)*($AL19&lt;=Lists!H$21),MAX(0,MIN(Lists!H$21,$AM19)-MAX(Lists!H$22,$AL19))/($AM19-$AL19))))))))</f>
        <v>0</v>
      </c>
      <c r="S19" s="53" t="n">
        <f aca="false">IF($H19=0,0,IF($AP19="X",0,IF($AP19="S",$H19/$AO19*(MIN($AO19,MAX(0,INT((Lists!I$21-N($J19))/7)+1))-MIN($AO19,MAX(0,INT((Lists!I$22-N($J19))/7)+1))),IF($AP19="D",$H19*MAX(0,MIN(Lists!I$21,N($J19)+$AO19)-MAX(Lists!I$22,N($J19)))/$AO19,IF($AP19="M",$H19/$AO19*(IF(Lists!I$21&lt;$J19,0,MIN($AO19,(((YEAR(Lists!I$21)-YEAR($J19))*12+MONTH(Lists!I$21)-MONTH($J19))-(EDATE($J19,((YEAR(Lists!I$21)-YEAR($J19))*12+MONTH(Lists!I$21)-MONTH($J19)))&gt;Lists!I$21)+1)))-IF(Lists!I$22&lt;$J19,0,MIN($AO19,(((YEAR(Lists!I$22)-YEAR($J19))*12+MONTH(Lists!I$22)-MONTH($J19))-(EDATE($J19,((YEAR(Lists!I$22)-YEAR($J19))*12+MONTH(Lists!I$22)-MONTH($J19)))&gt;Lists!I$22)+1)))),IF($AP19="F",IF(N($K19)&lt;=0,0,MIN(MAX(0,$H19),N($K19)*IF(Lists!I$21&lt;$J19,0,(((YEAR(Lists!I$21)-YEAR($J19))*12+MONTH(Lists!I$21)-MONTH($J19))-(EDATE($J19,((YEAR(Lists!I$21)-YEAR($J19))*12+MONTH(Lists!I$21)-MONTH($J19)))&gt;Lists!I$21)+1)))-MIN(MAX(0,$H19),N($K19)*IF(Lists!I$22&lt;$J19,0,(((YEAR(Lists!I$22)-YEAR($J19))*12+MONTH(Lists!I$22)-MONTH($J19))-(EDATE($J19,((YEAR(Lists!I$22)-YEAR($J19))*12+MONTH(Lists!I$22)-MONTH($J19)))&gt;Lists!I$22)+1)))),N($C19)*IF($AE19-$AD19&lt;1,($AD19&gt;Lists!I$22)*($AD19&lt;=Lists!I$21),MAX(0,MIN(Lists!I$21,$AE19)-MAX(Lists!I$22,$AD19))/($AE19-$AD19))+N($D19)*IF($AG19-$AF19&lt;1,($AF19&gt;Lists!I$22)*($AF19&lt;=Lists!I$21),MAX(0,MIN(Lists!I$21,$AG19)-MAX(Lists!I$22,$AF19))/($AG19-$AF19))+N($E19)*IF($AI19-$AH19&lt;1,($AH19&gt;Lists!I$22)*($AH19&lt;=Lists!I$21),MAX(0,MIN(Lists!I$21,$AI19)-MAX(Lists!I$22,$AH19))/($AI19-$AH19))+N($F19)*IF($AK19-$AJ19&lt;1,($AJ19&gt;Lists!I$22)*($AJ19&lt;=Lists!I$21),MAX(0,MIN(Lists!I$21,$AK19)-MAX(Lists!I$22,$AJ19))/($AK19-$AJ19))+N($G19)*IF($AM19-$AL19&lt;1,($AL19&gt;Lists!I$22)*($AL19&lt;=Lists!I$21),MAX(0,MIN(Lists!I$21,$AM19)-MAX(Lists!I$22,$AL19))/($AM19-$AL19))))))))</f>
        <v>0</v>
      </c>
      <c r="T19" s="53" t="n">
        <f aca="false">IF($H19=0,0,IF($AP19="X",0,IF($AP19="S",$H19/$AO19*(MIN($AO19,MAX(0,INT((Lists!J$21-N($J19))/7)+1))-MIN($AO19,MAX(0,INT((Lists!J$22-N($J19))/7)+1))),IF($AP19="D",$H19*MAX(0,MIN(Lists!J$21,N($J19)+$AO19)-MAX(Lists!J$22,N($J19)))/$AO19,IF($AP19="M",$H19/$AO19*(IF(Lists!J$21&lt;$J19,0,MIN($AO19,(((YEAR(Lists!J$21)-YEAR($J19))*12+MONTH(Lists!J$21)-MONTH($J19))-(EDATE($J19,((YEAR(Lists!J$21)-YEAR($J19))*12+MONTH(Lists!J$21)-MONTH($J19)))&gt;Lists!J$21)+1)))-IF(Lists!J$22&lt;$J19,0,MIN($AO19,(((YEAR(Lists!J$22)-YEAR($J19))*12+MONTH(Lists!J$22)-MONTH($J19))-(EDATE($J19,((YEAR(Lists!J$22)-YEAR($J19))*12+MONTH(Lists!J$22)-MONTH($J19)))&gt;Lists!J$22)+1)))),IF($AP19="F",IF(N($K19)&lt;=0,0,MIN(MAX(0,$H19),N($K19)*IF(Lists!J$21&lt;$J19,0,(((YEAR(Lists!J$21)-YEAR($J19))*12+MONTH(Lists!J$21)-MONTH($J19))-(EDATE($J19,((YEAR(Lists!J$21)-YEAR($J19))*12+MONTH(Lists!J$21)-MONTH($J19)))&gt;Lists!J$21)+1)))-MIN(MAX(0,$H19),N($K19)*IF(Lists!J$22&lt;$J19,0,(((YEAR(Lists!J$22)-YEAR($J19))*12+MONTH(Lists!J$22)-MONTH($J19))-(EDATE($J19,((YEAR(Lists!J$22)-YEAR($J19))*12+MONTH(Lists!J$22)-MONTH($J19)))&gt;Lists!J$22)+1)))),N($C19)*IF($AE19-$AD19&lt;1,($AD19&gt;Lists!J$22)*($AD19&lt;=Lists!J$21),MAX(0,MIN(Lists!J$21,$AE19)-MAX(Lists!J$22,$AD19))/($AE19-$AD19))+N($D19)*IF($AG19-$AF19&lt;1,($AF19&gt;Lists!J$22)*($AF19&lt;=Lists!J$21),MAX(0,MIN(Lists!J$21,$AG19)-MAX(Lists!J$22,$AF19))/($AG19-$AF19))+N($E19)*IF($AI19-$AH19&lt;1,($AH19&gt;Lists!J$22)*($AH19&lt;=Lists!J$21),MAX(0,MIN(Lists!J$21,$AI19)-MAX(Lists!J$22,$AH19))/($AI19-$AH19))+N($F19)*IF($AK19-$AJ19&lt;1,($AJ19&gt;Lists!J$22)*($AJ19&lt;=Lists!J$21),MAX(0,MIN(Lists!J$21,$AK19)-MAX(Lists!J$22,$AJ19))/($AK19-$AJ19))+N($G19)*IF($AM19-$AL19&lt;1,($AL19&gt;Lists!J$22)*($AL19&lt;=Lists!J$21),MAX(0,MIN(Lists!J$21,$AM19)-MAX(Lists!J$22,$AL19))/($AM19-$AL19))))))))</f>
        <v>0</v>
      </c>
      <c r="U19" s="53" t="n">
        <f aca="false">IF($H19=0,0,IF($AP19="X",0,IF($AP19="S",$H19/$AO19*(MIN($AO19,MAX(0,INT((Lists!K$21-N($J19))/7)+1))-MIN($AO19,MAX(0,INT((Lists!K$22-N($J19))/7)+1))),IF($AP19="D",$H19*MAX(0,MIN(Lists!K$21,N($J19)+$AO19)-MAX(Lists!K$22,N($J19)))/$AO19,IF($AP19="M",$H19/$AO19*(IF(Lists!K$21&lt;$J19,0,MIN($AO19,(((YEAR(Lists!K$21)-YEAR($J19))*12+MONTH(Lists!K$21)-MONTH($J19))-(EDATE($J19,((YEAR(Lists!K$21)-YEAR($J19))*12+MONTH(Lists!K$21)-MONTH($J19)))&gt;Lists!K$21)+1)))-IF(Lists!K$22&lt;$J19,0,MIN($AO19,(((YEAR(Lists!K$22)-YEAR($J19))*12+MONTH(Lists!K$22)-MONTH($J19))-(EDATE($J19,((YEAR(Lists!K$22)-YEAR($J19))*12+MONTH(Lists!K$22)-MONTH($J19)))&gt;Lists!K$22)+1)))),IF($AP19="F",IF(N($K19)&lt;=0,0,MIN(MAX(0,$H19),N($K19)*IF(Lists!K$21&lt;$J19,0,(((YEAR(Lists!K$21)-YEAR($J19))*12+MONTH(Lists!K$21)-MONTH($J19))-(EDATE($J19,((YEAR(Lists!K$21)-YEAR($J19))*12+MONTH(Lists!K$21)-MONTH($J19)))&gt;Lists!K$21)+1)))-MIN(MAX(0,$H19),N($K19)*IF(Lists!K$22&lt;$J19,0,(((YEAR(Lists!K$22)-YEAR($J19))*12+MONTH(Lists!K$22)-MONTH($J19))-(EDATE($J19,((YEAR(Lists!K$22)-YEAR($J19))*12+MONTH(Lists!K$22)-MONTH($J19)))&gt;Lists!K$22)+1)))),N($C19)*IF($AE19-$AD19&lt;1,($AD19&gt;Lists!K$22)*($AD19&lt;=Lists!K$21),MAX(0,MIN(Lists!K$21,$AE19)-MAX(Lists!K$22,$AD19))/($AE19-$AD19))+N($D19)*IF($AG19-$AF19&lt;1,($AF19&gt;Lists!K$22)*($AF19&lt;=Lists!K$21),MAX(0,MIN(Lists!K$21,$AG19)-MAX(Lists!K$22,$AF19))/($AG19-$AF19))+N($E19)*IF($AI19-$AH19&lt;1,($AH19&gt;Lists!K$22)*($AH19&lt;=Lists!K$21),MAX(0,MIN(Lists!K$21,$AI19)-MAX(Lists!K$22,$AH19))/($AI19-$AH19))+N($F19)*IF($AK19-$AJ19&lt;1,($AJ19&gt;Lists!K$22)*($AJ19&lt;=Lists!K$21),MAX(0,MIN(Lists!K$21,$AK19)-MAX(Lists!K$22,$AJ19))/($AK19-$AJ19))+N($G19)*IF($AM19-$AL19&lt;1,($AL19&gt;Lists!K$22)*($AL19&lt;=Lists!K$21),MAX(0,MIN(Lists!K$21,$AM19)-MAX(Lists!K$22,$AL19))/($AM19-$AL19))))))))</f>
        <v>0</v>
      </c>
      <c r="V19" s="53" t="n">
        <f aca="false">IF($H19=0,0,IF($AP19="X",0,IF($AP19="S",$H19/$AO19*(MIN($AO19,MAX(0,INT((Lists!L$21-N($J19))/7)+1))-MIN($AO19,MAX(0,INT((Lists!L$22-N($J19))/7)+1))),IF($AP19="D",$H19*MAX(0,MIN(Lists!L$21,N($J19)+$AO19)-MAX(Lists!L$22,N($J19)))/$AO19,IF($AP19="M",$H19/$AO19*(IF(Lists!L$21&lt;$J19,0,MIN($AO19,(((YEAR(Lists!L$21)-YEAR($J19))*12+MONTH(Lists!L$21)-MONTH($J19))-(EDATE($J19,((YEAR(Lists!L$21)-YEAR($J19))*12+MONTH(Lists!L$21)-MONTH($J19)))&gt;Lists!L$21)+1)))-IF(Lists!L$22&lt;$J19,0,MIN($AO19,(((YEAR(Lists!L$22)-YEAR($J19))*12+MONTH(Lists!L$22)-MONTH($J19))-(EDATE($J19,((YEAR(Lists!L$22)-YEAR($J19))*12+MONTH(Lists!L$22)-MONTH($J19)))&gt;Lists!L$22)+1)))),IF($AP19="F",IF(N($K19)&lt;=0,0,MIN(MAX(0,$H19),N($K19)*IF(Lists!L$21&lt;$J19,0,(((YEAR(Lists!L$21)-YEAR($J19))*12+MONTH(Lists!L$21)-MONTH($J19))-(EDATE($J19,((YEAR(Lists!L$21)-YEAR($J19))*12+MONTH(Lists!L$21)-MONTH($J19)))&gt;Lists!L$21)+1)))-MIN(MAX(0,$H19),N($K19)*IF(Lists!L$22&lt;$J19,0,(((YEAR(Lists!L$22)-YEAR($J19))*12+MONTH(Lists!L$22)-MONTH($J19))-(EDATE($J19,((YEAR(Lists!L$22)-YEAR($J19))*12+MONTH(Lists!L$22)-MONTH($J19)))&gt;Lists!L$22)+1)))),N($C19)*IF($AE19-$AD19&lt;1,($AD19&gt;Lists!L$22)*($AD19&lt;=Lists!L$21),MAX(0,MIN(Lists!L$21,$AE19)-MAX(Lists!L$22,$AD19))/($AE19-$AD19))+N($D19)*IF($AG19-$AF19&lt;1,($AF19&gt;Lists!L$22)*($AF19&lt;=Lists!L$21),MAX(0,MIN(Lists!L$21,$AG19)-MAX(Lists!L$22,$AF19))/($AG19-$AF19))+N($E19)*IF($AI19-$AH19&lt;1,($AH19&gt;Lists!L$22)*($AH19&lt;=Lists!L$21),MAX(0,MIN(Lists!L$21,$AI19)-MAX(Lists!L$22,$AH19))/($AI19-$AH19))+N($F19)*IF($AK19-$AJ19&lt;1,($AJ19&gt;Lists!L$22)*($AJ19&lt;=Lists!L$21),MAX(0,MIN(Lists!L$21,$AK19)-MAX(Lists!L$22,$AJ19))/($AK19-$AJ19))+N($G19)*IF($AM19-$AL19&lt;1,($AL19&gt;Lists!L$22)*($AL19&lt;=Lists!L$21),MAX(0,MIN(Lists!L$21,$AM19)-MAX(Lists!L$22,$AL19))/($AM19-$AL19))))))))</f>
        <v>0</v>
      </c>
      <c r="W19" s="53" t="n">
        <f aca="false">IF($H19=0,0,IF($AP19="X",0,IF($AP19="S",$H19/$AO19*(MIN($AO19,MAX(0,INT((Lists!M$21-N($J19))/7)+1))-MIN($AO19,MAX(0,INT((Lists!M$22-N($J19))/7)+1))),IF($AP19="D",$H19*MAX(0,MIN(Lists!M$21,N($J19)+$AO19)-MAX(Lists!M$22,N($J19)))/$AO19,IF($AP19="M",$H19/$AO19*(IF(Lists!M$21&lt;$J19,0,MIN($AO19,(((YEAR(Lists!M$21)-YEAR($J19))*12+MONTH(Lists!M$21)-MONTH($J19))-(EDATE($J19,((YEAR(Lists!M$21)-YEAR($J19))*12+MONTH(Lists!M$21)-MONTH($J19)))&gt;Lists!M$21)+1)))-IF(Lists!M$22&lt;$J19,0,MIN($AO19,(((YEAR(Lists!M$22)-YEAR($J19))*12+MONTH(Lists!M$22)-MONTH($J19))-(EDATE($J19,((YEAR(Lists!M$22)-YEAR($J19))*12+MONTH(Lists!M$22)-MONTH($J19)))&gt;Lists!M$22)+1)))),IF($AP19="F",IF(N($K19)&lt;=0,0,MIN(MAX(0,$H19),N($K19)*IF(Lists!M$21&lt;$J19,0,(((YEAR(Lists!M$21)-YEAR($J19))*12+MONTH(Lists!M$21)-MONTH($J19))-(EDATE($J19,((YEAR(Lists!M$21)-YEAR($J19))*12+MONTH(Lists!M$21)-MONTH($J19)))&gt;Lists!M$21)+1)))-MIN(MAX(0,$H19),N($K19)*IF(Lists!M$22&lt;$J19,0,(((YEAR(Lists!M$22)-YEAR($J19))*12+MONTH(Lists!M$22)-MONTH($J19))-(EDATE($J19,((YEAR(Lists!M$22)-YEAR($J19))*12+MONTH(Lists!M$22)-MONTH($J19)))&gt;Lists!M$22)+1)))),N($C19)*IF($AE19-$AD19&lt;1,($AD19&gt;Lists!M$22)*($AD19&lt;=Lists!M$21),MAX(0,MIN(Lists!M$21,$AE19)-MAX(Lists!M$22,$AD19))/($AE19-$AD19))+N($D19)*IF($AG19-$AF19&lt;1,($AF19&gt;Lists!M$22)*($AF19&lt;=Lists!M$21),MAX(0,MIN(Lists!M$21,$AG19)-MAX(Lists!M$22,$AF19))/($AG19-$AF19))+N($E19)*IF($AI19-$AH19&lt;1,($AH19&gt;Lists!M$22)*($AH19&lt;=Lists!M$21),MAX(0,MIN(Lists!M$21,$AI19)-MAX(Lists!M$22,$AH19))/($AI19-$AH19))+N($F19)*IF($AK19-$AJ19&lt;1,($AJ19&gt;Lists!M$22)*($AJ19&lt;=Lists!M$21),MAX(0,MIN(Lists!M$21,$AK19)-MAX(Lists!M$22,$AJ19))/($AK19-$AJ19))+N($G19)*IF($AM19-$AL19&lt;1,($AL19&gt;Lists!M$22)*($AL19&lt;=Lists!M$21),MAX(0,MIN(Lists!M$21,$AM19)-MAX(Lists!M$22,$AL19))/($AM19-$AL19))))))))</f>
        <v>0</v>
      </c>
      <c r="X19" s="53" t="n">
        <f aca="false">IF($H19=0,0,IF($AP19="X",0,IF($AP19="S",$H19/$AO19*(MIN($AO19,MAX(0,INT((Lists!N$21-N($J19))/7)+1))-MIN($AO19,MAX(0,INT((Lists!N$22-N($J19))/7)+1))),IF($AP19="D",$H19*MAX(0,MIN(Lists!N$21,N($J19)+$AO19)-MAX(Lists!N$22,N($J19)))/$AO19,IF($AP19="M",$H19/$AO19*(IF(Lists!N$21&lt;$J19,0,MIN($AO19,(((YEAR(Lists!N$21)-YEAR($J19))*12+MONTH(Lists!N$21)-MONTH($J19))-(EDATE($J19,((YEAR(Lists!N$21)-YEAR($J19))*12+MONTH(Lists!N$21)-MONTH($J19)))&gt;Lists!N$21)+1)))-IF(Lists!N$22&lt;$J19,0,MIN($AO19,(((YEAR(Lists!N$22)-YEAR($J19))*12+MONTH(Lists!N$22)-MONTH($J19))-(EDATE($J19,((YEAR(Lists!N$22)-YEAR($J19))*12+MONTH(Lists!N$22)-MONTH($J19)))&gt;Lists!N$22)+1)))),IF($AP19="F",IF(N($K19)&lt;=0,0,MIN(MAX(0,$H19),N($K19)*IF(Lists!N$21&lt;$J19,0,(((YEAR(Lists!N$21)-YEAR($J19))*12+MONTH(Lists!N$21)-MONTH($J19))-(EDATE($J19,((YEAR(Lists!N$21)-YEAR($J19))*12+MONTH(Lists!N$21)-MONTH($J19)))&gt;Lists!N$21)+1)))-MIN(MAX(0,$H19),N($K19)*IF(Lists!N$22&lt;$J19,0,(((YEAR(Lists!N$22)-YEAR($J19))*12+MONTH(Lists!N$22)-MONTH($J19))-(EDATE($J19,((YEAR(Lists!N$22)-YEAR($J19))*12+MONTH(Lists!N$22)-MONTH($J19)))&gt;Lists!N$22)+1)))),N($C19)*IF($AE19-$AD19&lt;1,($AD19&gt;Lists!N$22)*($AD19&lt;=Lists!N$21),MAX(0,MIN(Lists!N$21,$AE19)-MAX(Lists!N$22,$AD19))/($AE19-$AD19))+N($D19)*IF($AG19-$AF19&lt;1,($AF19&gt;Lists!N$22)*($AF19&lt;=Lists!N$21),MAX(0,MIN(Lists!N$21,$AG19)-MAX(Lists!N$22,$AF19))/($AG19-$AF19))+N($E19)*IF($AI19-$AH19&lt;1,($AH19&gt;Lists!N$22)*($AH19&lt;=Lists!N$21),MAX(0,MIN(Lists!N$21,$AI19)-MAX(Lists!N$22,$AH19))/($AI19-$AH19))+N($F19)*IF($AK19-$AJ19&lt;1,($AJ19&gt;Lists!N$22)*($AJ19&lt;=Lists!N$21),MAX(0,MIN(Lists!N$21,$AK19)-MAX(Lists!N$22,$AJ19))/($AK19-$AJ19))+N($G19)*IF($AM19-$AL19&lt;1,($AL19&gt;Lists!N$22)*($AL19&lt;=Lists!N$21),MAX(0,MIN(Lists!N$21,$AM19)-MAX(Lists!N$22,$AL19))/($AM19-$AL19))))))))</f>
        <v>0</v>
      </c>
      <c r="Y19" s="53" t="n">
        <f aca="false">IF($H19=0,0,IF($AP19="X",0,IF($AP19="S",$H19/$AO19*(MIN($AO19,MAX(0,INT((Lists!O$21-N($J19))/7)+1))-MIN($AO19,MAX(0,INT((Lists!O$22-N($J19))/7)+1))),IF($AP19="D",$H19*MAX(0,MIN(Lists!O$21,N($J19)+$AO19)-MAX(Lists!O$22,N($J19)))/$AO19,IF($AP19="M",$H19/$AO19*(IF(Lists!O$21&lt;$J19,0,MIN($AO19,(((YEAR(Lists!O$21)-YEAR($J19))*12+MONTH(Lists!O$21)-MONTH($J19))-(EDATE($J19,((YEAR(Lists!O$21)-YEAR($J19))*12+MONTH(Lists!O$21)-MONTH($J19)))&gt;Lists!O$21)+1)))-IF(Lists!O$22&lt;$J19,0,MIN($AO19,(((YEAR(Lists!O$22)-YEAR($J19))*12+MONTH(Lists!O$22)-MONTH($J19))-(EDATE($J19,((YEAR(Lists!O$22)-YEAR($J19))*12+MONTH(Lists!O$22)-MONTH($J19)))&gt;Lists!O$22)+1)))),IF($AP19="F",IF(N($K19)&lt;=0,0,MIN(MAX(0,$H19),N($K19)*IF(Lists!O$21&lt;$J19,0,(((YEAR(Lists!O$21)-YEAR($J19))*12+MONTH(Lists!O$21)-MONTH($J19))-(EDATE($J19,((YEAR(Lists!O$21)-YEAR($J19))*12+MONTH(Lists!O$21)-MONTH($J19)))&gt;Lists!O$21)+1)))-MIN(MAX(0,$H19),N($K19)*IF(Lists!O$22&lt;$J19,0,(((YEAR(Lists!O$22)-YEAR($J19))*12+MONTH(Lists!O$22)-MONTH($J19))-(EDATE($J19,((YEAR(Lists!O$22)-YEAR($J19))*12+MONTH(Lists!O$22)-MONTH($J19)))&gt;Lists!O$22)+1)))),N($C19)*IF($AE19-$AD19&lt;1,($AD19&gt;Lists!O$22)*($AD19&lt;=Lists!O$21),MAX(0,MIN(Lists!O$21,$AE19)-MAX(Lists!O$22,$AD19))/($AE19-$AD19))+N($D19)*IF($AG19-$AF19&lt;1,($AF19&gt;Lists!O$22)*($AF19&lt;=Lists!O$21),MAX(0,MIN(Lists!O$21,$AG19)-MAX(Lists!O$22,$AF19))/($AG19-$AF19))+N($E19)*IF($AI19-$AH19&lt;1,($AH19&gt;Lists!O$22)*($AH19&lt;=Lists!O$21),MAX(0,MIN(Lists!O$21,$AI19)-MAX(Lists!O$22,$AH19))/($AI19-$AH19))+N($F19)*IF($AK19-$AJ19&lt;1,($AJ19&gt;Lists!O$22)*($AJ19&lt;=Lists!O$21),MAX(0,MIN(Lists!O$21,$AK19)-MAX(Lists!O$22,$AJ19))/($AK19-$AJ19))+N($G19)*IF($AM19-$AL19&lt;1,($AL19&gt;Lists!O$22)*($AL19&lt;=Lists!O$21),MAX(0,MIN(Lists!O$21,$AM19)-MAX(Lists!O$22,$AL19))/($AM19-$AL19))))))))</f>
        <v>0</v>
      </c>
      <c r="Z19" s="46" t="n">
        <f aca="false">SUM(M19:Y19)</f>
        <v>0</v>
      </c>
      <c r="AA19" s="92" t="n">
        <f aca="false">H19-Z19</f>
        <v>0</v>
      </c>
      <c r="AB19" s="55"/>
      <c r="AC19" s="2"/>
      <c r="AD19" s="93" t="n">
        <f aca="false">Setup!$D$10+MAX(0,$AN19-30)</f>
        <v>46345</v>
      </c>
      <c r="AE19" s="93" t="n">
        <f aca="false">Setup!$D$10+IF($AN19-30&lt;0,MAX(Setup!$D$22,$AN19-0),$AN19-0)</f>
        <v>46375</v>
      </c>
      <c r="AF19" s="93" t="n">
        <f aca="false">Setup!$D$10+MAX(0,$AN19-60)</f>
        <v>46335</v>
      </c>
      <c r="AG19" s="93" t="n">
        <f aca="false">Setup!$D$10+IF($AN19-60&lt;0,MAX(Setup!$D$22,$AN19-31),$AN19-31)</f>
        <v>46363</v>
      </c>
      <c r="AH19" s="93" t="n">
        <f aca="false">Setup!$D$10+MAX(0,$AN19-90)</f>
        <v>46335</v>
      </c>
      <c r="AI19" s="93" t="n">
        <f aca="false">Setup!$D$10+IF($AN19-90&lt;0,MAX(Setup!$D$22,$AN19-61),$AN19-61)</f>
        <v>46363</v>
      </c>
      <c r="AJ19" s="93" t="n">
        <f aca="false">Setup!$D$10+MAX(0,$AN19-120)</f>
        <v>46335</v>
      </c>
      <c r="AK19" s="93" t="n">
        <f aca="false">Setup!$D$10+IF($AN19-120&lt;0,MAX(Setup!$D$22,$AN19-91),$AN19-91)</f>
        <v>46363</v>
      </c>
      <c r="AL19" s="93" t="n">
        <f aca="false">Setup!$D$10</f>
        <v>46335</v>
      </c>
      <c r="AM19" s="93" t="n">
        <f aca="false">IF(AL19=2958465,AL19,Setup!$D$10+Setup!$D$22)</f>
        <v>46363</v>
      </c>
      <c r="AN19" s="94" t="n">
        <f aca="false">IF(N(L19)=0,Setup!$D$21,L19)</f>
        <v>40</v>
      </c>
      <c r="AO19" s="94" t="n">
        <f aca="false">MAX(1,ROUND(N(K19),0))</f>
        <v>1</v>
      </c>
      <c r="AP19" s="95" t="str">
        <f aca="false">IF(I19="On hold","X",IF(N(J19)=0,"A",IF(I19="Specific date","S",IF(I19="Spread over days","D",IF(I19="Monthly on set day","M",IF(I19="Monthly fixed amount","F","A"))))))</f>
        <v>A</v>
      </c>
    </row>
    <row r="20" customFormat="false" ht="15" hidden="false" customHeight="false" outlineLevel="0" collapsed="false">
      <c r="A20" s="87" t="n">
        <v>12</v>
      </c>
      <c r="B20" s="55"/>
      <c r="C20" s="88"/>
      <c r="D20" s="88"/>
      <c r="E20" s="88"/>
      <c r="F20" s="88"/>
      <c r="G20" s="88"/>
      <c r="H20" s="89" t="n">
        <f aca="false">SUM(C20:G20)</f>
        <v>0</v>
      </c>
      <c r="I20" s="58"/>
      <c r="J20" s="90"/>
      <c r="K20" s="91"/>
      <c r="L20" s="80"/>
      <c r="M20" s="53" t="n">
        <f aca="false">IF($H20=0,0,IF($AP20="X",0,IF($AP20="S",$H20/$AO20*(MIN($AO20,MAX(0,INT((Lists!C$21-N($J20))/7)+1))-MIN($AO20,MAX(0,INT((Lists!C$22-N($J20))/7)+1))),IF($AP20="D",$H20*MAX(0,MIN(Lists!C$21,N($J20)+$AO20)-MAX(Lists!C$22,N($J20)))/$AO20,IF($AP20="M",$H20/$AO20*(IF(Lists!C$21&lt;$J20,0,MIN($AO20,(((YEAR(Lists!C$21)-YEAR($J20))*12+MONTH(Lists!C$21)-MONTH($J20))-(EDATE($J20,((YEAR(Lists!C$21)-YEAR($J20))*12+MONTH(Lists!C$21)-MONTH($J20)))&gt;Lists!C$21)+1)))-IF(Lists!C$22&lt;$J20,0,MIN($AO20,(((YEAR(Lists!C$22)-YEAR($J20))*12+MONTH(Lists!C$22)-MONTH($J20))-(EDATE($J20,((YEAR(Lists!C$22)-YEAR($J20))*12+MONTH(Lists!C$22)-MONTH($J20)))&gt;Lists!C$22)+1)))),IF($AP20="F",IF(N($K20)&lt;=0,0,MIN(MAX(0,$H20),N($K20)*IF(Lists!C$21&lt;$J20,0,(((YEAR(Lists!C$21)-YEAR($J20))*12+MONTH(Lists!C$21)-MONTH($J20))-(EDATE($J20,((YEAR(Lists!C$21)-YEAR($J20))*12+MONTH(Lists!C$21)-MONTH($J20)))&gt;Lists!C$21)+1)))-MIN(MAX(0,$H20),N($K20)*IF(Lists!C$22&lt;$J20,0,(((YEAR(Lists!C$22)-YEAR($J20))*12+MONTH(Lists!C$22)-MONTH($J20))-(EDATE($J20,((YEAR(Lists!C$22)-YEAR($J20))*12+MONTH(Lists!C$22)-MONTH($J20)))&gt;Lists!C$22)+1)))),N($C20)*IF($AE20-$AD20&lt;1,($AD20&gt;Lists!C$22)*($AD20&lt;=Lists!C$21),MAX(0,MIN(Lists!C$21,$AE20)-MAX(Lists!C$22,$AD20))/($AE20-$AD20))+N($D20)*IF($AG20-$AF20&lt;1,($AF20&gt;Lists!C$22)*($AF20&lt;=Lists!C$21),MAX(0,MIN(Lists!C$21,$AG20)-MAX(Lists!C$22,$AF20))/($AG20-$AF20))+N($E20)*IF($AI20-$AH20&lt;1,($AH20&gt;Lists!C$22)*($AH20&lt;=Lists!C$21),MAX(0,MIN(Lists!C$21,$AI20)-MAX(Lists!C$22,$AH20))/($AI20-$AH20))+N($F20)*IF($AK20-$AJ20&lt;1,($AJ20&gt;Lists!C$22)*($AJ20&lt;=Lists!C$21),MAX(0,MIN(Lists!C$21,$AK20)-MAX(Lists!C$22,$AJ20))/($AK20-$AJ20))+N($G20)*IF($AM20-$AL20&lt;1,($AL20&gt;Lists!C$22)*($AL20&lt;=Lists!C$21),MAX(0,MIN(Lists!C$21,$AM20)-MAX(Lists!C$22,$AL20))/($AM20-$AL20))))))))</f>
        <v>0</v>
      </c>
      <c r="N20" s="53" t="n">
        <f aca="false">IF($H20=0,0,IF($AP20="X",0,IF($AP20="S",$H20/$AO20*(MIN($AO20,MAX(0,INT((Lists!D$21-N($J20))/7)+1))-MIN($AO20,MAX(0,INT((Lists!D$22-N($J20))/7)+1))),IF($AP20="D",$H20*MAX(0,MIN(Lists!D$21,N($J20)+$AO20)-MAX(Lists!D$22,N($J20)))/$AO20,IF($AP20="M",$H20/$AO20*(IF(Lists!D$21&lt;$J20,0,MIN($AO20,(((YEAR(Lists!D$21)-YEAR($J20))*12+MONTH(Lists!D$21)-MONTH($J20))-(EDATE($J20,((YEAR(Lists!D$21)-YEAR($J20))*12+MONTH(Lists!D$21)-MONTH($J20)))&gt;Lists!D$21)+1)))-IF(Lists!D$22&lt;$J20,0,MIN($AO20,(((YEAR(Lists!D$22)-YEAR($J20))*12+MONTH(Lists!D$22)-MONTH($J20))-(EDATE($J20,((YEAR(Lists!D$22)-YEAR($J20))*12+MONTH(Lists!D$22)-MONTH($J20)))&gt;Lists!D$22)+1)))),IF($AP20="F",IF(N($K20)&lt;=0,0,MIN(MAX(0,$H20),N($K20)*IF(Lists!D$21&lt;$J20,0,(((YEAR(Lists!D$21)-YEAR($J20))*12+MONTH(Lists!D$21)-MONTH($J20))-(EDATE($J20,((YEAR(Lists!D$21)-YEAR($J20))*12+MONTH(Lists!D$21)-MONTH($J20)))&gt;Lists!D$21)+1)))-MIN(MAX(0,$H20),N($K20)*IF(Lists!D$22&lt;$J20,0,(((YEAR(Lists!D$22)-YEAR($J20))*12+MONTH(Lists!D$22)-MONTH($J20))-(EDATE($J20,((YEAR(Lists!D$22)-YEAR($J20))*12+MONTH(Lists!D$22)-MONTH($J20)))&gt;Lists!D$22)+1)))),N($C20)*IF($AE20-$AD20&lt;1,($AD20&gt;Lists!D$22)*($AD20&lt;=Lists!D$21),MAX(0,MIN(Lists!D$21,$AE20)-MAX(Lists!D$22,$AD20))/($AE20-$AD20))+N($D20)*IF($AG20-$AF20&lt;1,($AF20&gt;Lists!D$22)*($AF20&lt;=Lists!D$21),MAX(0,MIN(Lists!D$21,$AG20)-MAX(Lists!D$22,$AF20))/($AG20-$AF20))+N($E20)*IF($AI20-$AH20&lt;1,($AH20&gt;Lists!D$22)*($AH20&lt;=Lists!D$21),MAX(0,MIN(Lists!D$21,$AI20)-MAX(Lists!D$22,$AH20))/($AI20-$AH20))+N($F20)*IF($AK20-$AJ20&lt;1,($AJ20&gt;Lists!D$22)*($AJ20&lt;=Lists!D$21),MAX(0,MIN(Lists!D$21,$AK20)-MAX(Lists!D$22,$AJ20))/($AK20-$AJ20))+N($G20)*IF($AM20-$AL20&lt;1,($AL20&gt;Lists!D$22)*($AL20&lt;=Lists!D$21),MAX(0,MIN(Lists!D$21,$AM20)-MAX(Lists!D$22,$AL20))/($AM20-$AL20))))))))</f>
        <v>0</v>
      </c>
      <c r="O20" s="53" t="n">
        <f aca="false">IF($H20=0,0,IF($AP20="X",0,IF($AP20="S",$H20/$AO20*(MIN($AO20,MAX(0,INT((Lists!E$21-N($J20))/7)+1))-MIN($AO20,MAX(0,INT((Lists!E$22-N($J20))/7)+1))),IF($AP20="D",$H20*MAX(0,MIN(Lists!E$21,N($J20)+$AO20)-MAX(Lists!E$22,N($J20)))/$AO20,IF($AP20="M",$H20/$AO20*(IF(Lists!E$21&lt;$J20,0,MIN($AO20,(((YEAR(Lists!E$21)-YEAR($J20))*12+MONTH(Lists!E$21)-MONTH($J20))-(EDATE($J20,((YEAR(Lists!E$21)-YEAR($J20))*12+MONTH(Lists!E$21)-MONTH($J20)))&gt;Lists!E$21)+1)))-IF(Lists!E$22&lt;$J20,0,MIN($AO20,(((YEAR(Lists!E$22)-YEAR($J20))*12+MONTH(Lists!E$22)-MONTH($J20))-(EDATE($J20,((YEAR(Lists!E$22)-YEAR($J20))*12+MONTH(Lists!E$22)-MONTH($J20)))&gt;Lists!E$22)+1)))),IF($AP20="F",IF(N($K20)&lt;=0,0,MIN(MAX(0,$H20),N($K20)*IF(Lists!E$21&lt;$J20,0,(((YEAR(Lists!E$21)-YEAR($J20))*12+MONTH(Lists!E$21)-MONTH($J20))-(EDATE($J20,((YEAR(Lists!E$21)-YEAR($J20))*12+MONTH(Lists!E$21)-MONTH($J20)))&gt;Lists!E$21)+1)))-MIN(MAX(0,$H20),N($K20)*IF(Lists!E$22&lt;$J20,0,(((YEAR(Lists!E$22)-YEAR($J20))*12+MONTH(Lists!E$22)-MONTH($J20))-(EDATE($J20,((YEAR(Lists!E$22)-YEAR($J20))*12+MONTH(Lists!E$22)-MONTH($J20)))&gt;Lists!E$22)+1)))),N($C20)*IF($AE20-$AD20&lt;1,($AD20&gt;Lists!E$22)*($AD20&lt;=Lists!E$21),MAX(0,MIN(Lists!E$21,$AE20)-MAX(Lists!E$22,$AD20))/($AE20-$AD20))+N($D20)*IF($AG20-$AF20&lt;1,($AF20&gt;Lists!E$22)*($AF20&lt;=Lists!E$21),MAX(0,MIN(Lists!E$21,$AG20)-MAX(Lists!E$22,$AF20))/($AG20-$AF20))+N($E20)*IF($AI20-$AH20&lt;1,($AH20&gt;Lists!E$22)*($AH20&lt;=Lists!E$21),MAX(0,MIN(Lists!E$21,$AI20)-MAX(Lists!E$22,$AH20))/($AI20-$AH20))+N($F20)*IF($AK20-$AJ20&lt;1,($AJ20&gt;Lists!E$22)*($AJ20&lt;=Lists!E$21),MAX(0,MIN(Lists!E$21,$AK20)-MAX(Lists!E$22,$AJ20))/($AK20-$AJ20))+N($G20)*IF($AM20-$AL20&lt;1,($AL20&gt;Lists!E$22)*($AL20&lt;=Lists!E$21),MAX(0,MIN(Lists!E$21,$AM20)-MAX(Lists!E$22,$AL20))/($AM20-$AL20))))))))</f>
        <v>0</v>
      </c>
      <c r="P20" s="53" t="n">
        <f aca="false">IF($H20=0,0,IF($AP20="X",0,IF($AP20="S",$H20/$AO20*(MIN($AO20,MAX(0,INT((Lists!F$21-N($J20))/7)+1))-MIN($AO20,MAX(0,INT((Lists!F$22-N($J20))/7)+1))),IF($AP20="D",$H20*MAX(0,MIN(Lists!F$21,N($J20)+$AO20)-MAX(Lists!F$22,N($J20)))/$AO20,IF($AP20="M",$H20/$AO20*(IF(Lists!F$21&lt;$J20,0,MIN($AO20,(((YEAR(Lists!F$21)-YEAR($J20))*12+MONTH(Lists!F$21)-MONTH($J20))-(EDATE($J20,((YEAR(Lists!F$21)-YEAR($J20))*12+MONTH(Lists!F$21)-MONTH($J20)))&gt;Lists!F$21)+1)))-IF(Lists!F$22&lt;$J20,0,MIN($AO20,(((YEAR(Lists!F$22)-YEAR($J20))*12+MONTH(Lists!F$22)-MONTH($J20))-(EDATE($J20,((YEAR(Lists!F$22)-YEAR($J20))*12+MONTH(Lists!F$22)-MONTH($J20)))&gt;Lists!F$22)+1)))),IF($AP20="F",IF(N($K20)&lt;=0,0,MIN(MAX(0,$H20),N($K20)*IF(Lists!F$21&lt;$J20,0,(((YEAR(Lists!F$21)-YEAR($J20))*12+MONTH(Lists!F$21)-MONTH($J20))-(EDATE($J20,((YEAR(Lists!F$21)-YEAR($J20))*12+MONTH(Lists!F$21)-MONTH($J20)))&gt;Lists!F$21)+1)))-MIN(MAX(0,$H20),N($K20)*IF(Lists!F$22&lt;$J20,0,(((YEAR(Lists!F$22)-YEAR($J20))*12+MONTH(Lists!F$22)-MONTH($J20))-(EDATE($J20,((YEAR(Lists!F$22)-YEAR($J20))*12+MONTH(Lists!F$22)-MONTH($J20)))&gt;Lists!F$22)+1)))),N($C20)*IF($AE20-$AD20&lt;1,($AD20&gt;Lists!F$22)*($AD20&lt;=Lists!F$21),MAX(0,MIN(Lists!F$21,$AE20)-MAX(Lists!F$22,$AD20))/($AE20-$AD20))+N($D20)*IF($AG20-$AF20&lt;1,($AF20&gt;Lists!F$22)*($AF20&lt;=Lists!F$21),MAX(0,MIN(Lists!F$21,$AG20)-MAX(Lists!F$22,$AF20))/($AG20-$AF20))+N($E20)*IF($AI20-$AH20&lt;1,($AH20&gt;Lists!F$22)*($AH20&lt;=Lists!F$21),MAX(0,MIN(Lists!F$21,$AI20)-MAX(Lists!F$22,$AH20))/($AI20-$AH20))+N($F20)*IF($AK20-$AJ20&lt;1,($AJ20&gt;Lists!F$22)*($AJ20&lt;=Lists!F$21),MAX(0,MIN(Lists!F$21,$AK20)-MAX(Lists!F$22,$AJ20))/($AK20-$AJ20))+N($G20)*IF($AM20-$AL20&lt;1,($AL20&gt;Lists!F$22)*($AL20&lt;=Lists!F$21),MAX(0,MIN(Lists!F$21,$AM20)-MAX(Lists!F$22,$AL20))/($AM20-$AL20))))))))</f>
        <v>0</v>
      </c>
      <c r="Q20" s="53" t="n">
        <f aca="false">IF($H20=0,0,IF($AP20="X",0,IF($AP20="S",$H20/$AO20*(MIN($AO20,MAX(0,INT((Lists!G$21-N($J20))/7)+1))-MIN($AO20,MAX(0,INT((Lists!G$22-N($J20))/7)+1))),IF($AP20="D",$H20*MAX(0,MIN(Lists!G$21,N($J20)+$AO20)-MAX(Lists!G$22,N($J20)))/$AO20,IF($AP20="M",$H20/$AO20*(IF(Lists!G$21&lt;$J20,0,MIN($AO20,(((YEAR(Lists!G$21)-YEAR($J20))*12+MONTH(Lists!G$21)-MONTH($J20))-(EDATE($J20,((YEAR(Lists!G$21)-YEAR($J20))*12+MONTH(Lists!G$21)-MONTH($J20)))&gt;Lists!G$21)+1)))-IF(Lists!G$22&lt;$J20,0,MIN($AO20,(((YEAR(Lists!G$22)-YEAR($J20))*12+MONTH(Lists!G$22)-MONTH($J20))-(EDATE($J20,((YEAR(Lists!G$22)-YEAR($J20))*12+MONTH(Lists!G$22)-MONTH($J20)))&gt;Lists!G$22)+1)))),IF($AP20="F",IF(N($K20)&lt;=0,0,MIN(MAX(0,$H20),N($K20)*IF(Lists!G$21&lt;$J20,0,(((YEAR(Lists!G$21)-YEAR($J20))*12+MONTH(Lists!G$21)-MONTH($J20))-(EDATE($J20,((YEAR(Lists!G$21)-YEAR($J20))*12+MONTH(Lists!G$21)-MONTH($J20)))&gt;Lists!G$21)+1)))-MIN(MAX(0,$H20),N($K20)*IF(Lists!G$22&lt;$J20,0,(((YEAR(Lists!G$22)-YEAR($J20))*12+MONTH(Lists!G$22)-MONTH($J20))-(EDATE($J20,((YEAR(Lists!G$22)-YEAR($J20))*12+MONTH(Lists!G$22)-MONTH($J20)))&gt;Lists!G$22)+1)))),N($C20)*IF($AE20-$AD20&lt;1,($AD20&gt;Lists!G$22)*($AD20&lt;=Lists!G$21),MAX(0,MIN(Lists!G$21,$AE20)-MAX(Lists!G$22,$AD20))/($AE20-$AD20))+N($D20)*IF($AG20-$AF20&lt;1,($AF20&gt;Lists!G$22)*($AF20&lt;=Lists!G$21),MAX(0,MIN(Lists!G$21,$AG20)-MAX(Lists!G$22,$AF20))/($AG20-$AF20))+N($E20)*IF($AI20-$AH20&lt;1,($AH20&gt;Lists!G$22)*($AH20&lt;=Lists!G$21),MAX(0,MIN(Lists!G$21,$AI20)-MAX(Lists!G$22,$AH20))/($AI20-$AH20))+N($F20)*IF($AK20-$AJ20&lt;1,($AJ20&gt;Lists!G$22)*($AJ20&lt;=Lists!G$21),MAX(0,MIN(Lists!G$21,$AK20)-MAX(Lists!G$22,$AJ20))/($AK20-$AJ20))+N($G20)*IF($AM20-$AL20&lt;1,($AL20&gt;Lists!G$22)*($AL20&lt;=Lists!G$21),MAX(0,MIN(Lists!G$21,$AM20)-MAX(Lists!G$22,$AL20))/($AM20-$AL20))))))))</f>
        <v>0</v>
      </c>
      <c r="R20" s="53" t="n">
        <f aca="false">IF($H20=0,0,IF($AP20="X",0,IF($AP20="S",$H20/$AO20*(MIN($AO20,MAX(0,INT((Lists!H$21-N($J20))/7)+1))-MIN($AO20,MAX(0,INT((Lists!H$22-N($J20))/7)+1))),IF($AP20="D",$H20*MAX(0,MIN(Lists!H$21,N($J20)+$AO20)-MAX(Lists!H$22,N($J20)))/$AO20,IF($AP20="M",$H20/$AO20*(IF(Lists!H$21&lt;$J20,0,MIN($AO20,(((YEAR(Lists!H$21)-YEAR($J20))*12+MONTH(Lists!H$21)-MONTH($J20))-(EDATE($J20,((YEAR(Lists!H$21)-YEAR($J20))*12+MONTH(Lists!H$21)-MONTH($J20)))&gt;Lists!H$21)+1)))-IF(Lists!H$22&lt;$J20,0,MIN($AO20,(((YEAR(Lists!H$22)-YEAR($J20))*12+MONTH(Lists!H$22)-MONTH($J20))-(EDATE($J20,((YEAR(Lists!H$22)-YEAR($J20))*12+MONTH(Lists!H$22)-MONTH($J20)))&gt;Lists!H$22)+1)))),IF($AP20="F",IF(N($K20)&lt;=0,0,MIN(MAX(0,$H20),N($K20)*IF(Lists!H$21&lt;$J20,0,(((YEAR(Lists!H$21)-YEAR($J20))*12+MONTH(Lists!H$21)-MONTH($J20))-(EDATE($J20,((YEAR(Lists!H$21)-YEAR($J20))*12+MONTH(Lists!H$21)-MONTH($J20)))&gt;Lists!H$21)+1)))-MIN(MAX(0,$H20),N($K20)*IF(Lists!H$22&lt;$J20,0,(((YEAR(Lists!H$22)-YEAR($J20))*12+MONTH(Lists!H$22)-MONTH($J20))-(EDATE($J20,((YEAR(Lists!H$22)-YEAR($J20))*12+MONTH(Lists!H$22)-MONTH($J20)))&gt;Lists!H$22)+1)))),N($C20)*IF($AE20-$AD20&lt;1,($AD20&gt;Lists!H$22)*($AD20&lt;=Lists!H$21),MAX(0,MIN(Lists!H$21,$AE20)-MAX(Lists!H$22,$AD20))/($AE20-$AD20))+N($D20)*IF($AG20-$AF20&lt;1,($AF20&gt;Lists!H$22)*($AF20&lt;=Lists!H$21),MAX(0,MIN(Lists!H$21,$AG20)-MAX(Lists!H$22,$AF20))/($AG20-$AF20))+N($E20)*IF($AI20-$AH20&lt;1,($AH20&gt;Lists!H$22)*($AH20&lt;=Lists!H$21),MAX(0,MIN(Lists!H$21,$AI20)-MAX(Lists!H$22,$AH20))/($AI20-$AH20))+N($F20)*IF($AK20-$AJ20&lt;1,($AJ20&gt;Lists!H$22)*($AJ20&lt;=Lists!H$21),MAX(0,MIN(Lists!H$21,$AK20)-MAX(Lists!H$22,$AJ20))/($AK20-$AJ20))+N($G20)*IF($AM20-$AL20&lt;1,($AL20&gt;Lists!H$22)*($AL20&lt;=Lists!H$21),MAX(0,MIN(Lists!H$21,$AM20)-MAX(Lists!H$22,$AL20))/($AM20-$AL20))))))))</f>
        <v>0</v>
      </c>
      <c r="S20" s="53" t="n">
        <f aca="false">IF($H20=0,0,IF($AP20="X",0,IF($AP20="S",$H20/$AO20*(MIN($AO20,MAX(0,INT((Lists!I$21-N($J20))/7)+1))-MIN($AO20,MAX(0,INT((Lists!I$22-N($J20))/7)+1))),IF($AP20="D",$H20*MAX(0,MIN(Lists!I$21,N($J20)+$AO20)-MAX(Lists!I$22,N($J20)))/$AO20,IF($AP20="M",$H20/$AO20*(IF(Lists!I$21&lt;$J20,0,MIN($AO20,(((YEAR(Lists!I$21)-YEAR($J20))*12+MONTH(Lists!I$21)-MONTH($J20))-(EDATE($J20,((YEAR(Lists!I$21)-YEAR($J20))*12+MONTH(Lists!I$21)-MONTH($J20)))&gt;Lists!I$21)+1)))-IF(Lists!I$22&lt;$J20,0,MIN($AO20,(((YEAR(Lists!I$22)-YEAR($J20))*12+MONTH(Lists!I$22)-MONTH($J20))-(EDATE($J20,((YEAR(Lists!I$22)-YEAR($J20))*12+MONTH(Lists!I$22)-MONTH($J20)))&gt;Lists!I$22)+1)))),IF($AP20="F",IF(N($K20)&lt;=0,0,MIN(MAX(0,$H20),N($K20)*IF(Lists!I$21&lt;$J20,0,(((YEAR(Lists!I$21)-YEAR($J20))*12+MONTH(Lists!I$21)-MONTH($J20))-(EDATE($J20,((YEAR(Lists!I$21)-YEAR($J20))*12+MONTH(Lists!I$21)-MONTH($J20)))&gt;Lists!I$21)+1)))-MIN(MAX(0,$H20),N($K20)*IF(Lists!I$22&lt;$J20,0,(((YEAR(Lists!I$22)-YEAR($J20))*12+MONTH(Lists!I$22)-MONTH($J20))-(EDATE($J20,((YEAR(Lists!I$22)-YEAR($J20))*12+MONTH(Lists!I$22)-MONTH($J20)))&gt;Lists!I$22)+1)))),N($C20)*IF($AE20-$AD20&lt;1,($AD20&gt;Lists!I$22)*($AD20&lt;=Lists!I$21),MAX(0,MIN(Lists!I$21,$AE20)-MAX(Lists!I$22,$AD20))/($AE20-$AD20))+N($D20)*IF($AG20-$AF20&lt;1,($AF20&gt;Lists!I$22)*($AF20&lt;=Lists!I$21),MAX(0,MIN(Lists!I$21,$AG20)-MAX(Lists!I$22,$AF20))/($AG20-$AF20))+N($E20)*IF($AI20-$AH20&lt;1,($AH20&gt;Lists!I$22)*($AH20&lt;=Lists!I$21),MAX(0,MIN(Lists!I$21,$AI20)-MAX(Lists!I$22,$AH20))/($AI20-$AH20))+N($F20)*IF($AK20-$AJ20&lt;1,($AJ20&gt;Lists!I$22)*($AJ20&lt;=Lists!I$21),MAX(0,MIN(Lists!I$21,$AK20)-MAX(Lists!I$22,$AJ20))/($AK20-$AJ20))+N($G20)*IF($AM20-$AL20&lt;1,($AL20&gt;Lists!I$22)*($AL20&lt;=Lists!I$21),MAX(0,MIN(Lists!I$21,$AM20)-MAX(Lists!I$22,$AL20))/($AM20-$AL20))))))))</f>
        <v>0</v>
      </c>
      <c r="T20" s="53" t="n">
        <f aca="false">IF($H20=0,0,IF($AP20="X",0,IF($AP20="S",$H20/$AO20*(MIN($AO20,MAX(0,INT((Lists!J$21-N($J20))/7)+1))-MIN($AO20,MAX(0,INT((Lists!J$22-N($J20))/7)+1))),IF($AP20="D",$H20*MAX(0,MIN(Lists!J$21,N($J20)+$AO20)-MAX(Lists!J$22,N($J20)))/$AO20,IF($AP20="M",$H20/$AO20*(IF(Lists!J$21&lt;$J20,0,MIN($AO20,(((YEAR(Lists!J$21)-YEAR($J20))*12+MONTH(Lists!J$21)-MONTH($J20))-(EDATE($J20,((YEAR(Lists!J$21)-YEAR($J20))*12+MONTH(Lists!J$21)-MONTH($J20)))&gt;Lists!J$21)+1)))-IF(Lists!J$22&lt;$J20,0,MIN($AO20,(((YEAR(Lists!J$22)-YEAR($J20))*12+MONTH(Lists!J$22)-MONTH($J20))-(EDATE($J20,((YEAR(Lists!J$22)-YEAR($J20))*12+MONTH(Lists!J$22)-MONTH($J20)))&gt;Lists!J$22)+1)))),IF($AP20="F",IF(N($K20)&lt;=0,0,MIN(MAX(0,$H20),N($K20)*IF(Lists!J$21&lt;$J20,0,(((YEAR(Lists!J$21)-YEAR($J20))*12+MONTH(Lists!J$21)-MONTH($J20))-(EDATE($J20,((YEAR(Lists!J$21)-YEAR($J20))*12+MONTH(Lists!J$21)-MONTH($J20)))&gt;Lists!J$21)+1)))-MIN(MAX(0,$H20),N($K20)*IF(Lists!J$22&lt;$J20,0,(((YEAR(Lists!J$22)-YEAR($J20))*12+MONTH(Lists!J$22)-MONTH($J20))-(EDATE($J20,((YEAR(Lists!J$22)-YEAR($J20))*12+MONTH(Lists!J$22)-MONTH($J20)))&gt;Lists!J$22)+1)))),N($C20)*IF($AE20-$AD20&lt;1,($AD20&gt;Lists!J$22)*($AD20&lt;=Lists!J$21),MAX(0,MIN(Lists!J$21,$AE20)-MAX(Lists!J$22,$AD20))/($AE20-$AD20))+N($D20)*IF($AG20-$AF20&lt;1,($AF20&gt;Lists!J$22)*($AF20&lt;=Lists!J$21),MAX(0,MIN(Lists!J$21,$AG20)-MAX(Lists!J$22,$AF20))/($AG20-$AF20))+N($E20)*IF($AI20-$AH20&lt;1,($AH20&gt;Lists!J$22)*($AH20&lt;=Lists!J$21),MAX(0,MIN(Lists!J$21,$AI20)-MAX(Lists!J$22,$AH20))/($AI20-$AH20))+N($F20)*IF($AK20-$AJ20&lt;1,($AJ20&gt;Lists!J$22)*($AJ20&lt;=Lists!J$21),MAX(0,MIN(Lists!J$21,$AK20)-MAX(Lists!J$22,$AJ20))/($AK20-$AJ20))+N($G20)*IF($AM20-$AL20&lt;1,($AL20&gt;Lists!J$22)*($AL20&lt;=Lists!J$21),MAX(0,MIN(Lists!J$21,$AM20)-MAX(Lists!J$22,$AL20))/($AM20-$AL20))))))))</f>
        <v>0</v>
      </c>
      <c r="U20" s="53" t="n">
        <f aca="false">IF($H20=0,0,IF($AP20="X",0,IF($AP20="S",$H20/$AO20*(MIN($AO20,MAX(0,INT((Lists!K$21-N($J20))/7)+1))-MIN($AO20,MAX(0,INT((Lists!K$22-N($J20))/7)+1))),IF($AP20="D",$H20*MAX(0,MIN(Lists!K$21,N($J20)+$AO20)-MAX(Lists!K$22,N($J20)))/$AO20,IF($AP20="M",$H20/$AO20*(IF(Lists!K$21&lt;$J20,0,MIN($AO20,(((YEAR(Lists!K$21)-YEAR($J20))*12+MONTH(Lists!K$21)-MONTH($J20))-(EDATE($J20,((YEAR(Lists!K$21)-YEAR($J20))*12+MONTH(Lists!K$21)-MONTH($J20)))&gt;Lists!K$21)+1)))-IF(Lists!K$22&lt;$J20,0,MIN($AO20,(((YEAR(Lists!K$22)-YEAR($J20))*12+MONTH(Lists!K$22)-MONTH($J20))-(EDATE($J20,((YEAR(Lists!K$22)-YEAR($J20))*12+MONTH(Lists!K$22)-MONTH($J20)))&gt;Lists!K$22)+1)))),IF($AP20="F",IF(N($K20)&lt;=0,0,MIN(MAX(0,$H20),N($K20)*IF(Lists!K$21&lt;$J20,0,(((YEAR(Lists!K$21)-YEAR($J20))*12+MONTH(Lists!K$21)-MONTH($J20))-(EDATE($J20,((YEAR(Lists!K$21)-YEAR($J20))*12+MONTH(Lists!K$21)-MONTH($J20)))&gt;Lists!K$21)+1)))-MIN(MAX(0,$H20),N($K20)*IF(Lists!K$22&lt;$J20,0,(((YEAR(Lists!K$22)-YEAR($J20))*12+MONTH(Lists!K$22)-MONTH($J20))-(EDATE($J20,((YEAR(Lists!K$22)-YEAR($J20))*12+MONTH(Lists!K$22)-MONTH($J20)))&gt;Lists!K$22)+1)))),N($C20)*IF($AE20-$AD20&lt;1,($AD20&gt;Lists!K$22)*($AD20&lt;=Lists!K$21),MAX(0,MIN(Lists!K$21,$AE20)-MAX(Lists!K$22,$AD20))/($AE20-$AD20))+N($D20)*IF($AG20-$AF20&lt;1,($AF20&gt;Lists!K$22)*($AF20&lt;=Lists!K$21),MAX(0,MIN(Lists!K$21,$AG20)-MAX(Lists!K$22,$AF20))/($AG20-$AF20))+N($E20)*IF($AI20-$AH20&lt;1,($AH20&gt;Lists!K$22)*($AH20&lt;=Lists!K$21),MAX(0,MIN(Lists!K$21,$AI20)-MAX(Lists!K$22,$AH20))/($AI20-$AH20))+N($F20)*IF($AK20-$AJ20&lt;1,($AJ20&gt;Lists!K$22)*($AJ20&lt;=Lists!K$21),MAX(0,MIN(Lists!K$21,$AK20)-MAX(Lists!K$22,$AJ20))/($AK20-$AJ20))+N($G20)*IF($AM20-$AL20&lt;1,($AL20&gt;Lists!K$22)*($AL20&lt;=Lists!K$21),MAX(0,MIN(Lists!K$21,$AM20)-MAX(Lists!K$22,$AL20))/($AM20-$AL20))))))))</f>
        <v>0</v>
      </c>
      <c r="V20" s="53" t="n">
        <f aca="false">IF($H20=0,0,IF($AP20="X",0,IF($AP20="S",$H20/$AO20*(MIN($AO20,MAX(0,INT((Lists!L$21-N($J20))/7)+1))-MIN($AO20,MAX(0,INT((Lists!L$22-N($J20))/7)+1))),IF($AP20="D",$H20*MAX(0,MIN(Lists!L$21,N($J20)+$AO20)-MAX(Lists!L$22,N($J20)))/$AO20,IF($AP20="M",$H20/$AO20*(IF(Lists!L$21&lt;$J20,0,MIN($AO20,(((YEAR(Lists!L$21)-YEAR($J20))*12+MONTH(Lists!L$21)-MONTH($J20))-(EDATE($J20,((YEAR(Lists!L$21)-YEAR($J20))*12+MONTH(Lists!L$21)-MONTH($J20)))&gt;Lists!L$21)+1)))-IF(Lists!L$22&lt;$J20,0,MIN($AO20,(((YEAR(Lists!L$22)-YEAR($J20))*12+MONTH(Lists!L$22)-MONTH($J20))-(EDATE($J20,((YEAR(Lists!L$22)-YEAR($J20))*12+MONTH(Lists!L$22)-MONTH($J20)))&gt;Lists!L$22)+1)))),IF($AP20="F",IF(N($K20)&lt;=0,0,MIN(MAX(0,$H20),N($K20)*IF(Lists!L$21&lt;$J20,0,(((YEAR(Lists!L$21)-YEAR($J20))*12+MONTH(Lists!L$21)-MONTH($J20))-(EDATE($J20,((YEAR(Lists!L$21)-YEAR($J20))*12+MONTH(Lists!L$21)-MONTH($J20)))&gt;Lists!L$21)+1)))-MIN(MAX(0,$H20),N($K20)*IF(Lists!L$22&lt;$J20,0,(((YEAR(Lists!L$22)-YEAR($J20))*12+MONTH(Lists!L$22)-MONTH($J20))-(EDATE($J20,((YEAR(Lists!L$22)-YEAR($J20))*12+MONTH(Lists!L$22)-MONTH($J20)))&gt;Lists!L$22)+1)))),N($C20)*IF($AE20-$AD20&lt;1,($AD20&gt;Lists!L$22)*($AD20&lt;=Lists!L$21),MAX(0,MIN(Lists!L$21,$AE20)-MAX(Lists!L$22,$AD20))/($AE20-$AD20))+N($D20)*IF($AG20-$AF20&lt;1,($AF20&gt;Lists!L$22)*($AF20&lt;=Lists!L$21),MAX(0,MIN(Lists!L$21,$AG20)-MAX(Lists!L$22,$AF20))/($AG20-$AF20))+N($E20)*IF($AI20-$AH20&lt;1,($AH20&gt;Lists!L$22)*($AH20&lt;=Lists!L$21),MAX(0,MIN(Lists!L$21,$AI20)-MAX(Lists!L$22,$AH20))/($AI20-$AH20))+N($F20)*IF($AK20-$AJ20&lt;1,($AJ20&gt;Lists!L$22)*($AJ20&lt;=Lists!L$21),MAX(0,MIN(Lists!L$21,$AK20)-MAX(Lists!L$22,$AJ20))/($AK20-$AJ20))+N($G20)*IF($AM20-$AL20&lt;1,($AL20&gt;Lists!L$22)*($AL20&lt;=Lists!L$21),MAX(0,MIN(Lists!L$21,$AM20)-MAX(Lists!L$22,$AL20))/($AM20-$AL20))))))))</f>
        <v>0</v>
      </c>
      <c r="W20" s="53" t="n">
        <f aca="false">IF($H20=0,0,IF($AP20="X",0,IF($AP20="S",$H20/$AO20*(MIN($AO20,MAX(0,INT((Lists!M$21-N($J20))/7)+1))-MIN($AO20,MAX(0,INT((Lists!M$22-N($J20))/7)+1))),IF($AP20="D",$H20*MAX(0,MIN(Lists!M$21,N($J20)+$AO20)-MAX(Lists!M$22,N($J20)))/$AO20,IF($AP20="M",$H20/$AO20*(IF(Lists!M$21&lt;$J20,0,MIN($AO20,(((YEAR(Lists!M$21)-YEAR($J20))*12+MONTH(Lists!M$21)-MONTH($J20))-(EDATE($J20,((YEAR(Lists!M$21)-YEAR($J20))*12+MONTH(Lists!M$21)-MONTH($J20)))&gt;Lists!M$21)+1)))-IF(Lists!M$22&lt;$J20,0,MIN($AO20,(((YEAR(Lists!M$22)-YEAR($J20))*12+MONTH(Lists!M$22)-MONTH($J20))-(EDATE($J20,((YEAR(Lists!M$22)-YEAR($J20))*12+MONTH(Lists!M$22)-MONTH($J20)))&gt;Lists!M$22)+1)))),IF($AP20="F",IF(N($K20)&lt;=0,0,MIN(MAX(0,$H20),N($K20)*IF(Lists!M$21&lt;$J20,0,(((YEAR(Lists!M$21)-YEAR($J20))*12+MONTH(Lists!M$21)-MONTH($J20))-(EDATE($J20,((YEAR(Lists!M$21)-YEAR($J20))*12+MONTH(Lists!M$21)-MONTH($J20)))&gt;Lists!M$21)+1)))-MIN(MAX(0,$H20),N($K20)*IF(Lists!M$22&lt;$J20,0,(((YEAR(Lists!M$22)-YEAR($J20))*12+MONTH(Lists!M$22)-MONTH($J20))-(EDATE($J20,((YEAR(Lists!M$22)-YEAR($J20))*12+MONTH(Lists!M$22)-MONTH($J20)))&gt;Lists!M$22)+1)))),N($C20)*IF($AE20-$AD20&lt;1,($AD20&gt;Lists!M$22)*($AD20&lt;=Lists!M$21),MAX(0,MIN(Lists!M$21,$AE20)-MAX(Lists!M$22,$AD20))/($AE20-$AD20))+N($D20)*IF($AG20-$AF20&lt;1,($AF20&gt;Lists!M$22)*($AF20&lt;=Lists!M$21),MAX(0,MIN(Lists!M$21,$AG20)-MAX(Lists!M$22,$AF20))/($AG20-$AF20))+N($E20)*IF($AI20-$AH20&lt;1,($AH20&gt;Lists!M$22)*($AH20&lt;=Lists!M$21),MAX(0,MIN(Lists!M$21,$AI20)-MAX(Lists!M$22,$AH20))/($AI20-$AH20))+N($F20)*IF($AK20-$AJ20&lt;1,($AJ20&gt;Lists!M$22)*($AJ20&lt;=Lists!M$21),MAX(0,MIN(Lists!M$21,$AK20)-MAX(Lists!M$22,$AJ20))/($AK20-$AJ20))+N($G20)*IF($AM20-$AL20&lt;1,($AL20&gt;Lists!M$22)*($AL20&lt;=Lists!M$21),MAX(0,MIN(Lists!M$21,$AM20)-MAX(Lists!M$22,$AL20))/($AM20-$AL20))))))))</f>
        <v>0</v>
      </c>
      <c r="X20" s="53" t="n">
        <f aca="false">IF($H20=0,0,IF($AP20="X",0,IF($AP20="S",$H20/$AO20*(MIN($AO20,MAX(0,INT((Lists!N$21-N($J20))/7)+1))-MIN($AO20,MAX(0,INT((Lists!N$22-N($J20))/7)+1))),IF($AP20="D",$H20*MAX(0,MIN(Lists!N$21,N($J20)+$AO20)-MAX(Lists!N$22,N($J20)))/$AO20,IF($AP20="M",$H20/$AO20*(IF(Lists!N$21&lt;$J20,0,MIN($AO20,(((YEAR(Lists!N$21)-YEAR($J20))*12+MONTH(Lists!N$21)-MONTH($J20))-(EDATE($J20,((YEAR(Lists!N$21)-YEAR($J20))*12+MONTH(Lists!N$21)-MONTH($J20)))&gt;Lists!N$21)+1)))-IF(Lists!N$22&lt;$J20,0,MIN($AO20,(((YEAR(Lists!N$22)-YEAR($J20))*12+MONTH(Lists!N$22)-MONTH($J20))-(EDATE($J20,((YEAR(Lists!N$22)-YEAR($J20))*12+MONTH(Lists!N$22)-MONTH($J20)))&gt;Lists!N$22)+1)))),IF($AP20="F",IF(N($K20)&lt;=0,0,MIN(MAX(0,$H20),N($K20)*IF(Lists!N$21&lt;$J20,0,(((YEAR(Lists!N$21)-YEAR($J20))*12+MONTH(Lists!N$21)-MONTH($J20))-(EDATE($J20,((YEAR(Lists!N$21)-YEAR($J20))*12+MONTH(Lists!N$21)-MONTH($J20)))&gt;Lists!N$21)+1)))-MIN(MAX(0,$H20),N($K20)*IF(Lists!N$22&lt;$J20,0,(((YEAR(Lists!N$22)-YEAR($J20))*12+MONTH(Lists!N$22)-MONTH($J20))-(EDATE($J20,((YEAR(Lists!N$22)-YEAR($J20))*12+MONTH(Lists!N$22)-MONTH($J20)))&gt;Lists!N$22)+1)))),N($C20)*IF($AE20-$AD20&lt;1,($AD20&gt;Lists!N$22)*($AD20&lt;=Lists!N$21),MAX(0,MIN(Lists!N$21,$AE20)-MAX(Lists!N$22,$AD20))/($AE20-$AD20))+N($D20)*IF($AG20-$AF20&lt;1,($AF20&gt;Lists!N$22)*($AF20&lt;=Lists!N$21),MAX(0,MIN(Lists!N$21,$AG20)-MAX(Lists!N$22,$AF20))/($AG20-$AF20))+N($E20)*IF($AI20-$AH20&lt;1,($AH20&gt;Lists!N$22)*($AH20&lt;=Lists!N$21),MAX(0,MIN(Lists!N$21,$AI20)-MAX(Lists!N$22,$AH20))/($AI20-$AH20))+N($F20)*IF($AK20-$AJ20&lt;1,($AJ20&gt;Lists!N$22)*($AJ20&lt;=Lists!N$21),MAX(0,MIN(Lists!N$21,$AK20)-MAX(Lists!N$22,$AJ20))/($AK20-$AJ20))+N($G20)*IF($AM20-$AL20&lt;1,($AL20&gt;Lists!N$22)*($AL20&lt;=Lists!N$21),MAX(0,MIN(Lists!N$21,$AM20)-MAX(Lists!N$22,$AL20))/($AM20-$AL20))))))))</f>
        <v>0</v>
      </c>
      <c r="Y20" s="53" t="n">
        <f aca="false">IF($H20=0,0,IF($AP20="X",0,IF($AP20="S",$H20/$AO20*(MIN($AO20,MAX(0,INT((Lists!O$21-N($J20))/7)+1))-MIN($AO20,MAX(0,INT((Lists!O$22-N($J20))/7)+1))),IF($AP20="D",$H20*MAX(0,MIN(Lists!O$21,N($J20)+$AO20)-MAX(Lists!O$22,N($J20)))/$AO20,IF($AP20="M",$H20/$AO20*(IF(Lists!O$21&lt;$J20,0,MIN($AO20,(((YEAR(Lists!O$21)-YEAR($J20))*12+MONTH(Lists!O$21)-MONTH($J20))-(EDATE($J20,((YEAR(Lists!O$21)-YEAR($J20))*12+MONTH(Lists!O$21)-MONTH($J20)))&gt;Lists!O$21)+1)))-IF(Lists!O$22&lt;$J20,0,MIN($AO20,(((YEAR(Lists!O$22)-YEAR($J20))*12+MONTH(Lists!O$22)-MONTH($J20))-(EDATE($J20,((YEAR(Lists!O$22)-YEAR($J20))*12+MONTH(Lists!O$22)-MONTH($J20)))&gt;Lists!O$22)+1)))),IF($AP20="F",IF(N($K20)&lt;=0,0,MIN(MAX(0,$H20),N($K20)*IF(Lists!O$21&lt;$J20,0,(((YEAR(Lists!O$21)-YEAR($J20))*12+MONTH(Lists!O$21)-MONTH($J20))-(EDATE($J20,((YEAR(Lists!O$21)-YEAR($J20))*12+MONTH(Lists!O$21)-MONTH($J20)))&gt;Lists!O$21)+1)))-MIN(MAX(0,$H20),N($K20)*IF(Lists!O$22&lt;$J20,0,(((YEAR(Lists!O$22)-YEAR($J20))*12+MONTH(Lists!O$22)-MONTH($J20))-(EDATE($J20,((YEAR(Lists!O$22)-YEAR($J20))*12+MONTH(Lists!O$22)-MONTH($J20)))&gt;Lists!O$22)+1)))),N($C20)*IF($AE20-$AD20&lt;1,($AD20&gt;Lists!O$22)*($AD20&lt;=Lists!O$21),MAX(0,MIN(Lists!O$21,$AE20)-MAX(Lists!O$22,$AD20))/($AE20-$AD20))+N($D20)*IF($AG20-$AF20&lt;1,($AF20&gt;Lists!O$22)*($AF20&lt;=Lists!O$21),MAX(0,MIN(Lists!O$21,$AG20)-MAX(Lists!O$22,$AF20))/($AG20-$AF20))+N($E20)*IF($AI20-$AH20&lt;1,($AH20&gt;Lists!O$22)*($AH20&lt;=Lists!O$21),MAX(0,MIN(Lists!O$21,$AI20)-MAX(Lists!O$22,$AH20))/($AI20-$AH20))+N($F20)*IF($AK20-$AJ20&lt;1,($AJ20&gt;Lists!O$22)*($AJ20&lt;=Lists!O$21),MAX(0,MIN(Lists!O$21,$AK20)-MAX(Lists!O$22,$AJ20))/($AK20-$AJ20))+N($G20)*IF($AM20-$AL20&lt;1,($AL20&gt;Lists!O$22)*($AL20&lt;=Lists!O$21),MAX(0,MIN(Lists!O$21,$AM20)-MAX(Lists!O$22,$AL20))/($AM20-$AL20))))))))</f>
        <v>0</v>
      </c>
      <c r="Z20" s="46" t="n">
        <f aca="false">SUM(M20:Y20)</f>
        <v>0</v>
      </c>
      <c r="AA20" s="92" t="n">
        <f aca="false">H20-Z20</f>
        <v>0</v>
      </c>
      <c r="AB20" s="55"/>
      <c r="AC20" s="2"/>
      <c r="AD20" s="93" t="n">
        <f aca="false">Setup!$D$10+MAX(0,$AN20-30)</f>
        <v>46345</v>
      </c>
      <c r="AE20" s="93" t="n">
        <f aca="false">Setup!$D$10+IF($AN20-30&lt;0,MAX(Setup!$D$22,$AN20-0),$AN20-0)</f>
        <v>46375</v>
      </c>
      <c r="AF20" s="93" t="n">
        <f aca="false">Setup!$D$10+MAX(0,$AN20-60)</f>
        <v>46335</v>
      </c>
      <c r="AG20" s="93" t="n">
        <f aca="false">Setup!$D$10+IF($AN20-60&lt;0,MAX(Setup!$D$22,$AN20-31),$AN20-31)</f>
        <v>46363</v>
      </c>
      <c r="AH20" s="93" t="n">
        <f aca="false">Setup!$D$10+MAX(0,$AN20-90)</f>
        <v>46335</v>
      </c>
      <c r="AI20" s="93" t="n">
        <f aca="false">Setup!$D$10+IF($AN20-90&lt;0,MAX(Setup!$D$22,$AN20-61),$AN20-61)</f>
        <v>46363</v>
      </c>
      <c r="AJ20" s="93" t="n">
        <f aca="false">Setup!$D$10+MAX(0,$AN20-120)</f>
        <v>46335</v>
      </c>
      <c r="AK20" s="93" t="n">
        <f aca="false">Setup!$D$10+IF($AN20-120&lt;0,MAX(Setup!$D$22,$AN20-91),$AN20-91)</f>
        <v>46363</v>
      </c>
      <c r="AL20" s="93" t="n">
        <f aca="false">Setup!$D$10</f>
        <v>46335</v>
      </c>
      <c r="AM20" s="93" t="n">
        <f aca="false">IF(AL20=2958465,AL20,Setup!$D$10+Setup!$D$22)</f>
        <v>46363</v>
      </c>
      <c r="AN20" s="94" t="n">
        <f aca="false">IF(N(L20)=0,Setup!$D$21,L20)</f>
        <v>40</v>
      </c>
      <c r="AO20" s="94" t="n">
        <f aca="false">MAX(1,ROUND(N(K20),0))</f>
        <v>1</v>
      </c>
      <c r="AP20" s="95" t="str">
        <f aca="false">IF(I20="On hold","X",IF(N(J20)=0,"A",IF(I20="Specific date","S",IF(I20="Spread over days","D",IF(I20="Monthly on set day","M",IF(I20="Monthly fixed amount","F","A"))))))</f>
        <v>A</v>
      </c>
    </row>
    <row r="21" customFormat="false" ht="15" hidden="false" customHeight="false" outlineLevel="0" collapsed="false">
      <c r="A21" s="87" t="n">
        <v>13</v>
      </c>
      <c r="B21" s="55"/>
      <c r="C21" s="88"/>
      <c r="D21" s="88"/>
      <c r="E21" s="88"/>
      <c r="F21" s="88"/>
      <c r="G21" s="88"/>
      <c r="H21" s="89" t="n">
        <f aca="false">SUM(C21:G21)</f>
        <v>0</v>
      </c>
      <c r="I21" s="58"/>
      <c r="J21" s="90"/>
      <c r="K21" s="91"/>
      <c r="L21" s="80"/>
      <c r="M21" s="53" t="n">
        <f aca="false">IF($H21=0,0,IF($AP21="X",0,IF($AP21="S",$H21/$AO21*(MIN($AO21,MAX(0,INT((Lists!C$21-N($J21))/7)+1))-MIN($AO21,MAX(0,INT((Lists!C$22-N($J21))/7)+1))),IF($AP21="D",$H21*MAX(0,MIN(Lists!C$21,N($J21)+$AO21)-MAX(Lists!C$22,N($J21)))/$AO21,IF($AP21="M",$H21/$AO21*(IF(Lists!C$21&lt;$J21,0,MIN($AO21,(((YEAR(Lists!C$21)-YEAR($J21))*12+MONTH(Lists!C$21)-MONTH($J21))-(EDATE($J21,((YEAR(Lists!C$21)-YEAR($J21))*12+MONTH(Lists!C$21)-MONTH($J21)))&gt;Lists!C$21)+1)))-IF(Lists!C$22&lt;$J21,0,MIN($AO21,(((YEAR(Lists!C$22)-YEAR($J21))*12+MONTH(Lists!C$22)-MONTH($J21))-(EDATE($J21,((YEAR(Lists!C$22)-YEAR($J21))*12+MONTH(Lists!C$22)-MONTH($J21)))&gt;Lists!C$22)+1)))),IF($AP21="F",IF(N($K21)&lt;=0,0,MIN(MAX(0,$H21),N($K21)*IF(Lists!C$21&lt;$J21,0,(((YEAR(Lists!C$21)-YEAR($J21))*12+MONTH(Lists!C$21)-MONTH($J21))-(EDATE($J21,((YEAR(Lists!C$21)-YEAR($J21))*12+MONTH(Lists!C$21)-MONTH($J21)))&gt;Lists!C$21)+1)))-MIN(MAX(0,$H21),N($K21)*IF(Lists!C$22&lt;$J21,0,(((YEAR(Lists!C$22)-YEAR($J21))*12+MONTH(Lists!C$22)-MONTH($J21))-(EDATE($J21,((YEAR(Lists!C$22)-YEAR($J21))*12+MONTH(Lists!C$22)-MONTH($J21)))&gt;Lists!C$22)+1)))),N($C21)*IF($AE21-$AD21&lt;1,($AD21&gt;Lists!C$22)*($AD21&lt;=Lists!C$21),MAX(0,MIN(Lists!C$21,$AE21)-MAX(Lists!C$22,$AD21))/($AE21-$AD21))+N($D21)*IF($AG21-$AF21&lt;1,($AF21&gt;Lists!C$22)*($AF21&lt;=Lists!C$21),MAX(0,MIN(Lists!C$21,$AG21)-MAX(Lists!C$22,$AF21))/($AG21-$AF21))+N($E21)*IF($AI21-$AH21&lt;1,($AH21&gt;Lists!C$22)*($AH21&lt;=Lists!C$21),MAX(0,MIN(Lists!C$21,$AI21)-MAX(Lists!C$22,$AH21))/($AI21-$AH21))+N($F21)*IF($AK21-$AJ21&lt;1,($AJ21&gt;Lists!C$22)*($AJ21&lt;=Lists!C$21),MAX(0,MIN(Lists!C$21,$AK21)-MAX(Lists!C$22,$AJ21))/($AK21-$AJ21))+N($G21)*IF($AM21-$AL21&lt;1,($AL21&gt;Lists!C$22)*($AL21&lt;=Lists!C$21),MAX(0,MIN(Lists!C$21,$AM21)-MAX(Lists!C$22,$AL21))/($AM21-$AL21))))))))</f>
        <v>0</v>
      </c>
      <c r="N21" s="53" t="n">
        <f aca="false">IF($H21=0,0,IF($AP21="X",0,IF($AP21="S",$H21/$AO21*(MIN($AO21,MAX(0,INT((Lists!D$21-N($J21))/7)+1))-MIN($AO21,MAX(0,INT((Lists!D$22-N($J21))/7)+1))),IF($AP21="D",$H21*MAX(0,MIN(Lists!D$21,N($J21)+$AO21)-MAX(Lists!D$22,N($J21)))/$AO21,IF($AP21="M",$H21/$AO21*(IF(Lists!D$21&lt;$J21,0,MIN($AO21,(((YEAR(Lists!D$21)-YEAR($J21))*12+MONTH(Lists!D$21)-MONTH($J21))-(EDATE($J21,((YEAR(Lists!D$21)-YEAR($J21))*12+MONTH(Lists!D$21)-MONTH($J21)))&gt;Lists!D$21)+1)))-IF(Lists!D$22&lt;$J21,0,MIN($AO21,(((YEAR(Lists!D$22)-YEAR($J21))*12+MONTH(Lists!D$22)-MONTH($J21))-(EDATE($J21,((YEAR(Lists!D$22)-YEAR($J21))*12+MONTH(Lists!D$22)-MONTH($J21)))&gt;Lists!D$22)+1)))),IF($AP21="F",IF(N($K21)&lt;=0,0,MIN(MAX(0,$H21),N($K21)*IF(Lists!D$21&lt;$J21,0,(((YEAR(Lists!D$21)-YEAR($J21))*12+MONTH(Lists!D$21)-MONTH($J21))-(EDATE($J21,((YEAR(Lists!D$21)-YEAR($J21))*12+MONTH(Lists!D$21)-MONTH($J21)))&gt;Lists!D$21)+1)))-MIN(MAX(0,$H21),N($K21)*IF(Lists!D$22&lt;$J21,0,(((YEAR(Lists!D$22)-YEAR($J21))*12+MONTH(Lists!D$22)-MONTH($J21))-(EDATE($J21,((YEAR(Lists!D$22)-YEAR($J21))*12+MONTH(Lists!D$22)-MONTH($J21)))&gt;Lists!D$22)+1)))),N($C21)*IF($AE21-$AD21&lt;1,($AD21&gt;Lists!D$22)*($AD21&lt;=Lists!D$21),MAX(0,MIN(Lists!D$21,$AE21)-MAX(Lists!D$22,$AD21))/($AE21-$AD21))+N($D21)*IF($AG21-$AF21&lt;1,($AF21&gt;Lists!D$22)*($AF21&lt;=Lists!D$21),MAX(0,MIN(Lists!D$21,$AG21)-MAX(Lists!D$22,$AF21))/($AG21-$AF21))+N($E21)*IF($AI21-$AH21&lt;1,($AH21&gt;Lists!D$22)*($AH21&lt;=Lists!D$21),MAX(0,MIN(Lists!D$21,$AI21)-MAX(Lists!D$22,$AH21))/($AI21-$AH21))+N($F21)*IF($AK21-$AJ21&lt;1,($AJ21&gt;Lists!D$22)*($AJ21&lt;=Lists!D$21),MAX(0,MIN(Lists!D$21,$AK21)-MAX(Lists!D$22,$AJ21))/($AK21-$AJ21))+N($G21)*IF($AM21-$AL21&lt;1,($AL21&gt;Lists!D$22)*($AL21&lt;=Lists!D$21),MAX(0,MIN(Lists!D$21,$AM21)-MAX(Lists!D$22,$AL21))/($AM21-$AL21))))))))</f>
        <v>0</v>
      </c>
      <c r="O21" s="53" t="n">
        <f aca="false">IF($H21=0,0,IF($AP21="X",0,IF($AP21="S",$H21/$AO21*(MIN($AO21,MAX(0,INT((Lists!E$21-N($J21))/7)+1))-MIN($AO21,MAX(0,INT((Lists!E$22-N($J21))/7)+1))),IF($AP21="D",$H21*MAX(0,MIN(Lists!E$21,N($J21)+$AO21)-MAX(Lists!E$22,N($J21)))/$AO21,IF($AP21="M",$H21/$AO21*(IF(Lists!E$21&lt;$J21,0,MIN($AO21,(((YEAR(Lists!E$21)-YEAR($J21))*12+MONTH(Lists!E$21)-MONTH($J21))-(EDATE($J21,((YEAR(Lists!E$21)-YEAR($J21))*12+MONTH(Lists!E$21)-MONTH($J21)))&gt;Lists!E$21)+1)))-IF(Lists!E$22&lt;$J21,0,MIN($AO21,(((YEAR(Lists!E$22)-YEAR($J21))*12+MONTH(Lists!E$22)-MONTH($J21))-(EDATE($J21,((YEAR(Lists!E$22)-YEAR($J21))*12+MONTH(Lists!E$22)-MONTH($J21)))&gt;Lists!E$22)+1)))),IF($AP21="F",IF(N($K21)&lt;=0,0,MIN(MAX(0,$H21),N($K21)*IF(Lists!E$21&lt;$J21,0,(((YEAR(Lists!E$21)-YEAR($J21))*12+MONTH(Lists!E$21)-MONTH($J21))-(EDATE($J21,((YEAR(Lists!E$21)-YEAR($J21))*12+MONTH(Lists!E$21)-MONTH($J21)))&gt;Lists!E$21)+1)))-MIN(MAX(0,$H21),N($K21)*IF(Lists!E$22&lt;$J21,0,(((YEAR(Lists!E$22)-YEAR($J21))*12+MONTH(Lists!E$22)-MONTH($J21))-(EDATE($J21,((YEAR(Lists!E$22)-YEAR($J21))*12+MONTH(Lists!E$22)-MONTH($J21)))&gt;Lists!E$22)+1)))),N($C21)*IF($AE21-$AD21&lt;1,($AD21&gt;Lists!E$22)*($AD21&lt;=Lists!E$21),MAX(0,MIN(Lists!E$21,$AE21)-MAX(Lists!E$22,$AD21))/($AE21-$AD21))+N($D21)*IF($AG21-$AF21&lt;1,($AF21&gt;Lists!E$22)*($AF21&lt;=Lists!E$21),MAX(0,MIN(Lists!E$21,$AG21)-MAX(Lists!E$22,$AF21))/($AG21-$AF21))+N($E21)*IF($AI21-$AH21&lt;1,($AH21&gt;Lists!E$22)*($AH21&lt;=Lists!E$21),MAX(0,MIN(Lists!E$21,$AI21)-MAX(Lists!E$22,$AH21))/($AI21-$AH21))+N($F21)*IF($AK21-$AJ21&lt;1,($AJ21&gt;Lists!E$22)*($AJ21&lt;=Lists!E$21),MAX(0,MIN(Lists!E$21,$AK21)-MAX(Lists!E$22,$AJ21))/($AK21-$AJ21))+N($G21)*IF($AM21-$AL21&lt;1,($AL21&gt;Lists!E$22)*($AL21&lt;=Lists!E$21),MAX(0,MIN(Lists!E$21,$AM21)-MAX(Lists!E$22,$AL21))/($AM21-$AL21))))))))</f>
        <v>0</v>
      </c>
      <c r="P21" s="53" t="n">
        <f aca="false">IF($H21=0,0,IF($AP21="X",0,IF($AP21="S",$H21/$AO21*(MIN($AO21,MAX(0,INT((Lists!F$21-N($J21))/7)+1))-MIN($AO21,MAX(0,INT((Lists!F$22-N($J21))/7)+1))),IF($AP21="D",$H21*MAX(0,MIN(Lists!F$21,N($J21)+$AO21)-MAX(Lists!F$22,N($J21)))/$AO21,IF($AP21="M",$H21/$AO21*(IF(Lists!F$21&lt;$J21,0,MIN($AO21,(((YEAR(Lists!F$21)-YEAR($J21))*12+MONTH(Lists!F$21)-MONTH($J21))-(EDATE($J21,((YEAR(Lists!F$21)-YEAR($J21))*12+MONTH(Lists!F$21)-MONTH($J21)))&gt;Lists!F$21)+1)))-IF(Lists!F$22&lt;$J21,0,MIN($AO21,(((YEAR(Lists!F$22)-YEAR($J21))*12+MONTH(Lists!F$22)-MONTH($J21))-(EDATE($J21,((YEAR(Lists!F$22)-YEAR($J21))*12+MONTH(Lists!F$22)-MONTH($J21)))&gt;Lists!F$22)+1)))),IF($AP21="F",IF(N($K21)&lt;=0,0,MIN(MAX(0,$H21),N($K21)*IF(Lists!F$21&lt;$J21,0,(((YEAR(Lists!F$21)-YEAR($J21))*12+MONTH(Lists!F$21)-MONTH($J21))-(EDATE($J21,((YEAR(Lists!F$21)-YEAR($J21))*12+MONTH(Lists!F$21)-MONTH($J21)))&gt;Lists!F$21)+1)))-MIN(MAX(0,$H21),N($K21)*IF(Lists!F$22&lt;$J21,0,(((YEAR(Lists!F$22)-YEAR($J21))*12+MONTH(Lists!F$22)-MONTH($J21))-(EDATE($J21,((YEAR(Lists!F$22)-YEAR($J21))*12+MONTH(Lists!F$22)-MONTH($J21)))&gt;Lists!F$22)+1)))),N($C21)*IF($AE21-$AD21&lt;1,($AD21&gt;Lists!F$22)*($AD21&lt;=Lists!F$21),MAX(0,MIN(Lists!F$21,$AE21)-MAX(Lists!F$22,$AD21))/($AE21-$AD21))+N($D21)*IF($AG21-$AF21&lt;1,($AF21&gt;Lists!F$22)*($AF21&lt;=Lists!F$21),MAX(0,MIN(Lists!F$21,$AG21)-MAX(Lists!F$22,$AF21))/($AG21-$AF21))+N($E21)*IF($AI21-$AH21&lt;1,($AH21&gt;Lists!F$22)*($AH21&lt;=Lists!F$21),MAX(0,MIN(Lists!F$21,$AI21)-MAX(Lists!F$22,$AH21))/($AI21-$AH21))+N($F21)*IF($AK21-$AJ21&lt;1,($AJ21&gt;Lists!F$22)*($AJ21&lt;=Lists!F$21),MAX(0,MIN(Lists!F$21,$AK21)-MAX(Lists!F$22,$AJ21))/($AK21-$AJ21))+N($G21)*IF($AM21-$AL21&lt;1,($AL21&gt;Lists!F$22)*($AL21&lt;=Lists!F$21),MAX(0,MIN(Lists!F$21,$AM21)-MAX(Lists!F$22,$AL21))/($AM21-$AL21))))))))</f>
        <v>0</v>
      </c>
      <c r="Q21" s="53" t="n">
        <f aca="false">IF($H21=0,0,IF($AP21="X",0,IF($AP21="S",$H21/$AO21*(MIN($AO21,MAX(0,INT((Lists!G$21-N($J21))/7)+1))-MIN($AO21,MAX(0,INT((Lists!G$22-N($J21))/7)+1))),IF($AP21="D",$H21*MAX(0,MIN(Lists!G$21,N($J21)+$AO21)-MAX(Lists!G$22,N($J21)))/$AO21,IF($AP21="M",$H21/$AO21*(IF(Lists!G$21&lt;$J21,0,MIN($AO21,(((YEAR(Lists!G$21)-YEAR($J21))*12+MONTH(Lists!G$21)-MONTH($J21))-(EDATE($J21,((YEAR(Lists!G$21)-YEAR($J21))*12+MONTH(Lists!G$21)-MONTH($J21)))&gt;Lists!G$21)+1)))-IF(Lists!G$22&lt;$J21,0,MIN($AO21,(((YEAR(Lists!G$22)-YEAR($J21))*12+MONTH(Lists!G$22)-MONTH($J21))-(EDATE($J21,((YEAR(Lists!G$22)-YEAR($J21))*12+MONTH(Lists!G$22)-MONTH($J21)))&gt;Lists!G$22)+1)))),IF($AP21="F",IF(N($K21)&lt;=0,0,MIN(MAX(0,$H21),N($K21)*IF(Lists!G$21&lt;$J21,0,(((YEAR(Lists!G$21)-YEAR($J21))*12+MONTH(Lists!G$21)-MONTH($J21))-(EDATE($J21,((YEAR(Lists!G$21)-YEAR($J21))*12+MONTH(Lists!G$21)-MONTH($J21)))&gt;Lists!G$21)+1)))-MIN(MAX(0,$H21),N($K21)*IF(Lists!G$22&lt;$J21,0,(((YEAR(Lists!G$22)-YEAR($J21))*12+MONTH(Lists!G$22)-MONTH($J21))-(EDATE($J21,((YEAR(Lists!G$22)-YEAR($J21))*12+MONTH(Lists!G$22)-MONTH($J21)))&gt;Lists!G$22)+1)))),N($C21)*IF($AE21-$AD21&lt;1,($AD21&gt;Lists!G$22)*($AD21&lt;=Lists!G$21),MAX(0,MIN(Lists!G$21,$AE21)-MAX(Lists!G$22,$AD21))/($AE21-$AD21))+N($D21)*IF($AG21-$AF21&lt;1,($AF21&gt;Lists!G$22)*($AF21&lt;=Lists!G$21),MAX(0,MIN(Lists!G$21,$AG21)-MAX(Lists!G$22,$AF21))/($AG21-$AF21))+N($E21)*IF($AI21-$AH21&lt;1,($AH21&gt;Lists!G$22)*($AH21&lt;=Lists!G$21),MAX(0,MIN(Lists!G$21,$AI21)-MAX(Lists!G$22,$AH21))/($AI21-$AH21))+N($F21)*IF($AK21-$AJ21&lt;1,($AJ21&gt;Lists!G$22)*($AJ21&lt;=Lists!G$21),MAX(0,MIN(Lists!G$21,$AK21)-MAX(Lists!G$22,$AJ21))/($AK21-$AJ21))+N($G21)*IF($AM21-$AL21&lt;1,($AL21&gt;Lists!G$22)*($AL21&lt;=Lists!G$21),MAX(0,MIN(Lists!G$21,$AM21)-MAX(Lists!G$22,$AL21))/($AM21-$AL21))))))))</f>
        <v>0</v>
      </c>
      <c r="R21" s="53" t="n">
        <f aca="false">IF($H21=0,0,IF($AP21="X",0,IF($AP21="S",$H21/$AO21*(MIN($AO21,MAX(0,INT((Lists!H$21-N($J21))/7)+1))-MIN($AO21,MAX(0,INT((Lists!H$22-N($J21))/7)+1))),IF($AP21="D",$H21*MAX(0,MIN(Lists!H$21,N($J21)+$AO21)-MAX(Lists!H$22,N($J21)))/$AO21,IF($AP21="M",$H21/$AO21*(IF(Lists!H$21&lt;$J21,0,MIN($AO21,(((YEAR(Lists!H$21)-YEAR($J21))*12+MONTH(Lists!H$21)-MONTH($J21))-(EDATE($J21,((YEAR(Lists!H$21)-YEAR($J21))*12+MONTH(Lists!H$21)-MONTH($J21)))&gt;Lists!H$21)+1)))-IF(Lists!H$22&lt;$J21,0,MIN($AO21,(((YEAR(Lists!H$22)-YEAR($J21))*12+MONTH(Lists!H$22)-MONTH($J21))-(EDATE($J21,((YEAR(Lists!H$22)-YEAR($J21))*12+MONTH(Lists!H$22)-MONTH($J21)))&gt;Lists!H$22)+1)))),IF($AP21="F",IF(N($K21)&lt;=0,0,MIN(MAX(0,$H21),N($K21)*IF(Lists!H$21&lt;$J21,0,(((YEAR(Lists!H$21)-YEAR($J21))*12+MONTH(Lists!H$21)-MONTH($J21))-(EDATE($J21,((YEAR(Lists!H$21)-YEAR($J21))*12+MONTH(Lists!H$21)-MONTH($J21)))&gt;Lists!H$21)+1)))-MIN(MAX(0,$H21),N($K21)*IF(Lists!H$22&lt;$J21,0,(((YEAR(Lists!H$22)-YEAR($J21))*12+MONTH(Lists!H$22)-MONTH($J21))-(EDATE($J21,((YEAR(Lists!H$22)-YEAR($J21))*12+MONTH(Lists!H$22)-MONTH($J21)))&gt;Lists!H$22)+1)))),N($C21)*IF($AE21-$AD21&lt;1,($AD21&gt;Lists!H$22)*($AD21&lt;=Lists!H$21),MAX(0,MIN(Lists!H$21,$AE21)-MAX(Lists!H$22,$AD21))/($AE21-$AD21))+N($D21)*IF($AG21-$AF21&lt;1,($AF21&gt;Lists!H$22)*($AF21&lt;=Lists!H$21),MAX(0,MIN(Lists!H$21,$AG21)-MAX(Lists!H$22,$AF21))/($AG21-$AF21))+N($E21)*IF($AI21-$AH21&lt;1,($AH21&gt;Lists!H$22)*($AH21&lt;=Lists!H$21),MAX(0,MIN(Lists!H$21,$AI21)-MAX(Lists!H$22,$AH21))/($AI21-$AH21))+N($F21)*IF($AK21-$AJ21&lt;1,($AJ21&gt;Lists!H$22)*($AJ21&lt;=Lists!H$21),MAX(0,MIN(Lists!H$21,$AK21)-MAX(Lists!H$22,$AJ21))/($AK21-$AJ21))+N($G21)*IF($AM21-$AL21&lt;1,($AL21&gt;Lists!H$22)*($AL21&lt;=Lists!H$21),MAX(0,MIN(Lists!H$21,$AM21)-MAX(Lists!H$22,$AL21))/($AM21-$AL21))))))))</f>
        <v>0</v>
      </c>
      <c r="S21" s="53" t="n">
        <f aca="false">IF($H21=0,0,IF($AP21="X",0,IF($AP21="S",$H21/$AO21*(MIN($AO21,MAX(0,INT((Lists!I$21-N($J21))/7)+1))-MIN($AO21,MAX(0,INT((Lists!I$22-N($J21))/7)+1))),IF($AP21="D",$H21*MAX(0,MIN(Lists!I$21,N($J21)+$AO21)-MAX(Lists!I$22,N($J21)))/$AO21,IF($AP21="M",$H21/$AO21*(IF(Lists!I$21&lt;$J21,0,MIN($AO21,(((YEAR(Lists!I$21)-YEAR($J21))*12+MONTH(Lists!I$21)-MONTH($J21))-(EDATE($J21,((YEAR(Lists!I$21)-YEAR($J21))*12+MONTH(Lists!I$21)-MONTH($J21)))&gt;Lists!I$21)+1)))-IF(Lists!I$22&lt;$J21,0,MIN($AO21,(((YEAR(Lists!I$22)-YEAR($J21))*12+MONTH(Lists!I$22)-MONTH($J21))-(EDATE($J21,((YEAR(Lists!I$22)-YEAR($J21))*12+MONTH(Lists!I$22)-MONTH($J21)))&gt;Lists!I$22)+1)))),IF($AP21="F",IF(N($K21)&lt;=0,0,MIN(MAX(0,$H21),N($K21)*IF(Lists!I$21&lt;$J21,0,(((YEAR(Lists!I$21)-YEAR($J21))*12+MONTH(Lists!I$21)-MONTH($J21))-(EDATE($J21,((YEAR(Lists!I$21)-YEAR($J21))*12+MONTH(Lists!I$21)-MONTH($J21)))&gt;Lists!I$21)+1)))-MIN(MAX(0,$H21),N($K21)*IF(Lists!I$22&lt;$J21,0,(((YEAR(Lists!I$22)-YEAR($J21))*12+MONTH(Lists!I$22)-MONTH($J21))-(EDATE($J21,((YEAR(Lists!I$22)-YEAR($J21))*12+MONTH(Lists!I$22)-MONTH($J21)))&gt;Lists!I$22)+1)))),N($C21)*IF($AE21-$AD21&lt;1,($AD21&gt;Lists!I$22)*($AD21&lt;=Lists!I$21),MAX(0,MIN(Lists!I$21,$AE21)-MAX(Lists!I$22,$AD21))/($AE21-$AD21))+N($D21)*IF($AG21-$AF21&lt;1,($AF21&gt;Lists!I$22)*($AF21&lt;=Lists!I$21),MAX(0,MIN(Lists!I$21,$AG21)-MAX(Lists!I$22,$AF21))/($AG21-$AF21))+N($E21)*IF($AI21-$AH21&lt;1,($AH21&gt;Lists!I$22)*($AH21&lt;=Lists!I$21),MAX(0,MIN(Lists!I$21,$AI21)-MAX(Lists!I$22,$AH21))/($AI21-$AH21))+N($F21)*IF($AK21-$AJ21&lt;1,($AJ21&gt;Lists!I$22)*($AJ21&lt;=Lists!I$21),MAX(0,MIN(Lists!I$21,$AK21)-MAX(Lists!I$22,$AJ21))/($AK21-$AJ21))+N($G21)*IF($AM21-$AL21&lt;1,($AL21&gt;Lists!I$22)*($AL21&lt;=Lists!I$21),MAX(0,MIN(Lists!I$21,$AM21)-MAX(Lists!I$22,$AL21))/($AM21-$AL21))))))))</f>
        <v>0</v>
      </c>
      <c r="T21" s="53" t="n">
        <f aca="false">IF($H21=0,0,IF($AP21="X",0,IF($AP21="S",$H21/$AO21*(MIN($AO21,MAX(0,INT((Lists!J$21-N($J21))/7)+1))-MIN($AO21,MAX(0,INT((Lists!J$22-N($J21))/7)+1))),IF($AP21="D",$H21*MAX(0,MIN(Lists!J$21,N($J21)+$AO21)-MAX(Lists!J$22,N($J21)))/$AO21,IF($AP21="M",$H21/$AO21*(IF(Lists!J$21&lt;$J21,0,MIN($AO21,(((YEAR(Lists!J$21)-YEAR($J21))*12+MONTH(Lists!J$21)-MONTH($J21))-(EDATE($J21,((YEAR(Lists!J$21)-YEAR($J21))*12+MONTH(Lists!J$21)-MONTH($J21)))&gt;Lists!J$21)+1)))-IF(Lists!J$22&lt;$J21,0,MIN($AO21,(((YEAR(Lists!J$22)-YEAR($J21))*12+MONTH(Lists!J$22)-MONTH($J21))-(EDATE($J21,((YEAR(Lists!J$22)-YEAR($J21))*12+MONTH(Lists!J$22)-MONTH($J21)))&gt;Lists!J$22)+1)))),IF($AP21="F",IF(N($K21)&lt;=0,0,MIN(MAX(0,$H21),N($K21)*IF(Lists!J$21&lt;$J21,0,(((YEAR(Lists!J$21)-YEAR($J21))*12+MONTH(Lists!J$21)-MONTH($J21))-(EDATE($J21,((YEAR(Lists!J$21)-YEAR($J21))*12+MONTH(Lists!J$21)-MONTH($J21)))&gt;Lists!J$21)+1)))-MIN(MAX(0,$H21),N($K21)*IF(Lists!J$22&lt;$J21,0,(((YEAR(Lists!J$22)-YEAR($J21))*12+MONTH(Lists!J$22)-MONTH($J21))-(EDATE($J21,((YEAR(Lists!J$22)-YEAR($J21))*12+MONTH(Lists!J$22)-MONTH($J21)))&gt;Lists!J$22)+1)))),N($C21)*IF($AE21-$AD21&lt;1,($AD21&gt;Lists!J$22)*($AD21&lt;=Lists!J$21),MAX(0,MIN(Lists!J$21,$AE21)-MAX(Lists!J$22,$AD21))/($AE21-$AD21))+N($D21)*IF($AG21-$AF21&lt;1,($AF21&gt;Lists!J$22)*($AF21&lt;=Lists!J$21),MAX(0,MIN(Lists!J$21,$AG21)-MAX(Lists!J$22,$AF21))/($AG21-$AF21))+N($E21)*IF($AI21-$AH21&lt;1,($AH21&gt;Lists!J$22)*($AH21&lt;=Lists!J$21),MAX(0,MIN(Lists!J$21,$AI21)-MAX(Lists!J$22,$AH21))/($AI21-$AH21))+N($F21)*IF($AK21-$AJ21&lt;1,($AJ21&gt;Lists!J$22)*($AJ21&lt;=Lists!J$21),MAX(0,MIN(Lists!J$21,$AK21)-MAX(Lists!J$22,$AJ21))/($AK21-$AJ21))+N($G21)*IF($AM21-$AL21&lt;1,($AL21&gt;Lists!J$22)*($AL21&lt;=Lists!J$21),MAX(0,MIN(Lists!J$21,$AM21)-MAX(Lists!J$22,$AL21))/($AM21-$AL21))))))))</f>
        <v>0</v>
      </c>
      <c r="U21" s="53" t="n">
        <f aca="false">IF($H21=0,0,IF($AP21="X",0,IF($AP21="S",$H21/$AO21*(MIN($AO21,MAX(0,INT((Lists!K$21-N($J21))/7)+1))-MIN($AO21,MAX(0,INT((Lists!K$22-N($J21))/7)+1))),IF($AP21="D",$H21*MAX(0,MIN(Lists!K$21,N($J21)+$AO21)-MAX(Lists!K$22,N($J21)))/$AO21,IF($AP21="M",$H21/$AO21*(IF(Lists!K$21&lt;$J21,0,MIN($AO21,(((YEAR(Lists!K$21)-YEAR($J21))*12+MONTH(Lists!K$21)-MONTH($J21))-(EDATE($J21,((YEAR(Lists!K$21)-YEAR($J21))*12+MONTH(Lists!K$21)-MONTH($J21)))&gt;Lists!K$21)+1)))-IF(Lists!K$22&lt;$J21,0,MIN($AO21,(((YEAR(Lists!K$22)-YEAR($J21))*12+MONTH(Lists!K$22)-MONTH($J21))-(EDATE($J21,((YEAR(Lists!K$22)-YEAR($J21))*12+MONTH(Lists!K$22)-MONTH($J21)))&gt;Lists!K$22)+1)))),IF($AP21="F",IF(N($K21)&lt;=0,0,MIN(MAX(0,$H21),N($K21)*IF(Lists!K$21&lt;$J21,0,(((YEAR(Lists!K$21)-YEAR($J21))*12+MONTH(Lists!K$21)-MONTH($J21))-(EDATE($J21,((YEAR(Lists!K$21)-YEAR($J21))*12+MONTH(Lists!K$21)-MONTH($J21)))&gt;Lists!K$21)+1)))-MIN(MAX(0,$H21),N($K21)*IF(Lists!K$22&lt;$J21,0,(((YEAR(Lists!K$22)-YEAR($J21))*12+MONTH(Lists!K$22)-MONTH($J21))-(EDATE($J21,((YEAR(Lists!K$22)-YEAR($J21))*12+MONTH(Lists!K$22)-MONTH($J21)))&gt;Lists!K$22)+1)))),N($C21)*IF($AE21-$AD21&lt;1,($AD21&gt;Lists!K$22)*($AD21&lt;=Lists!K$21),MAX(0,MIN(Lists!K$21,$AE21)-MAX(Lists!K$22,$AD21))/($AE21-$AD21))+N($D21)*IF($AG21-$AF21&lt;1,($AF21&gt;Lists!K$22)*($AF21&lt;=Lists!K$21),MAX(0,MIN(Lists!K$21,$AG21)-MAX(Lists!K$22,$AF21))/($AG21-$AF21))+N($E21)*IF($AI21-$AH21&lt;1,($AH21&gt;Lists!K$22)*($AH21&lt;=Lists!K$21),MAX(0,MIN(Lists!K$21,$AI21)-MAX(Lists!K$22,$AH21))/($AI21-$AH21))+N($F21)*IF($AK21-$AJ21&lt;1,($AJ21&gt;Lists!K$22)*($AJ21&lt;=Lists!K$21),MAX(0,MIN(Lists!K$21,$AK21)-MAX(Lists!K$22,$AJ21))/($AK21-$AJ21))+N($G21)*IF($AM21-$AL21&lt;1,($AL21&gt;Lists!K$22)*($AL21&lt;=Lists!K$21),MAX(0,MIN(Lists!K$21,$AM21)-MAX(Lists!K$22,$AL21))/($AM21-$AL21))))))))</f>
        <v>0</v>
      </c>
      <c r="V21" s="53" t="n">
        <f aca="false">IF($H21=0,0,IF($AP21="X",0,IF($AP21="S",$H21/$AO21*(MIN($AO21,MAX(0,INT((Lists!L$21-N($J21))/7)+1))-MIN($AO21,MAX(0,INT((Lists!L$22-N($J21))/7)+1))),IF($AP21="D",$H21*MAX(0,MIN(Lists!L$21,N($J21)+$AO21)-MAX(Lists!L$22,N($J21)))/$AO21,IF($AP21="M",$H21/$AO21*(IF(Lists!L$21&lt;$J21,0,MIN($AO21,(((YEAR(Lists!L$21)-YEAR($J21))*12+MONTH(Lists!L$21)-MONTH($J21))-(EDATE($J21,((YEAR(Lists!L$21)-YEAR($J21))*12+MONTH(Lists!L$21)-MONTH($J21)))&gt;Lists!L$21)+1)))-IF(Lists!L$22&lt;$J21,0,MIN($AO21,(((YEAR(Lists!L$22)-YEAR($J21))*12+MONTH(Lists!L$22)-MONTH($J21))-(EDATE($J21,((YEAR(Lists!L$22)-YEAR($J21))*12+MONTH(Lists!L$22)-MONTH($J21)))&gt;Lists!L$22)+1)))),IF($AP21="F",IF(N($K21)&lt;=0,0,MIN(MAX(0,$H21),N($K21)*IF(Lists!L$21&lt;$J21,0,(((YEAR(Lists!L$21)-YEAR($J21))*12+MONTH(Lists!L$21)-MONTH($J21))-(EDATE($J21,((YEAR(Lists!L$21)-YEAR($J21))*12+MONTH(Lists!L$21)-MONTH($J21)))&gt;Lists!L$21)+1)))-MIN(MAX(0,$H21),N($K21)*IF(Lists!L$22&lt;$J21,0,(((YEAR(Lists!L$22)-YEAR($J21))*12+MONTH(Lists!L$22)-MONTH($J21))-(EDATE($J21,((YEAR(Lists!L$22)-YEAR($J21))*12+MONTH(Lists!L$22)-MONTH($J21)))&gt;Lists!L$22)+1)))),N($C21)*IF($AE21-$AD21&lt;1,($AD21&gt;Lists!L$22)*($AD21&lt;=Lists!L$21),MAX(0,MIN(Lists!L$21,$AE21)-MAX(Lists!L$22,$AD21))/($AE21-$AD21))+N($D21)*IF($AG21-$AF21&lt;1,($AF21&gt;Lists!L$22)*($AF21&lt;=Lists!L$21),MAX(0,MIN(Lists!L$21,$AG21)-MAX(Lists!L$22,$AF21))/($AG21-$AF21))+N($E21)*IF($AI21-$AH21&lt;1,($AH21&gt;Lists!L$22)*($AH21&lt;=Lists!L$21),MAX(0,MIN(Lists!L$21,$AI21)-MAX(Lists!L$22,$AH21))/($AI21-$AH21))+N($F21)*IF($AK21-$AJ21&lt;1,($AJ21&gt;Lists!L$22)*($AJ21&lt;=Lists!L$21),MAX(0,MIN(Lists!L$21,$AK21)-MAX(Lists!L$22,$AJ21))/($AK21-$AJ21))+N($G21)*IF($AM21-$AL21&lt;1,($AL21&gt;Lists!L$22)*($AL21&lt;=Lists!L$21),MAX(0,MIN(Lists!L$21,$AM21)-MAX(Lists!L$22,$AL21))/($AM21-$AL21))))))))</f>
        <v>0</v>
      </c>
      <c r="W21" s="53" t="n">
        <f aca="false">IF($H21=0,0,IF($AP21="X",0,IF($AP21="S",$H21/$AO21*(MIN($AO21,MAX(0,INT((Lists!M$21-N($J21))/7)+1))-MIN($AO21,MAX(0,INT((Lists!M$22-N($J21))/7)+1))),IF($AP21="D",$H21*MAX(0,MIN(Lists!M$21,N($J21)+$AO21)-MAX(Lists!M$22,N($J21)))/$AO21,IF($AP21="M",$H21/$AO21*(IF(Lists!M$21&lt;$J21,0,MIN($AO21,(((YEAR(Lists!M$21)-YEAR($J21))*12+MONTH(Lists!M$21)-MONTH($J21))-(EDATE($J21,((YEAR(Lists!M$21)-YEAR($J21))*12+MONTH(Lists!M$21)-MONTH($J21)))&gt;Lists!M$21)+1)))-IF(Lists!M$22&lt;$J21,0,MIN($AO21,(((YEAR(Lists!M$22)-YEAR($J21))*12+MONTH(Lists!M$22)-MONTH($J21))-(EDATE($J21,((YEAR(Lists!M$22)-YEAR($J21))*12+MONTH(Lists!M$22)-MONTH($J21)))&gt;Lists!M$22)+1)))),IF($AP21="F",IF(N($K21)&lt;=0,0,MIN(MAX(0,$H21),N($K21)*IF(Lists!M$21&lt;$J21,0,(((YEAR(Lists!M$21)-YEAR($J21))*12+MONTH(Lists!M$21)-MONTH($J21))-(EDATE($J21,((YEAR(Lists!M$21)-YEAR($J21))*12+MONTH(Lists!M$21)-MONTH($J21)))&gt;Lists!M$21)+1)))-MIN(MAX(0,$H21),N($K21)*IF(Lists!M$22&lt;$J21,0,(((YEAR(Lists!M$22)-YEAR($J21))*12+MONTH(Lists!M$22)-MONTH($J21))-(EDATE($J21,((YEAR(Lists!M$22)-YEAR($J21))*12+MONTH(Lists!M$22)-MONTH($J21)))&gt;Lists!M$22)+1)))),N($C21)*IF($AE21-$AD21&lt;1,($AD21&gt;Lists!M$22)*($AD21&lt;=Lists!M$21),MAX(0,MIN(Lists!M$21,$AE21)-MAX(Lists!M$22,$AD21))/($AE21-$AD21))+N($D21)*IF($AG21-$AF21&lt;1,($AF21&gt;Lists!M$22)*($AF21&lt;=Lists!M$21),MAX(0,MIN(Lists!M$21,$AG21)-MAX(Lists!M$22,$AF21))/($AG21-$AF21))+N($E21)*IF($AI21-$AH21&lt;1,($AH21&gt;Lists!M$22)*($AH21&lt;=Lists!M$21),MAX(0,MIN(Lists!M$21,$AI21)-MAX(Lists!M$22,$AH21))/($AI21-$AH21))+N($F21)*IF($AK21-$AJ21&lt;1,($AJ21&gt;Lists!M$22)*($AJ21&lt;=Lists!M$21),MAX(0,MIN(Lists!M$21,$AK21)-MAX(Lists!M$22,$AJ21))/($AK21-$AJ21))+N($G21)*IF($AM21-$AL21&lt;1,($AL21&gt;Lists!M$22)*($AL21&lt;=Lists!M$21),MAX(0,MIN(Lists!M$21,$AM21)-MAX(Lists!M$22,$AL21))/($AM21-$AL21))))))))</f>
        <v>0</v>
      </c>
      <c r="X21" s="53" t="n">
        <f aca="false">IF($H21=0,0,IF($AP21="X",0,IF($AP21="S",$H21/$AO21*(MIN($AO21,MAX(0,INT((Lists!N$21-N($J21))/7)+1))-MIN($AO21,MAX(0,INT((Lists!N$22-N($J21))/7)+1))),IF($AP21="D",$H21*MAX(0,MIN(Lists!N$21,N($J21)+$AO21)-MAX(Lists!N$22,N($J21)))/$AO21,IF($AP21="M",$H21/$AO21*(IF(Lists!N$21&lt;$J21,0,MIN($AO21,(((YEAR(Lists!N$21)-YEAR($J21))*12+MONTH(Lists!N$21)-MONTH($J21))-(EDATE($J21,((YEAR(Lists!N$21)-YEAR($J21))*12+MONTH(Lists!N$21)-MONTH($J21)))&gt;Lists!N$21)+1)))-IF(Lists!N$22&lt;$J21,0,MIN($AO21,(((YEAR(Lists!N$22)-YEAR($J21))*12+MONTH(Lists!N$22)-MONTH($J21))-(EDATE($J21,((YEAR(Lists!N$22)-YEAR($J21))*12+MONTH(Lists!N$22)-MONTH($J21)))&gt;Lists!N$22)+1)))),IF($AP21="F",IF(N($K21)&lt;=0,0,MIN(MAX(0,$H21),N($K21)*IF(Lists!N$21&lt;$J21,0,(((YEAR(Lists!N$21)-YEAR($J21))*12+MONTH(Lists!N$21)-MONTH($J21))-(EDATE($J21,((YEAR(Lists!N$21)-YEAR($J21))*12+MONTH(Lists!N$21)-MONTH($J21)))&gt;Lists!N$21)+1)))-MIN(MAX(0,$H21),N($K21)*IF(Lists!N$22&lt;$J21,0,(((YEAR(Lists!N$22)-YEAR($J21))*12+MONTH(Lists!N$22)-MONTH($J21))-(EDATE($J21,((YEAR(Lists!N$22)-YEAR($J21))*12+MONTH(Lists!N$22)-MONTH($J21)))&gt;Lists!N$22)+1)))),N($C21)*IF($AE21-$AD21&lt;1,($AD21&gt;Lists!N$22)*($AD21&lt;=Lists!N$21),MAX(0,MIN(Lists!N$21,$AE21)-MAX(Lists!N$22,$AD21))/($AE21-$AD21))+N($D21)*IF($AG21-$AF21&lt;1,($AF21&gt;Lists!N$22)*($AF21&lt;=Lists!N$21),MAX(0,MIN(Lists!N$21,$AG21)-MAX(Lists!N$22,$AF21))/($AG21-$AF21))+N($E21)*IF($AI21-$AH21&lt;1,($AH21&gt;Lists!N$22)*($AH21&lt;=Lists!N$21),MAX(0,MIN(Lists!N$21,$AI21)-MAX(Lists!N$22,$AH21))/($AI21-$AH21))+N($F21)*IF($AK21-$AJ21&lt;1,($AJ21&gt;Lists!N$22)*($AJ21&lt;=Lists!N$21),MAX(0,MIN(Lists!N$21,$AK21)-MAX(Lists!N$22,$AJ21))/($AK21-$AJ21))+N($G21)*IF($AM21-$AL21&lt;1,($AL21&gt;Lists!N$22)*($AL21&lt;=Lists!N$21),MAX(0,MIN(Lists!N$21,$AM21)-MAX(Lists!N$22,$AL21))/($AM21-$AL21))))))))</f>
        <v>0</v>
      </c>
      <c r="Y21" s="53" t="n">
        <f aca="false">IF($H21=0,0,IF($AP21="X",0,IF($AP21="S",$H21/$AO21*(MIN($AO21,MAX(0,INT((Lists!O$21-N($J21))/7)+1))-MIN($AO21,MAX(0,INT((Lists!O$22-N($J21))/7)+1))),IF($AP21="D",$H21*MAX(0,MIN(Lists!O$21,N($J21)+$AO21)-MAX(Lists!O$22,N($J21)))/$AO21,IF($AP21="M",$H21/$AO21*(IF(Lists!O$21&lt;$J21,0,MIN($AO21,(((YEAR(Lists!O$21)-YEAR($J21))*12+MONTH(Lists!O$21)-MONTH($J21))-(EDATE($J21,((YEAR(Lists!O$21)-YEAR($J21))*12+MONTH(Lists!O$21)-MONTH($J21)))&gt;Lists!O$21)+1)))-IF(Lists!O$22&lt;$J21,0,MIN($AO21,(((YEAR(Lists!O$22)-YEAR($J21))*12+MONTH(Lists!O$22)-MONTH($J21))-(EDATE($J21,((YEAR(Lists!O$22)-YEAR($J21))*12+MONTH(Lists!O$22)-MONTH($J21)))&gt;Lists!O$22)+1)))),IF($AP21="F",IF(N($K21)&lt;=0,0,MIN(MAX(0,$H21),N($K21)*IF(Lists!O$21&lt;$J21,0,(((YEAR(Lists!O$21)-YEAR($J21))*12+MONTH(Lists!O$21)-MONTH($J21))-(EDATE($J21,((YEAR(Lists!O$21)-YEAR($J21))*12+MONTH(Lists!O$21)-MONTH($J21)))&gt;Lists!O$21)+1)))-MIN(MAX(0,$H21),N($K21)*IF(Lists!O$22&lt;$J21,0,(((YEAR(Lists!O$22)-YEAR($J21))*12+MONTH(Lists!O$22)-MONTH($J21))-(EDATE($J21,((YEAR(Lists!O$22)-YEAR($J21))*12+MONTH(Lists!O$22)-MONTH($J21)))&gt;Lists!O$22)+1)))),N($C21)*IF($AE21-$AD21&lt;1,($AD21&gt;Lists!O$22)*($AD21&lt;=Lists!O$21),MAX(0,MIN(Lists!O$21,$AE21)-MAX(Lists!O$22,$AD21))/($AE21-$AD21))+N($D21)*IF($AG21-$AF21&lt;1,($AF21&gt;Lists!O$22)*($AF21&lt;=Lists!O$21),MAX(0,MIN(Lists!O$21,$AG21)-MAX(Lists!O$22,$AF21))/($AG21-$AF21))+N($E21)*IF($AI21-$AH21&lt;1,($AH21&gt;Lists!O$22)*($AH21&lt;=Lists!O$21),MAX(0,MIN(Lists!O$21,$AI21)-MAX(Lists!O$22,$AH21))/($AI21-$AH21))+N($F21)*IF($AK21-$AJ21&lt;1,($AJ21&gt;Lists!O$22)*($AJ21&lt;=Lists!O$21),MAX(0,MIN(Lists!O$21,$AK21)-MAX(Lists!O$22,$AJ21))/($AK21-$AJ21))+N($G21)*IF($AM21-$AL21&lt;1,($AL21&gt;Lists!O$22)*($AL21&lt;=Lists!O$21),MAX(0,MIN(Lists!O$21,$AM21)-MAX(Lists!O$22,$AL21))/($AM21-$AL21))))))))</f>
        <v>0</v>
      </c>
      <c r="Z21" s="46" t="n">
        <f aca="false">SUM(M21:Y21)</f>
        <v>0</v>
      </c>
      <c r="AA21" s="92" t="n">
        <f aca="false">H21-Z21</f>
        <v>0</v>
      </c>
      <c r="AB21" s="55"/>
      <c r="AC21" s="2"/>
      <c r="AD21" s="93" t="n">
        <f aca="false">Setup!$D$10+MAX(0,$AN21-30)</f>
        <v>46345</v>
      </c>
      <c r="AE21" s="93" t="n">
        <f aca="false">Setup!$D$10+IF($AN21-30&lt;0,MAX(Setup!$D$22,$AN21-0),$AN21-0)</f>
        <v>46375</v>
      </c>
      <c r="AF21" s="93" t="n">
        <f aca="false">Setup!$D$10+MAX(0,$AN21-60)</f>
        <v>46335</v>
      </c>
      <c r="AG21" s="93" t="n">
        <f aca="false">Setup!$D$10+IF($AN21-60&lt;0,MAX(Setup!$D$22,$AN21-31),$AN21-31)</f>
        <v>46363</v>
      </c>
      <c r="AH21" s="93" t="n">
        <f aca="false">Setup!$D$10+MAX(0,$AN21-90)</f>
        <v>46335</v>
      </c>
      <c r="AI21" s="93" t="n">
        <f aca="false">Setup!$D$10+IF($AN21-90&lt;0,MAX(Setup!$D$22,$AN21-61),$AN21-61)</f>
        <v>46363</v>
      </c>
      <c r="AJ21" s="93" t="n">
        <f aca="false">Setup!$D$10+MAX(0,$AN21-120)</f>
        <v>46335</v>
      </c>
      <c r="AK21" s="93" t="n">
        <f aca="false">Setup!$D$10+IF($AN21-120&lt;0,MAX(Setup!$D$22,$AN21-91),$AN21-91)</f>
        <v>46363</v>
      </c>
      <c r="AL21" s="93" t="n">
        <f aca="false">Setup!$D$10</f>
        <v>46335</v>
      </c>
      <c r="AM21" s="93" t="n">
        <f aca="false">IF(AL21=2958465,AL21,Setup!$D$10+Setup!$D$22)</f>
        <v>46363</v>
      </c>
      <c r="AN21" s="94" t="n">
        <f aca="false">IF(N(L21)=0,Setup!$D$21,L21)</f>
        <v>40</v>
      </c>
      <c r="AO21" s="94" t="n">
        <f aca="false">MAX(1,ROUND(N(K21),0))</f>
        <v>1</v>
      </c>
      <c r="AP21" s="95" t="str">
        <f aca="false">IF(I21="On hold","X",IF(N(J21)=0,"A",IF(I21="Specific date","S",IF(I21="Spread over days","D",IF(I21="Monthly on set day","M",IF(I21="Monthly fixed amount","F","A"))))))</f>
        <v>A</v>
      </c>
    </row>
    <row r="22" customFormat="false" ht="15" hidden="false" customHeight="false" outlineLevel="0" collapsed="false">
      <c r="A22" s="87" t="n">
        <v>14</v>
      </c>
      <c r="B22" s="55"/>
      <c r="C22" s="88"/>
      <c r="D22" s="88"/>
      <c r="E22" s="88"/>
      <c r="F22" s="88"/>
      <c r="G22" s="88"/>
      <c r="H22" s="89" t="n">
        <f aca="false">SUM(C22:G22)</f>
        <v>0</v>
      </c>
      <c r="I22" s="58"/>
      <c r="J22" s="90"/>
      <c r="K22" s="91"/>
      <c r="L22" s="80"/>
      <c r="M22" s="53" t="n">
        <f aca="false">IF($H22=0,0,IF($AP22="X",0,IF($AP22="S",$H22/$AO22*(MIN($AO22,MAX(0,INT((Lists!C$21-N($J22))/7)+1))-MIN($AO22,MAX(0,INT((Lists!C$22-N($J22))/7)+1))),IF($AP22="D",$H22*MAX(0,MIN(Lists!C$21,N($J22)+$AO22)-MAX(Lists!C$22,N($J22)))/$AO22,IF($AP22="M",$H22/$AO22*(IF(Lists!C$21&lt;$J22,0,MIN($AO22,(((YEAR(Lists!C$21)-YEAR($J22))*12+MONTH(Lists!C$21)-MONTH($J22))-(EDATE($J22,((YEAR(Lists!C$21)-YEAR($J22))*12+MONTH(Lists!C$21)-MONTH($J22)))&gt;Lists!C$21)+1)))-IF(Lists!C$22&lt;$J22,0,MIN($AO22,(((YEAR(Lists!C$22)-YEAR($J22))*12+MONTH(Lists!C$22)-MONTH($J22))-(EDATE($J22,((YEAR(Lists!C$22)-YEAR($J22))*12+MONTH(Lists!C$22)-MONTH($J22)))&gt;Lists!C$22)+1)))),IF($AP22="F",IF(N($K22)&lt;=0,0,MIN(MAX(0,$H22),N($K22)*IF(Lists!C$21&lt;$J22,0,(((YEAR(Lists!C$21)-YEAR($J22))*12+MONTH(Lists!C$21)-MONTH($J22))-(EDATE($J22,((YEAR(Lists!C$21)-YEAR($J22))*12+MONTH(Lists!C$21)-MONTH($J22)))&gt;Lists!C$21)+1)))-MIN(MAX(0,$H22),N($K22)*IF(Lists!C$22&lt;$J22,0,(((YEAR(Lists!C$22)-YEAR($J22))*12+MONTH(Lists!C$22)-MONTH($J22))-(EDATE($J22,((YEAR(Lists!C$22)-YEAR($J22))*12+MONTH(Lists!C$22)-MONTH($J22)))&gt;Lists!C$22)+1)))),N($C22)*IF($AE22-$AD22&lt;1,($AD22&gt;Lists!C$22)*($AD22&lt;=Lists!C$21),MAX(0,MIN(Lists!C$21,$AE22)-MAX(Lists!C$22,$AD22))/($AE22-$AD22))+N($D22)*IF($AG22-$AF22&lt;1,($AF22&gt;Lists!C$22)*($AF22&lt;=Lists!C$21),MAX(0,MIN(Lists!C$21,$AG22)-MAX(Lists!C$22,$AF22))/($AG22-$AF22))+N($E22)*IF($AI22-$AH22&lt;1,($AH22&gt;Lists!C$22)*($AH22&lt;=Lists!C$21),MAX(0,MIN(Lists!C$21,$AI22)-MAX(Lists!C$22,$AH22))/($AI22-$AH22))+N($F22)*IF($AK22-$AJ22&lt;1,($AJ22&gt;Lists!C$22)*($AJ22&lt;=Lists!C$21),MAX(0,MIN(Lists!C$21,$AK22)-MAX(Lists!C$22,$AJ22))/($AK22-$AJ22))+N($G22)*IF($AM22-$AL22&lt;1,($AL22&gt;Lists!C$22)*($AL22&lt;=Lists!C$21),MAX(0,MIN(Lists!C$21,$AM22)-MAX(Lists!C$22,$AL22))/($AM22-$AL22))))))))</f>
        <v>0</v>
      </c>
      <c r="N22" s="53" t="n">
        <f aca="false">IF($H22=0,0,IF($AP22="X",0,IF($AP22="S",$H22/$AO22*(MIN($AO22,MAX(0,INT((Lists!D$21-N($J22))/7)+1))-MIN($AO22,MAX(0,INT((Lists!D$22-N($J22))/7)+1))),IF($AP22="D",$H22*MAX(0,MIN(Lists!D$21,N($J22)+$AO22)-MAX(Lists!D$22,N($J22)))/$AO22,IF($AP22="M",$H22/$AO22*(IF(Lists!D$21&lt;$J22,0,MIN($AO22,(((YEAR(Lists!D$21)-YEAR($J22))*12+MONTH(Lists!D$21)-MONTH($J22))-(EDATE($J22,((YEAR(Lists!D$21)-YEAR($J22))*12+MONTH(Lists!D$21)-MONTH($J22)))&gt;Lists!D$21)+1)))-IF(Lists!D$22&lt;$J22,0,MIN($AO22,(((YEAR(Lists!D$22)-YEAR($J22))*12+MONTH(Lists!D$22)-MONTH($J22))-(EDATE($J22,((YEAR(Lists!D$22)-YEAR($J22))*12+MONTH(Lists!D$22)-MONTH($J22)))&gt;Lists!D$22)+1)))),IF($AP22="F",IF(N($K22)&lt;=0,0,MIN(MAX(0,$H22),N($K22)*IF(Lists!D$21&lt;$J22,0,(((YEAR(Lists!D$21)-YEAR($J22))*12+MONTH(Lists!D$21)-MONTH($J22))-(EDATE($J22,((YEAR(Lists!D$21)-YEAR($J22))*12+MONTH(Lists!D$21)-MONTH($J22)))&gt;Lists!D$21)+1)))-MIN(MAX(0,$H22),N($K22)*IF(Lists!D$22&lt;$J22,0,(((YEAR(Lists!D$22)-YEAR($J22))*12+MONTH(Lists!D$22)-MONTH($J22))-(EDATE($J22,((YEAR(Lists!D$22)-YEAR($J22))*12+MONTH(Lists!D$22)-MONTH($J22)))&gt;Lists!D$22)+1)))),N($C22)*IF($AE22-$AD22&lt;1,($AD22&gt;Lists!D$22)*($AD22&lt;=Lists!D$21),MAX(0,MIN(Lists!D$21,$AE22)-MAX(Lists!D$22,$AD22))/($AE22-$AD22))+N($D22)*IF($AG22-$AF22&lt;1,($AF22&gt;Lists!D$22)*($AF22&lt;=Lists!D$21),MAX(0,MIN(Lists!D$21,$AG22)-MAX(Lists!D$22,$AF22))/($AG22-$AF22))+N($E22)*IF($AI22-$AH22&lt;1,($AH22&gt;Lists!D$22)*($AH22&lt;=Lists!D$21),MAX(0,MIN(Lists!D$21,$AI22)-MAX(Lists!D$22,$AH22))/($AI22-$AH22))+N($F22)*IF($AK22-$AJ22&lt;1,($AJ22&gt;Lists!D$22)*($AJ22&lt;=Lists!D$21),MAX(0,MIN(Lists!D$21,$AK22)-MAX(Lists!D$22,$AJ22))/($AK22-$AJ22))+N($G22)*IF($AM22-$AL22&lt;1,($AL22&gt;Lists!D$22)*($AL22&lt;=Lists!D$21),MAX(0,MIN(Lists!D$21,$AM22)-MAX(Lists!D$22,$AL22))/($AM22-$AL22))))))))</f>
        <v>0</v>
      </c>
      <c r="O22" s="53" t="n">
        <f aca="false">IF($H22=0,0,IF($AP22="X",0,IF($AP22="S",$H22/$AO22*(MIN($AO22,MAX(0,INT((Lists!E$21-N($J22))/7)+1))-MIN($AO22,MAX(0,INT((Lists!E$22-N($J22))/7)+1))),IF($AP22="D",$H22*MAX(0,MIN(Lists!E$21,N($J22)+$AO22)-MAX(Lists!E$22,N($J22)))/$AO22,IF($AP22="M",$H22/$AO22*(IF(Lists!E$21&lt;$J22,0,MIN($AO22,(((YEAR(Lists!E$21)-YEAR($J22))*12+MONTH(Lists!E$21)-MONTH($J22))-(EDATE($J22,((YEAR(Lists!E$21)-YEAR($J22))*12+MONTH(Lists!E$21)-MONTH($J22)))&gt;Lists!E$21)+1)))-IF(Lists!E$22&lt;$J22,0,MIN($AO22,(((YEAR(Lists!E$22)-YEAR($J22))*12+MONTH(Lists!E$22)-MONTH($J22))-(EDATE($J22,((YEAR(Lists!E$22)-YEAR($J22))*12+MONTH(Lists!E$22)-MONTH($J22)))&gt;Lists!E$22)+1)))),IF($AP22="F",IF(N($K22)&lt;=0,0,MIN(MAX(0,$H22),N($K22)*IF(Lists!E$21&lt;$J22,0,(((YEAR(Lists!E$21)-YEAR($J22))*12+MONTH(Lists!E$21)-MONTH($J22))-(EDATE($J22,((YEAR(Lists!E$21)-YEAR($J22))*12+MONTH(Lists!E$21)-MONTH($J22)))&gt;Lists!E$21)+1)))-MIN(MAX(0,$H22),N($K22)*IF(Lists!E$22&lt;$J22,0,(((YEAR(Lists!E$22)-YEAR($J22))*12+MONTH(Lists!E$22)-MONTH($J22))-(EDATE($J22,((YEAR(Lists!E$22)-YEAR($J22))*12+MONTH(Lists!E$22)-MONTH($J22)))&gt;Lists!E$22)+1)))),N($C22)*IF($AE22-$AD22&lt;1,($AD22&gt;Lists!E$22)*($AD22&lt;=Lists!E$21),MAX(0,MIN(Lists!E$21,$AE22)-MAX(Lists!E$22,$AD22))/($AE22-$AD22))+N($D22)*IF($AG22-$AF22&lt;1,($AF22&gt;Lists!E$22)*($AF22&lt;=Lists!E$21),MAX(0,MIN(Lists!E$21,$AG22)-MAX(Lists!E$22,$AF22))/($AG22-$AF22))+N($E22)*IF($AI22-$AH22&lt;1,($AH22&gt;Lists!E$22)*($AH22&lt;=Lists!E$21),MAX(0,MIN(Lists!E$21,$AI22)-MAX(Lists!E$22,$AH22))/($AI22-$AH22))+N($F22)*IF($AK22-$AJ22&lt;1,($AJ22&gt;Lists!E$22)*($AJ22&lt;=Lists!E$21),MAX(0,MIN(Lists!E$21,$AK22)-MAX(Lists!E$22,$AJ22))/($AK22-$AJ22))+N($G22)*IF($AM22-$AL22&lt;1,($AL22&gt;Lists!E$22)*($AL22&lt;=Lists!E$21),MAX(0,MIN(Lists!E$21,$AM22)-MAX(Lists!E$22,$AL22))/($AM22-$AL22))))))))</f>
        <v>0</v>
      </c>
      <c r="P22" s="53" t="n">
        <f aca="false">IF($H22=0,0,IF($AP22="X",0,IF($AP22="S",$H22/$AO22*(MIN($AO22,MAX(0,INT((Lists!F$21-N($J22))/7)+1))-MIN($AO22,MAX(0,INT((Lists!F$22-N($J22))/7)+1))),IF($AP22="D",$H22*MAX(0,MIN(Lists!F$21,N($J22)+$AO22)-MAX(Lists!F$22,N($J22)))/$AO22,IF($AP22="M",$H22/$AO22*(IF(Lists!F$21&lt;$J22,0,MIN($AO22,(((YEAR(Lists!F$21)-YEAR($J22))*12+MONTH(Lists!F$21)-MONTH($J22))-(EDATE($J22,((YEAR(Lists!F$21)-YEAR($J22))*12+MONTH(Lists!F$21)-MONTH($J22)))&gt;Lists!F$21)+1)))-IF(Lists!F$22&lt;$J22,0,MIN($AO22,(((YEAR(Lists!F$22)-YEAR($J22))*12+MONTH(Lists!F$22)-MONTH($J22))-(EDATE($J22,((YEAR(Lists!F$22)-YEAR($J22))*12+MONTH(Lists!F$22)-MONTH($J22)))&gt;Lists!F$22)+1)))),IF($AP22="F",IF(N($K22)&lt;=0,0,MIN(MAX(0,$H22),N($K22)*IF(Lists!F$21&lt;$J22,0,(((YEAR(Lists!F$21)-YEAR($J22))*12+MONTH(Lists!F$21)-MONTH($J22))-(EDATE($J22,((YEAR(Lists!F$21)-YEAR($J22))*12+MONTH(Lists!F$21)-MONTH($J22)))&gt;Lists!F$21)+1)))-MIN(MAX(0,$H22),N($K22)*IF(Lists!F$22&lt;$J22,0,(((YEAR(Lists!F$22)-YEAR($J22))*12+MONTH(Lists!F$22)-MONTH($J22))-(EDATE($J22,((YEAR(Lists!F$22)-YEAR($J22))*12+MONTH(Lists!F$22)-MONTH($J22)))&gt;Lists!F$22)+1)))),N($C22)*IF($AE22-$AD22&lt;1,($AD22&gt;Lists!F$22)*($AD22&lt;=Lists!F$21),MAX(0,MIN(Lists!F$21,$AE22)-MAX(Lists!F$22,$AD22))/($AE22-$AD22))+N($D22)*IF($AG22-$AF22&lt;1,($AF22&gt;Lists!F$22)*($AF22&lt;=Lists!F$21),MAX(0,MIN(Lists!F$21,$AG22)-MAX(Lists!F$22,$AF22))/($AG22-$AF22))+N($E22)*IF($AI22-$AH22&lt;1,($AH22&gt;Lists!F$22)*($AH22&lt;=Lists!F$21),MAX(0,MIN(Lists!F$21,$AI22)-MAX(Lists!F$22,$AH22))/($AI22-$AH22))+N($F22)*IF($AK22-$AJ22&lt;1,($AJ22&gt;Lists!F$22)*($AJ22&lt;=Lists!F$21),MAX(0,MIN(Lists!F$21,$AK22)-MAX(Lists!F$22,$AJ22))/($AK22-$AJ22))+N($G22)*IF($AM22-$AL22&lt;1,($AL22&gt;Lists!F$22)*($AL22&lt;=Lists!F$21),MAX(0,MIN(Lists!F$21,$AM22)-MAX(Lists!F$22,$AL22))/($AM22-$AL22))))))))</f>
        <v>0</v>
      </c>
      <c r="Q22" s="53" t="n">
        <f aca="false">IF($H22=0,0,IF($AP22="X",0,IF($AP22="S",$H22/$AO22*(MIN($AO22,MAX(0,INT((Lists!G$21-N($J22))/7)+1))-MIN($AO22,MAX(0,INT((Lists!G$22-N($J22))/7)+1))),IF($AP22="D",$H22*MAX(0,MIN(Lists!G$21,N($J22)+$AO22)-MAX(Lists!G$22,N($J22)))/$AO22,IF($AP22="M",$H22/$AO22*(IF(Lists!G$21&lt;$J22,0,MIN($AO22,(((YEAR(Lists!G$21)-YEAR($J22))*12+MONTH(Lists!G$21)-MONTH($J22))-(EDATE($J22,((YEAR(Lists!G$21)-YEAR($J22))*12+MONTH(Lists!G$21)-MONTH($J22)))&gt;Lists!G$21)+1)))-IF(Lists!G$22&lt;$J22,0,MIN($AO22,(((YEAR(Lists!G$22)-YEAR($J22))*12+MONTH(Lists!G$22)-MONTH($J22))-(EDATE($J22,((YEAR(Lists!G$22)-YEAR($J22))*12+MONTH(Lists!G$22)-MONTH($J22)))&gt;Lists!G$22)+1)))),IF($AP22="F",IF(N($K22)&lt;=0,0,MIN(MAX(0,$H22),N($K22)*IF(Lists!G$21&lt;$J22,0,(((YEAR(Lists!G$21)-YEAR($J22))*12+MONTH(Lists!G$21)-MONTH($J22))-(EDATE($J22,((YEAR(Lists!G$21)-YEAR($J22))*12+MONTH(Lists!G$21)-MONTH($J22)))&gt;Lists!G$21)+1)))-MIN(MAX(0,$H22),N($K22)*IF(Lists!G$22&lt;$J22,0,(((YEAR(Lists!G$22)-YEAR($J22))*12+MONTH(Lists!G$22)-MONTH($J22))-(EDATE($J22,((YEAR(Lists!G$22)-YEAR($J22))*12+MONTH(Lists!G$22)-MONTH($J22)))&gt;Lists!G$22)+1)))),N($C22)*IF($AE22-$AD22&lt;1,($AD22&gt;Lists!G$22)*($AD22&lt;=Lists!G$21),MAX(0,MIN(Lists!G$21,$AE22)-MAX(Lists!G$22,$AD22))/($AE22-$AD22))+N($D22)*IF($AG22-$AF22&lt;1,($AF22&gt;Lists!G$22)*($AF22&lt;=Lists!G$21),MAX(0,MIN(Lists!G$21,$AG22)-MAX(Lists!G$22,$AF22))/($AG22-$AF22))+N($E22)*IF($AI22-$AH22&lt;1,($AH22&gt;Lists!G$22)*($AH22&lt;=Lists!G$21),MAX(0,MIN(Lists!G$21,$AI22)-MAX(Lists!G$22,$AH22))/($AI22-$AH22))+N($F22)*IF($AK22-$AJ22&lt;1,($AJ22&gt;Lists!G$22)*($AJ22&lt;=Lists!G$21),MAX(0,MIN(Lists!G$21,$AK22)-MAX(Lists!G$22,$AJ22))/($AK22-$AJ22))+N($G22)*IF($AM22-$AL22&lt;1,($AL22&gt;Lists!G$22)*($AL22&lt;=Lists!G$21),MAX(0,MIN(Lists!G$21,$AM22)-MAX(Lists!G$22,$AL22))/($AM22-$AL22))))))))</f>
        <v>0</v>
      </c>
      <c r="R22" s="53" t="n">
        <f aca="false">IF($H22=0,0,IF($AP22="X",0,IF($AP22="S",$H22/$AO22*(MIN($AO22,MAX(0,INT((Lists!H$21-N($J22))/7)+1))-MIN($AO22,MAX(0,INT((Lists!H$22-N($J22))/7)+1))),IF($AP22="D",$H22*MAX(0,MIN(Lists!H$21,N($J22)+$AO22)-MAX(Lists!H$22,N($J22)))/$AO22,IF($AP22="M",$H22/$AO22*(IF(Lists!H$21&lt;$J22,0,MIN($AO22,(((YEAR(Lists!H$21)-YEAR($J22))*12+MONTH(Lists!H$21)-MONTH($J22))-(EDATE($J22,((YEAR(Lists!H$21)-YEAR($J22))*12+MONTH(Lists!H$21)-MONTH($J22)))&gt;Lists!H$21)+1)))-IF(Lists!H$22&lt;$J22,0,MIN($AO22,(((YEAR(Lists!H$22)-YEAR($J22))*12+MONTH(Lists!H$22)-MONTH($J22))-(EDATE($J22,((YEAR(Lists!H$22)-YEAR($J22))*12+MONTH(Lists!H$22)-MONTH($J22)))&gt;Lists!H$22)+1)))),IF($AP22="F",IF(N($K22)&lt;=0,0,MIN(MAX(0,$H22),N($K22)*IF(Lists!H$21&lt;$J22,0,(((YEAR(Lists!H$21)-YEAR($J22))*12+MONTH(Lists!H$21)-MONTH($J22))-(EDATE($J22,((YEAR(Lists!H$21)-YEAR($J22))*12+MONTH(Lists!H$21)-MONTH($J22)))&gt;Lists!H$21)+1)))-MIN(MAX(0,$H22),N($K22)*IF(Lists!H$22&lt;$J22,0,(((YEAR(Lists!H$22)-YEAR($J22))*12+MONTH(Lists!H$22)-MONTH($J22))-(EDATE($J22,((YEAR(Lists!H$22)-YEAR($J22))*12+MONTH(Lists!H$22)-MONTH($J22)))&gt;Lists!H$22)+1)))),N($C22)*IF($AE22-$AD22&lt;1,($AD22&gt;Lists!H$22)*($AD22&lt;=Lists!H$21),MAX(0,MIN(Lists!H$21,$AE22)-MAX(Lists!H$22,$AD22))/($AE22-$AD22))+N($D22)*IF($AG22-$AF22&lt;1,($AF22&gt;Lists!H$22)*($AF22&lt;=Lists!H$21),MAX(0,MIN(Lists!H$21,$AG22)-MAX(Lists!H$22,$AF22))/($AG22-$AF22))+N($E22)*IF($AI22-$AH22&lt;1,($AH22&gt;Lists!H$22)*($AH22&lt;=Lists!H$21),MAX(0,MIN(Lists!H$21,$AI22)-MAX(Lists!H$22,$AH22))/($AI22-$AH22))+N($F22)*IF($AK22-$AJ22&lt;1,($AJ22&gt;Lists!H$22)*($AJ22&lt;=Lists!H$21),MAX(0,MIN(Lists!H$21,$AK22)-MAX(Lists!H$22,$AJ22))/($AK22-$AJ22))+N($G22)*IF($AM22-$AL22&lt;1,($AL22&gt;Lists!H$22)*($AL22&lt;=Lists!H$21),MAX(0,MIN(Lists!H$21,$AM22)-MAX(Lists!H$22,$AL22))/($AM22-$AL22))))))))</f>
        <v>0</v>
      </c>
      <c r="S22" s="53" t="n">
        <f aca="false">IF($H22=0,0,IF($AP22="X",0,IF($AP22="S",$H22/$AO22*(MIN($AO22,MAX(0,INT((Lists!I$21-N($J22))/7)+1))-MIN($AO22,MAX(0,INT((Lists!I$22-N($J22))/7)+1))),IF($AP22="D",$H22*MAX(0,MIN(Lists!I$21,N($J22)+$AO22)-MAX(Lists!I$22,N($J22)))/$AO22,IF($AP22="M",$H22/$AO22*(IF(Lists!I$21&lt;$J22,0,MIN($AO22,(((YEAR(Lists!I$21)-YEAR($J22))*12+MONTH(Lists!I$21)-MONTH($J22))-(EDATE($J22,((YEAR(Lists!I$21)-YEAR($J22))*12+MONTH(Lists!I$21)-MONTH($J22)))&gt;Lists!I$21)+1)))-IF(Lists!I$22&lt;$J22,0,MIN($AO22,(((YEAR(Lists!I$22)-YEAR($J22))*12+MONTH(Lists!I$22)-MONTH($J22))-(EDATE($J22,((YEAR(Lists!I$22)-YEAR($J22))*12+MONTH(Lists!I$22)-MONTH($J22)))&gt;Lists!I$22)+1)))),IF($AP22="F",IF(N($K22)&lt;=0,0,MIN(MAX(0,$H22),N($K22)*IF(Lists!I$21&lt;$J22,0,(((YEAR(Lists!I$21)-YEAR($J22))*12+MONTH(Lists!I$21)-MONTH($J22))-(EDATE($J22,((YEAR(Lists!I$21)-YEAR($J22))*12+MONTH(Lists!I$21)-MONTH($J22)))&gt;Lists!I$21)+1)))-MIN(MAX(0,$H22),N($K22)*IF(Lists!I$22&lt;$J22,0,(((YEAR(Lists!I$22)-YEAR($J22))*12+MONTH(Lists!I$22)-MONTH($J22))-(EDATE($J22,((YEAR(Lists!I$22)-YEAR($J22))*12+MONTH(Lists!I$22)-MONTH($J22)))&gt;Lists!I$22)+1)))),N($C22)*IF($AE22-$AD22&lt;1,($AD22&gt;Lists!I$22)*($AD22&lt;=Lists!I$21),MAX(0,MIN(Lists!I$21,$AE22)-MAX(Lists!I$22,$AD22))/($AE22-$AD22))+N($D22)*IF($AG22-$AF22&lt;1,($AF22&gt;Lists!I$22)*($AF22&lt;=Lists!I$21),MAX(0,MIN(Lists!I$21,$AG22)-MAX(Lists!I$22,$AF22))/($AG22-$AF22))+N($E22)*IF($AI22-$AH22&lt;1,($AH22&gt;Lists!I$22)*($AH22&lt;=Lists!I$21),MAX(0,MIN(Lists!I$21,$AI22)-MAX(Lists!I$22,$AH22))/($AI22-$AH22))+N($F22)*IF($AK22-$AJ22&lt;1,($AJ22&gt;Lists!I$22)*($AJ22&lt;=Lists!I$21),MAX(0,MIN(Lists!I$21,$AK22)-MAX(Lists!I$22,$AJ22))/($AK22-$AJ22))+N($G22)*IF($AM22-$AL22&lt;1,($AL22&gt;Lists!I$22)*($AL22&lt;=Lists!I$21),MAX(0,MIN(Lists!I$21,$AM22)-MAX(Lists!I$22,$AL22))/($AM22-$AL22))))))))</f>
        <v>0</v>
      </c>
      <c r="T22" s="53" t="n">
        <f aca="false">IF($H22=0,0,IF($AP22="X",0,IF($AP22="S",$H22/$AO22*(MIN($AO22,MAX(0,INT((Lists!J$21-N($J22))/7)+1))-MIN($AO22,MAX(0,INT((Lists!J$22-N($J22))/7)+1))),IF($AP22="D",$H22*MAX(0,MIN(Lists!J$21,N($J22)+$AO22)-MAX(Lists!J$22,N($J22)))/$AO22,IF($AP22="M",$H22/$AO22*(IF(Lists!J$21&lt;$J22,0,MIN($AO22,(((YEAR(Lists!J$21)-YEAR($J22))*12+MONTH(Lists!J$21)-MONTH($J22))-(EDATE($J22,((YEAR(Lists!J$21)-YEAR($J22))*12+MONTH(Lists!J$21)-MONTH($J22)))&gt;Lists!J$21)+1)))-IF(Lists!J$22&lt;$J22,0,MIN($AO22,(((YEAR(Lists!J$22)-YEAR($J22))*12+MONTH(Lists!J$22)-MONTH($J22))-(EDATE($J22,((YEAR(Lists!J$22)-YEAR($J22))*12+MONTH(Lists!J$22)-MONTH($J22)))&gt;Lists!J$22)+1)))),IF($AP22="F",IF(N($K22)&lt;=0,0,MIN(MAX(0,$H22),N($K22)*IF(Lists!J$21&lt;$J22,0,(((YEAR(Lists!J$21)-YEAR($J22))*12+MONTH(Lists!J$21)-MONTH($J22))-(EDATE($J22,((YEAR(Lists!J$21)-YEAR($J22))*12+MONTH(Lists!J$21)-MONTH($J22)))&gt;Lists!J$21)+1)))-MIN(MAX(0,$H22),N($K22)*IF(Lists!J$22&lt;$J22,0,(((YEAR(Lists!J$22)-YEAR($J22))*12+MONTH(Lists!J$22)-MONTH($J22))-(EDATE($J22,((YEAR(Lists!J$22)-YEAR($J22))*12+MONTH(Lists!J$22)-MONTH($J22)))&gt;Lists!J$22)+1)))),N($C22)*IF($AE22-$AD22&lt;1,($AD22&gt;Lists!J$22)*($AD22&lt;=Lists!J$21),MAX(0,MIN(Lists!J$21,$AE22)-MAX(Lists!J$22,$AD22))/($AE22-$AD22))+N($D22)*IF($AG22-$AF22&lt;1,($AF22&gt;Lists!J$22)*($AF22&lt;=Lists!J$21),MAX(0,MIN(Lists!J$21,$AG22)-MAX(Lists!J$22,$AF22))/($AG22-$AF22))+N($E22)*IF($AI22-$AH22&lt;1,($AH22&gt;Lists!J$22)*($AH22&lt;=Lists!J$21),MAX(0,MIN(Lists!J$21,$AI22)-MAX(Lists!J$22,$AH22))/($AI22-$AH22))+N($F22)*IF($AK22-$AJ22&lt;1,($AJ22&gt;Lists!J$22)*($AJ22&lt;=Lists!J$21),MAX(0,MIN(Lists!J$21,$AK22)-MAX(Lists!J$22,$AJ22))/($AK22-$AJ22))+N($G22)*IF($AM22-$AL22&lt;1,($AL22&gt;Lists!J$22)*($AL22&lt;=Lists!J$21),MAX(0,MIN(Lists!J$21,$AM22)-MAX(Lists!J$22,$AL22))/($AM22-$AL22))))))))</f>
        <v>0</v>
      </c>
      <c r="U22" s="53" t="n">
        <f aca="false">IF($H22=0,0,IF($AP22="X",0,IF($AP22="S",$H22/$AO22*(MIN($AO22,MAX(0,INT((Lists!K$21-N($J22))/7)+1))-MIN($AO22,MAX(0,INT((Lists!K$22-N($J22))/7)+1))),IF($AP22="D",$H22*MAX(0,MIN(Lists!K$21,N($J22)+$AO22)-MAX(Lists!K$22,N($J22)))/$AO22,IF($AP22="M",$H22/$AO22*(IF(Lists!K$21&lt;$J22,0,MIN($AO22,(((YEAR(Lists!K$21)-YEAR($J22))*12+MONTH(Lists!K$21)-MONTH($J22))-(EDATE($J22,((YEAR(Lists!K$21)-YEAR($J22))*12+MONTH(Lists!K$21)-MONTH($J22)))&gt;Lists!K$21)+1)))-IF(Lists!K$22&lt;$J22,0,MIN($AO22,(((YEAR(Lists!K$22)-YEAR($J22))*12+MONTH(Lists!K$22)-MONTH($J22))-(EDATE($J22,((YEAR(Lists!K$22)-YEAR($J22))*12+MONTH(Lists!K$22)-MONTH($J22)))&gt;Lists!K$22)+1)))),IF($AP22="F",IF(N($K22)&lt;=0,0,MIN(MAX(0,$H22),N($K22)*IF(Lists!K$21&lt;$J22,0,(((YEAR(Lists!K$21)-YEAR($J22))*12+MONTH(Lists!K$21)-MONTH($J22))-(EDATE($J22,((YEAR(Lists!K$21)-YEAR($J22))*12+MONTH(Lists!K$21)-MONTH($J22)))&gt;Lists!K$21)+1)))-MIN(MAX(0,$H22),N($K22)*IF(Lists!K$22&lt;$J22,0,(((YEAR(Lists!K$22)-YEAR($J22))*12+MONTH(Lists!K$22)-MONTH($J22))-(EDATE($J22,((YEAR(Lists!K$22)-YEAR($J22))*12+MONTH(Lists!K$22)-MONTH($J22)))&gt;Lists!K$22)+1)))),N($C22)*IF($AE22-$AD22&lt;1,($AD22&gt;Lists!K$22)*($AD22&lt;=Lists!K$21),MAX(0,MIN(Lists!K$21,$AE22)-MAX(Lists!K$22,$AD22))/($AE22-$AD22))+N($D22)*IF($AG22-$AF22&lt;1,($AF22&gt;Lists!K$22)*($AF22&lt;=Lists!K$21),MAX(0,MIN(Lists!K$21,$AG22)-MAX(Lists!K$22,$AF22))/($AG22-$AF22))+N($E22)*IF($AI22-$AH22&lt;1,($AH22&gt;Lists!K$22)*($AH22&lt;=Lists!K$21),MAX(0,MIN(Lists!K$21,$AI22)-MAX(Lists!K$22,$AH22))/($AI22-$AH22))+N($F22)*IF($AK22-$AJ22&lt;1,($AJ22&gt;Lists!K$22)*($AJ22&lt;=Lists!K$21),MAX(0,MIN(Lists!K$21,$AK22)-MAX(Lists!K$22,$AJ22))/($AK22-$AJ22))+N($G22)*IF($AM22-$AL22&lt;1,($AL22&gt;Lists!K$22)*($AL22&lt;=Lists!K$21),MAX(0,MIN(Lists!K$21,$AM22)-MAX(Lists!K$22,$AL22))/($AM22-$AL22))))))))</f>
        <v>0</v>
      </c>
      <c r="V22" s="53" t="n">
        <f aca="false">IF($H22=0,0,IF($AP22="X",0,IF($AP22="S",$H22/$AO22*(MIN($AO22,MAX(0,INT((Lists!L$21-N($J22))/7)+1))-MIN($AO22,MAX(0,INT((Lists!L$22-N($J22))/7)+1))),IF($AP22="D",$H22*MAX(0,MIN(Lists!L$21,N($J22)+$AO22)-MAX(Lists!L$22,N($J22)))/$AO22,IF($AP22="M",$H22/$AO22*(IF(Lists!L$21&lt;$J22,0,MIN($AO22,(((YEAR(Lists!L$21)-YEAR($J22))*12+MONTH(Lists!L$21)-MONTH($J22))-(EDATE($J22,((YEAR(Lists!L$21)-YEAR($J22))*12+MONTH(Lists!L$21)-MONTH($J22)))&gt;Lists!L$21)+1)))-IF(Lists!L$22&lt;$J22,0,MIN($AO22,(((YEAR(Lists!L$22)-YEAR($J22))*12+MONTH(Lists!L$22)-MONTH($J22))-(EDATE($J22,((YEAR(Lists!L$22)-YEAR($J22))*12+MONTH(Lists!L$22)-MONTH($J22)))&gt;Lists!L$22)+1)))),IF($AP22="F",IF(N($K22)&lt;=0,0,MIN(MAX(0,$H22),N($K22)*IF(Lists!L$21&lt;$J22,0,(((YEAR(Lists!L$21)-YEAR($J22))*12+MONTH(Lists!L$21)-MONTH($J22))-(EDATE($J22,((YEAR(Lists!L$21)-YEAR($J22))*12+MONTH(Lists!L$21)-MONTH($J22)))&gt;Lists!L$21)+1)))-MIN(MAX(0,$H22),N($K22)*IF(Lists!L$22&lt;$J22,0,(((YEAR(Lists!L$22)-YEAR($J22))*12+MONTH(Lists!L$22)-MONTH($J22))-(EDATE($J22,((YEAR(Lists!L$22)-YEAR($J22))*12+MONTH(Lists!L$22)-MONTH($J22)))&gt;Lists!L$22)+1)))),N($C22)*IF($AE22-$AD22&lt;1,($AD22&gt;Lists!L$22)*($AD22&lt;=Lists!L$21),MAX(0,MIN(Lists!L$21,$AE22)-MAX(Lists!L$22,$AD22))/($AE22-$AD22))+N($D22)*IF($AG22-$AF22&lt;1,($AF22&gt;Lists!L$22)*($AF22&lt;=Lists!L$21),MAX(0,MIN(Lists!L$21,$AG22)-MAX(Lists!L$22,$AF22))/($AG22-$AF22))+N($E22)*IF($AI22-$AH22&lt;1,($AH22&gt;Lists!L$22)*($AH22&lt;=Lists!L$21),MAX(0,MIN(Lists!L$21,$AI22)-MAX(Lists!L$22,$AH22))/($AI22-$AH22))+N($F22)*IF($AK22-$AJ22&lt;1,($AJ22&gt;Lists!L$22)*($AJ22&lt;=Lists!L$21),MAX(0,MIN(Lists!L$21,$AK22)-MAX(Lists!L$22,$AJ22))/($AK22-$AJ22))+N($G22)*IF($AM22-$AL22&lt;1,($AL22&gt;Lists!L$22)*($AL22&lt;=Lists!L$21),MAX(0,MIN(Lists!L$21,$AM22)-MAX(Lists!L$22,$AL22))/($AM22-$AL22))))))))</f>
        <v>0</v>
      </c>
      <c r="W22" s="53" t="n">
        <f aca="false">IF($H22=0,0,IF($AP22="X",0,IF($AP22="S",$H22/$AO22*(MIN($AO22,MAX(0,INT((Lists!M$21-N($J22))/7)+1))-MIN($AO22,MAX(0,INT((Lists!M$22-N($J22))/7)+1))),IF($AP22="D",$H22*MAX(0,MIN(Lists!M$21,N($J22)+$AO22)-MAX(Lists!M$22,N($J22)))/$AO22,IF($AP22="M",$H22/$AO22*(IF(Lists!M$21&lt;$J22,0,MIN($AO22,(((YEAR(Lists!M$21)-YEAR($J22))*12+MONTH(Lists!M$21)-MONTH($J22))-(EDATE($J22,((YEAR(Lists!M$21)-YEAR($J22))*12+MONTH(Lists!M$21)-MONTH($J22)))&gt;Lists!M$21)+1)))-IF(Lists!M$22&lt;$J22,0,MIN($AO22,(((YEAR(Lists!M$22)-YEAR($J22))*12+MONTH(Lists!M$22)-MONTH($J22))-(EDATE($J22,((YEAR(Lists!M$22)-YEAR($J22))*12+MONTH(Lists!M$22)-MONTH($J22)))&gt;Lists!M$22)+1)))),IF($AP22="F",IF(N($K22)&lt;=0,0,MIN(MAX(0,$H22),N($K22)*IF(Lists!M$21&lt;$J22,0,(((YEAR(Lists!M$21)-YEAR($J22))*12+MONTH(Lists!M$21)-MONTH($J22))-(EDATE($J22,((YEAR(Lists!M$21)-YEAR($J22))*12+MONTH(Lists!M$21)-MONTH($J22)))&gt;Lists!M$21)+1)))-MIN(MAX(0,$H22),N($K22)*IF(Lists!M$22&lt;$J22,0,(((YEAR(Lists!M$22)-YEAR($J22))*12+MONTH(Lists!M$22)-MONTH($J22))-(EDATE($J22,((YEAR(Lists!M$22)-YEAR($J22))*12+MONTH(Lists!M$22)-MONTH($J22)))&gt;Lists!M$22)+1)))),N($C22)*IF($AE22-$AD22&lt;1,($AD22&gt;Lists!M$22)*($AD22&lt;=Lists!M$21),MAX(0,MIN(Lists!M$21,$AE22)-MAX(Lists!M$22,$AD22))/($AE22-$AD22))+N($D22)*IF($AG22-$AF22&lt;1,($AF22&gt;Lists!M$22)*($AF22&lt;=Lists!M$21),MAX(0,MIN(Lists!M$21,$AG22)-MAX(Lists!M$22,$AF22))/($AG22-$AF22))+N($E22)*IF($AI22-$AH22&lt;1,($AH22&gt;Lists!M$22)*($AH22&lt;=Lists!M$21),MAX(0,MIN(Lists!M$21,$AI22)-MAX(Lists!M$22,$AH22))/($AI22-$AH22))+N($F22)*IF($AK22-$AJ22&lt;1,($AJ22&gt;Lists!M$22)*($AJ22&lt;=Lists!M$21),MAX(0,MIN(Lists!M$21,$AK22)-MAX(Lists!M$22,$AJ22))/($AK22-$AJ22))+N($G22)*IF($AM22-$AL22&lt;1,($AL22&gt;Lists!M$22)*($AL22&lt;=Lists!M$21),MAX(0,MIN(Lists!M$21,$AM22)-MAX(Lists!M$22,$AL22))/($AM22-$AL22))))))))</f>
        <v>0</v>
      </c>
      <c r="X22" s="53" t="n">
        <f aca="false">IF($H22=0,0,IF($AP22="X",0,IF($AP22="S",$H22/$AO22*(MIN($AO22,MAX(0,INT((Lists!N$21-N($J22))/7)+1))-MIN($AO22,MAX(0,INT((Lists!N$22-N($J22))/7)+1))),IF($AP22="D",$H22*MAX(0,MIN(Lists!N$21,N($J22)+$AO22)-MAX(Lists!N$22,N($J22)))/$AO22,IF($AP22="M",$H22/$AO22*(IF(Lists!N$21&lt;$J22,0,MIN($AO22,(((YEAR(Lists!N$21)-YEAR($J22))*12+MONTH(Lists!N$21)-MONTH($J22))-(EDATE($J22,((YEAR(Lists!N$21)-YEAR($J22))*12+MONTH(Lists!N$21)-MONTH($J22)))&gt;Lists!N$21)+1)))-IF(Lists!N$22&lt;$J22,0,MIN($AO22,(((YEAR(Lists!N$22)-YEAR($J22))*12+MONTH(Lists!N$22)-MONTH($J22))-(EDATE($J22,((YEAR(Lists!N$22)-YEAR($J22))*12+MONTH(Lists!N$22)-MONTH($J22)))&gt;Lists!N$22)+1)))),IF($AP22="F",IF(N($K22)&lt;=0,0,MIN(MAX(0,$H22),N($K22)*IF(Lists!N$21&lt;$J22,0,(((YEAR(Lists!N$21)-YEAR($J22))*12+MONTH(Lists!N$21)-MONTH($J22))-(EDATE($J22,((YEAR(Lists!N$21)-YEAR($J22))*12+MONTH(Lists!N$21)-MONTH($J22)))&gt;Lists!N$21)+1)))-MIN(MAX(0,$H22),N($K22)*IF(Lists!N$22&lt;$J22,0,(((YEAR(Lists!N$22)-YEAR($J22))*12+MONTH(Lists!N$22)-MONTH($J22))-(EDATE($J22,((YEAR(Lists!N$22)-YEAR($J22))*12+MONTH(Lists!N$22)-MONTH($J22)))&gt;Lists!N$22)+1)))),N($C22)*IF($AE22-$AD22&lt;1,($AD22&gt;Lists!N$22)*($AD22&lt;=Lists!N$21),MAX(0,MIN(Lists!N$21,$AE22)-MAX(Lists!N$22,$AD22))/($AE22-$AD22))+N($D22)*IF($AG22-$AF22&lt;1,($AF22&gt;Lists!N$22)*($AF22&lt;=Lists!N$21),MAX(0,MIN(Lists!N$21,$AG22)-MAX(Lists!N$22,$AF22))/($AG22-$AF22))+N($E22)*IF($AI22-$AH22&lt;1,($AH22&gt;Lists!N$22)*($AH22&lt;=Lists!N$21),MAX(0,MIN(Lists!N$21,$AI22)-MAX(Lists!N$22,$AH22))/($AI22-$AH22))+N($F22)*IF($AK22-$AJ22&lt;1,($AJ22&gt;Lists!N$22)*($AJ22&lt;=Lists!N$21),MAX(0,MIN(Lists!N$21,$AK22)-MAX(Lists!N$22,$AJ22))/($AK22-$AJ22))+N($G22)*IF($AM22-$AL22&lt;1,($AL22&gt;Lists!N$22)*($AL22&lt;=Lists!N$21),MAX(0,MIN(Lists!N$21,$AM22)-MAX(Lists!N$22,$AL22))/($AM22-$AL22))))))))</f>
        <v>0</v>
      </c>
      <c r="Y22" s="53" t="n">
        <f aca="false">IF($H22=0,0,IF($AP22="X",0,IF($AP22="S",$H22/$AO22*(MIN($AO22,MAX(0,INT((Lists!O$21-N($J22))/7)+1))-MIN($AO22,MAX(0,INT((Lists!O$22-N($J22))/7)+1))),IF($AP22="D",$H22*MAX(0,MIN(Lists!O$21,N($J22)+$AO22)-MAX(Lists!O$22,N($J22)))/$AO22,IF($AP22="M",$H22/$AO22*(IF(Lists!O$21&lt;$J22,0,MIN($AO22,(((YEAR(Lists!O$21)-YEAR($J22))*12+MONTH(Lists!O$21)-MONTH($J22))-(EDATE($J22,((YEAR(Lists!O$21)-YEAR($J22))*12+MONTH(Lists!O$21)-MONTH($J22)))&gt;Lists!O$21)+1)))-IF(Lists!O$22&lt;$J22,0,MIN($AO22,(((YEAR(Lists!O$22)-YEAR($J22))*12+MONTH(Lists!O$22)-MONTH($J22))-(EDATE($J22,((YEAR(Lists!O$22)-YEAR($J22))*12+MONTH(Lists!O$22)-MONTH($J22)))&gt;Lists!O$22)+1)))),IF($AP22="F",IF(N($K22)&lt;=0,0,MIN(MAX(0,$H22),N($K22)*IF(Lists!O$21&lt;$J22,0,(((YEAR(Lists!O$21)-YEAR($J22))*12+MONTH(Lists!O$21)-MONTH($J22))-(EDATE($J22,((YEAR(Lists!O$21)-YEAR($J22))*12+MONTH(Lists!O$21)-MONTH($J22)))&gt;Lists!O$21)+1)))-MIN(MAX(0,$H22),N($K22)*IF(Lists!O$22&lt;$J22,0,(((YEAR(Lists!O$22)-YEAR($J22))*12+MONTH(Lists!O$22)-MONTH($J22))-(EDATE($J22,((YEAR(Lists!O$22)-YEAR($J22))*12+MONTH(Lists!O$22)-MONTH($J22)))&gt;Lists!O$22)+1)))),N($C22)*IF($AE22-$AD22&lt;1,($AD22&gt;Lists!O$22)*($AD22&lt;=Lists!O$21),MAX(0,MIN(Lists!O$21,$AE22)-MAX(Lists!O$22,$AD22))/($AE22-$AD22))+N($D22)*IF($AG22-$AF22&lt;1,($AF22&gt;Lists!O$22)*($AF22&lt;=Lists!O$21),MAX(0,MIN(Lists!O$21,$AG22)-MAX(Lists!O$22,$AF22))/($AG22-$AF22))+N($E22)*IF($AI22-$AH22&lt;1,($AH22&gt;Lists!O$22)*($AH22&lt;=Lists!O$21),MAX(0,MIN(Lists!O$21,$AI22)-MAX(Lists!O$22,$AH22))/($AI22-$AH22))+N($F22)*IF($AK22-$AJ22&lt;1,($AJ22&gt;Lists!O$22)*($AJ22&lt;=Lists!O$21),MAX(0,MIN(Lists!O$21,$AK22)-MAX(Lists!O$22,$AJ22))/($AK22-$AJ22))+N($G22)*IF($AM22-$AL22&lt;1,($AL22&gt;Lists!O$22)*($AL22&lt;=Lists!O$21),MAX(0,MIN(Lists!O$21,$AM22)-MAX(Lists!O$22,$AL22))/($AM22-$AL22))))))))</f>
        <v>0</v>
      </c>
      <c r="Z22" s="46" t="n">
        <f aca="false">SUM(M22:Y22)</f>
        <v>0</v>
      </c>
      <c r="AA22" s="92" t="n">
        <f aca="false">H22-Z22</f>
        <v>0</v>
      </c>
      <c r="AB22" s="55"/>
      <c r="AC22" s="2"/>
      <c r="AD22" s="93" t="n">
        <f aca="false">Setup!$D$10+MAX(0,$AN22-30)</f>
        <v>46345</v>
      </c>
      <c r="AE22" s="93" t="n">
        <f aca="false">Setup!$D$10+IF($AN22-30&lt;0,MAX(Setup!$D$22,$AN22-0),$AN22-0)</f>
        <v>46375</v>
      </c>
      <c r="AF22" s="93" t="n">
        <f aca="false">Setup!$D$10+MAX(0,$AN22-60)</f>
        <v>46335</v>
      </c>
      <c r="AG22" s="93" t="n">
        <f aca="false">Setup!$D$10+IF($AN22-60&lt;0,MAX(Setup!$D$22,$AN22-31),$AN22-31)</f>
        <v>46363</v>
      </c>
      <c r="AH22" s="93" t="n">
        <f aca="false">Setup!$D$10+MAX(0,$AN22-90)</f>
        <v>46335</v>
      </c>
      <c r="AI22" s="93" t="n">
        <f aca="false">Setup!$D$10+IF($AN22-90&lt;0,MAX(Setup!$D$22,$AN22-61),$AN22-61)</f>
        <v>46363</v>
      </c>
      <c r="AJ22" s="93" t="n">
        <f aca="false">Setup!$D$10+MAX(0,$AN22-120)</f>
        <v>46335</v>
      </c>
      <c r="AK22" s="93" t="n">
        <f aca="false">Setup!$D$10+IF($AN22-120&lt;0,MAX(Setup!$D$22,$AN22-91),$AN22-91)</f>
        <v>46363</v>
      </c>
      <c r="AL22" s="93" t="n">
        <f aca="false">Setup!$D$10</f>
        <v>46335</v>
      </c>
      <c r="AM22" s="93" t="n">
        <f aca="false">IF(AL22=2958465,AL22,Setup!$D$10+Setup!$D$22)</f>
        <v>46363</v>
      </c>
      <c r="AN22" s="94" t="n">
        <f aca="false">IF(N(L22)=0,Setup!$D$21,L22)</f>
        <v>40</v>
      </c>
      <c r="AO22" s="94" t="n">
        <f aca="false">MAX(1,ROUND(N(K22),0))</f>
        <v>1</v>
      </c>
      <c r="AP22" s="95" t="str">
        <f aca="false">IF(I22="On hold","X",IF(N(J22)=0,"A",IF(I22="Specific date","S",IF(I22="Spread over days","D",IF(I22="Monthly on set day","M",IF(I22="Monthly fixed amount","F","A"))))))</f>
        <v>A</v>
      </c>
    </row>
    <row r="23" customFormat="false" ht="15" hidden="false" customHeight="false" outlineLevel="0" collapsed="false">
      <c r="A23" s="87" t="n">
        <v>15</v>
      </c>
      <c r="B23" s="55"/>
      <c r="C23" s="88"/>
      <c r="D23" s="88"/>
      <c r="E23" s="88"/>
      <c r="F23" s="88"/>
      <c r="G23" s="88"/>
      <c r="H23" s="89" t="n">
        <f aca="false">SUM(C23:G23)</f>
        <v>0</v>
      </c>
      <c r="I23" s="58"/>
      <c r="J23" s="90"/>
      <c r="K23" s="91"/>
      <c r="L23" s="80"/>
      <c r="M23" s="53" t="n">
        <f aca="false">IF($H23=0,0,IF($AP23="X",0,IF($AP23="S",$H23/$AO23*(MIN($AO23,MAX(0,INT((Lists!C$21-N($J23))/7)+1))-MIN($AO23,MAX(0,INT((Lists!C$22-N($J23))/7)+1))),IF($AP23="D",$H23*MAX(0,MIN(Lists!C$21,N($J23)+$AO23)-MAX(Lists!C$22,N($J23)))/$AO23,IF($AP23="M",$H23/$AO23*(IF(Lists!C$21&lt;$J23,0,MIN($AO23,(((YEAR(Lists!C$21)-YEAR($J23))*12+MONTH(Lists!C$21)-MONTH($J23))-(EDATE($J23,((YEAR(Lists!C$21)-YEAR($J23))*12+MONTH(Lists!C$21)-MONTH($J23)))&gt;Lists!C$21)+1)))-IF(Lists!C$22&lt;$J23,0,MIN($AO23,(((YEAR(Lists!C$22)-YEAR($J23))*12+MONTH(Lists!C$22)-MONTH($J23))-(EDATE($J23,((YEAR(Lists!C$22)-YEAR($J23))*12+MONTH(Lists!C$22)-MONTH($J23)))&gt;Lists!C$22)+1)))),IF($AP23="F",IF(N($K23)&lt;=0,0,MIN(MAX(0,$H23),N($K23)*IF(Lists!C$21&lt;$J23,0,(((YEAR(Lists!C$21)-YEAR($J23))*12+MONTH(Lists!C$21)-MONTH($J23))-(EDATE($J23,((YEAR(Lists!C$21)-YEAR($J23))*12+MONTH(Lists!C$21)-MONTH($J23)))&gt;Lists!C$21)+1)))-MIN(MAX(0,$H23),N($K23)*IF(Lists!C$22&lt;$J23,0,(((YEAR(Lists!C$22)-YEAR($J23))*12+MONTH(Lists!C$22)-MONTH($J23))-(EDATE($J23,((YEAR(Lists!C$22)-YEAR($J23))*12+MONTH(Lists!C$22)-MONTH($J23)))&gt;Lists!C$22)+1)))),N($C23)*IF($AE23-$AD23&lt;1,($AD23&gt;Lists!C$22)*($AD23&lt;=Lists!C$21),MAX(0,MIN(Lists!C$21,$AE23)-MAX(Lists!C$22,$AD23))/($AE23-$AD23))+N($D23)*IF($AG23-$AF23&lt;1,($AF23&gt;Lists!C$22)*($AF23&lt;=Lists!C$21),MAX(0,MIN(Lists!C$21,$AG23)-MAX(Lists!C$22,$AF23))/($AG23-$AF23))+N($E23)*IF($AI23-$AH23&lt;1,($AH23&gt;Lists!C$22)*($AH23&lt;=Lists!C$21),MAX(0,MIN(Lists!C$21,$AI23)-MAX(Lists!C$22,$AH23))/($AI23-$AH23))+N($F23)*IF($AK23-$AJ23&lt;1,($AJ23&gt;Lists!C$22)*($AJ23&lt;=Lists!C$21),MAX(0,MIN(Lists!C$21,$AK23)-MAX(Lists!C$22,$AJ23))/($AK23-$AJ23))+N($G23)*IF($AM23-$AL23&lt;1,($AL23&gt;Lists!C$22)*($AL23&lt;=Lists!C$21),MAX(0,MIN(Lists!C$21,$AM23)-MAX(Lists!C$22,$AL23))/($AM23-$AL23))))))))</f>
        <v>0</v>
      </c>
      <c r="N23" s="53" t="n">
        <f aca="false">IF($H23=0,0,IF($AP23="X",0,IF($AP23="S",$H23/$AO23*(MIN($AO23,MAX(0,INT((Lists!D$21-N($J23))/7)+1))-MIN($AO23,MAX(0,INT((Lists!D$22-N($J23))/7)+1))),IF($AP23="D",$H23*MAX(0,MIN(Lists!D$21,N($J23)+$AO23)-MAX(Lists!D$22,N($J23)))/$AO23,IF($AP23="M",$H23/$AO23*(IF(Lists!D$21&lt;$J23,0,MIN($AO23,(((YEAR(Lists!D$21)-YEAR($J23))*12+MONTH(Lists!D$21)-MONTH($J23))-(EDATE($J23,((YEAR(Lists!D$21)-YEAR($J23))*12+MONTH(Lists!D$21)-MONTH($J23)))&gt;Lists!D$21)+1)))-IF(Lists!D$22&lt;$J23,0,MIN($AO23,(((YEAR(Lists!D$22)-YEAR($J23))*12+MONTH(Lists!D$22)-MONTH($J23))-(EDATE($J23,((YEAR(Lists!D$22)-YEAR($J23))*12+MONTH(Lists!D$22)-MONTH($J23)))&gt;Lists!D$22)+1)))),IF($AP23="F",IF(N($K23)&lt;=0,0,MIN(MAX(0,$H23),N($K23)*IF(Lists!D$21&lt;$J23,0,(((YEAR(Lists!D$21)-YEAR($J23))*12+MONTH(Lists!D$21)-MONTH($J23))-(EDATE($J23,((YEAR(Lists!D$21)-YEAR($J23))*12+MONTH(Lists!D$21)-MONTH($J23)))&gt;Lists!D$21)+1)))-MIN(MAX(0,$H23),N($K23)*IF(Lists!D$22&lt;$J23,0,(((YEAR(Lists!D$22)-YEAR($J23))*12+MONTH(Lists!D$22)-MONTH($J23))-(EDATE($J23,((YEAR(Lists!D$22)-YEAR($J23))*12+MONTH(Lists!D$22)-MONTH($J23)))&gt;Lists!D$22)+1)))),N($C23)*IF($AE23-$AD23&lt;1,($AD23&gt;Lists!D$22)*($AD23&lt;=Lists!D$21),MAX(0,MIN(Lists!D$21,$AE23)-MAX(Lists!D$22,$AD23))/($AE23-$AD23))+N($D23)*IF($AG23-$AF23&lt;1,($AF23&gt;Lists!D$22)*($AF23&lt;=Lists!D$21),MAX(0,MIN(Lists!D$21,$AG23)-MAX(Lists!D$22,$AF23))/($AG23-$AF23))+N($E23)*IF($AI23-$AH23&lt;1,($AH23&gt;Lists!D$22)*($AH23&lt;=Lists!D$21),MAX(0,MIN(Lists!D$21,$AI23)-MAX(Lists!D$22,$AH23))/($AI23-$AH23))+N($F23)*IF($AK23-$AJ23&lt;1,($AJ23&gt;Lists!D$22)*($AJ23&lt;=Lists!D$21),MAX(0,MIN(Lists!D$21,$AK23)-MAX(Lists!D$22,$AJ23))/($AK23-$AJ23))+N($G23)*IF($AM23-$AL23&lt;1,($AL23&gt;Lists!D$22)*($AL23&lt;=Lists!D$21),MAX(0,MIN(Lists!D$21,$AM23)-MAX(Lists!D$22,$AL23))/($AM23-$AL23))))))))</f>
        <v>0</v>
      </c>
      <c r="O23" s="53" t="n">
        <f aca="false">IF($H23=0,0,IF($AP23="X",0,IF($AP23="S",$H23/$AO23*(MIN($AO23,MAX(0,INT((Lists!E$21-N($J23))/7)+1))-MIN($AO23,MAX(0,INT((Lists!E$22-N($J23))/7)+1))),IF($AP23="D",$H23*MAX(0,MIN(Lists!E$21,N($J23)+$AO23)-MAX(Lists!E$22,N($J23)))/$AO23,IF($AP23="M",$H23/$AO23*(IF(Lists!E$21&lt;$J23,0,MIN($AO23,(((YEAR(Lists!E$21)-YEAR($J23))*12+MONTH(Lists!E$21)-MONTH($J23))-(EDATE($J23,((YEAR(Lists!E$21)-YEAR($J23))*12+MONTH(Lists!E$21)-MONTH($J23)))&gt;Lists!E$21)+1)))-IF(Lists!E$22&lt;$J23,0,MIN($AO23,(((YEAR(Lists!E$22)-YEAR($J23))*12+MONTH(Lists!E$22)-MONTH($J23))-(EDATE($J23,((YEAR(Lists!E$22)-YEAR($J23))*12+MONTH(Lists!E$22)-MONTH($J23)))&gt;Lists!E$22)+1)))),IF($AP23="F",IF(N($K23)&lt;=0,0,MIN(MAX(0,$H23),N($K23)*IF(Lists!E$21&lt;$J23,0,(((YEAR(Lists!E$21)-YEAR($J23))*12+MONTH(Lists!E$21)-MONTH($J23))-(EDATE($J23,((YEAR(Lists!E$21)-YEAR($J23))*12+MONTH(Lists!E$21)-MONTH($J23)))&gt;Lists!E$21)+1)))-MIN(MAX(0,$H23),N($K23)*IF(Lists!E$22&lt;$J23,0,(((YEAR(Lists!E$22)-YEAR($J23))*12+MONTH(Lists!E$22)-MONTH($J23))-(EDATE($J23,((YEAR(Lists!E$22)-YEAR($J23))*12+MONTH(Lists!E$22)-MONTH($J23)))&gt;Lists!E$22)+1)))),N($C23)*IF($AE23-$AD23&lt;1,($AD23&gt;Lists!E$22)*($AD23&lt;=Lists!E$21),MAX(0,MIN(Lists!E$21,$AE23)-MAX(Lists!E$22,$AD23))/($AE23-$AD23))+N($D23)*IF($AG23-$AF23&lt;1,($AF23&gt;Lists!E$22)*($AF23&lt;=Lists!E$21),MAX(0,MIN(Lists!E$21,$AG23)-MAX(Lists!E$22,$AF23))/($AG23-$AF23))+N($E23)*IF($AI23-$AH23&lt;1,($AH23&gt;Lists!E$22)*($AH23&lt;=Lists!E$21),MAX(0,MIN(Lists!E$21,$AI23)-MAX(Lists!E$22,$AH23))/($AI23-$AH23))+N($F23)*IF($AK23-$AJ23&lt;1,($AJ23&gt;Lists!E$22)*($AJ23&lt;=Lists!E$21),MAX(0,MIN(Lists!E$21,$AK23)-MAX(Lists!E$22,$AJ23))/($AK23-$AJ23))+N($G23)*IF($AM23-$AL23&lt;1,($AL23&gt;Lists!E$22)*($AL23&lt;=Lists!E$21),MAX(0,MIN(Lists!E$21,$AM23)-MAX(Lists!E$22,$AL23))/($AM23-$AL23))))))))</f>
        <v>0</v>
      </c>
      <c r="P23" s="53" t="n">
        <f aca="false">IF($H23=0,0,IF($AP23="X",0,IF($AP23="S",$H23/$AO23*(MIN($AO23,MAX(0,INT((Lists!F$21-N($J23))/7)+1))-MIN($AO23,MAX(0,INT((Lists!F$22-N($J23))/7)+1))),IF($AP23="D",$H23*MAX(0,MIN(Lists!F$21,N($J23)+$AO23)-MAX(Lists!F$22,N($J23)))/$AO23,IF($AP23="M",$H23/$AO23*(IF(Lists!F$21&lt;$J23,0,MIN($AO23,(((YEAR(Lists!F$21)-YEAR($J23))*12+MONTH(Lists!F$21)-MONTH($J23))-(EDATE($J23,((YEAR(Lists!F$21)-YEAR($J23))*12+MONTH(Lists!F$21)-MONTH($J23)))&gt;Lists!F$21)+1)))-IF(Lists!F$22&lt;$J23,0,MIN($AO23,(((YEAR(Lists!F$22)-YEAR($J23))*12+MONTH(Lists!F$22)-MONTH($J23))-(EDATE($J23,((YEAR(Lists!F$22)-YEAR($J23))*12+MONTH(Lists!F$22)-MONTH($J23)))&gt;Lists!F$22)+1)))),IF($AP23="F",IF(N($K23)&lt;=0,0,MIN(MAX(0,$H23),N($K23)*IF(Lists!F$21&lt;$J23,0,(((YEAR(Lists!F$21)-YEAR($J23))*12+MONTH(Lists!F$21)-MONTH($J23))-(EDATE($J23,((YEAR(Lists!F$21)-YEAR($J23))*12+MONTH(Lists!F$21)-MONTH($J23)))&gt;Lists!F$21)+1)))-MIN(MAX(0,$H23),N($K23)*IF(Lists!F$22&lt;$J23,0,(((YEAR(Lists!F$22)-YEAR($J23))*12+MONTH(Lists!F$22)-MONTH($J23))-(EDATE($J23,((YEAR(Lists!F$22)-YEAR($J23))*12+MONTH(Lists!F$22)-MONTH($J23)))&gt;Lists!F$22)+1)))),N($C23)*IF($AE23-$AD23&lt;1,($AD23&gt;Lists!F$22)*($AD23&lt;=Lists!F$21),MAX(0,MIN(Lists!F$21,$AE23)-MAX(Lists!F$22,$AD23))/($AE23-$AD23))+N($D23)*IF($AG23-$AF23&lt;1,($AF23&gt;Lists!F$22)*($AF23&lt;=Lists!F$21),MAX(0,MIN(Lists!F$21,$AG23)-MAX(Lists!F$22,$AF23))/($AG23-$AF23))+N($E23)*IF($AI23-$AH23&lt;1,($AH23&gt;Lists!F$22)*($AH23&lt;=Lists!F$21),MAX(0,MIN(Lists!F$21,$AI23)-MAX(Lists!F$22,$AH23))/($AI23-$AH23))+N($F23)*IF($AK23-$AJ23&lt;1,($AJ23&gt;Lists!F$22)*($AJ23&lt;=Lists!F$21),MAX(0,MIN(Lists!F$21,$AK23)-MAX(Lists!F$22,$AJ23))/($AK23-$AJ23))+N($G23)*IF($AM23-$AL23&lt;1,($AL23&gt;Lists!F$22)*($AL23&lt;=Lists!F$21),MAX(0,MIN(Lists!F$21,$AM23)-MAX(Lists!F$22,$AL23))/($AM23-$AL23))))))))</f>
        <v>0</v>
      </c>
      <c r="Q23" s="53" t="n">
        <f aca="false">IF($H23=0,0,IF($AP23="X",0,IF($AP23="S",$H23/$AO23*(MIN($AO23,MAX(0,INT((Lists!G$21-N($J23))/7)+1))-MIN($AO23,MAX(0,INT((Lists!G$22-N($J23))/7)+1))),IF($AP23="D",$H23*MAX(0,MIN(Lists!G$21,N($J23)+$AO23)-MAX(Lists!G$22,N($J23)))/$AO23,IF($AP23="M",$H23/$AO23*(IF(Lists!G$21&lt;$J23,0,MIN($AO23,(((YEAR(Lists!G$21)-YEAR($J23))*12+MONTH(Lists!G$21)-MONTH($J23))-(EDATE($J23,((YEAR(Lists!G$21)-YEAR($J23))*12+MONTH(Lists!G$21)-MONTH($J23)))&gt;Lists!G$21)+1)))-IF(Lists!G$22&lt;$J23,0,MIN($AO23,(((YEAR(Lists!G$22)-YEAR($J23))*12+MONTH(Lists!G$22)-MONTH($J23))-(EDATE($J23,((YEAR(Lists!G$22)-YEAR($J23))*12+MONTH(Lists!G$22)-MONTH($J23)))&gt;Lists!G$22)+1)))),IF($AP23="F",IF(N($K23)&lt;=0,0,MIN(MAX(0,$H23),N($K23)*IF(Lists!G$21&lt;$J23,0,(((YEAR(Lists!G$21)-YEAR($J23))*12+MONTH(Lists!G$21)-MONTH($J23))-(EDATE($J23,((YEAR(Lists!G$21)-YEAR($J23))*12+MONTH(Lists!G$21)-MONTH($J23)))&gt;Lists!G$21)+1)))-MIN(MAX(0,$H23),N($K23)*IF(Lists!G$22&lt;$J23,0,(((YEAR(Lists!G$22)-YEAR($J23))*12+MONTH(Lists!G$22)-MONTH($J23))-(EDATE($J23,((YEAR(Lists!G$22)-YEAR($J23))*12+MONTH(Lists!G$22)-MONTH($J23)))&gt;Lists!G$22)+1)))),N($C23)*IF($AE23-$AD23&lt;1,($AD23&gt;Lists!G$22)*($AD23&lt;=Lists!G$21),MAX(0,MIN(Lists!G$21,$AE23)-MAX(Lists!G$22,$AD23))/($AE23-$AD23))+N($D23)*IF($AG23-$AF23&lt;1,($AF23&gt;Lists!G$22)*($AF23&lt;=Lists!G$21),MAX(0,MIN(Lists!G$21,$AG23)-MAX(Lists!G$22,$AF23))/($AG23-$AF23))+N($E23)*IF($AI23-$AH23&lt;1,($AH23&gt;Lists!G$22)*($AH23&lt;=Lists!G$21),MAX(0,MIN(Lists!G$21,$AI23)-MAX(Lists!G$22,$AH23))/($AI23-$AH23))+N($F23)*IF($AK23-$AJ23&lt;1,($AJ23&gt;Lists!G$22)*($AJ23&lt;=Lists!G$21),MAX(0,MIN(Lists!G$21,$AK23)-MAX(Lists!G$22,$AJ23))/($AK23-$AJ23))+N($G23)*IF($AM23-$AL23&lt;1,($AL23&gt;Lists!G$22)*($AL23&lt;=Lists!G$21),MAX(0,MIN(Lists!G$21,$AM23)-MAX(Lists!G$22,$AL23))/($AM23-$AL23))))))))</f>
        <v>0</v>
      </c>
      <c r="R23" s="53" t="n">
        <f aca="false">IF($H23=0,0,IF($AP23="X",0,IF($AP23="S",$H23/$AO23*(MIN($AO23,MAX(0,INT((Lists!H$21-N($J23))/7)+1))-MIN($AO23,MAX(0,INT((Lists!H$22-N($J23))/7)+1))),IF($AP23="D",$H23*MAX(0,MIN(Lists!H$21,N($J23)+$AO23)-MAX(Lists!H$22,N($J23)))/$AO23,IF($AP23="M",$H23/$AO23*(IF(Lists!H$21&lt;$J23,0,MIN($AO23,(((YEAR(Lists!H$21)-YEAR($J23))*12+MONTH(Lists!H$21)-MONTH($J23))-(EDATE($J23,((YEAR(Lists!H$21)-YEAR($J23))*12+MONTH(Lists!H$21)-MONTH($J23)))&gt;Lists!H$21)+1)))-IF(Lists!H$22&lt;$J23,0,MIN($AO23,(((YEAR(Lists!H$22)-YEAR($J23))*12+MONTH(Lists!H$22)-MONTH($J23))-(EDATE($J23,((YEAR(Lists!H$22)-YEAR($J23))*12+MONTH(Lists!H$22)-MONTH($J23)))&gt;Lists!H$22)+1)))),IF($AP23="F",IF(N($K23)&lt;=0,0,MIN(MAX(0,$H23),N($K23)*IF(Lists!H$21&lt;$J23,0,(((YEAR(Lists!H$21)-YEAR($J23))*12+MONTH(Lists!H$21)-MONTH($J23))-(EDATE($J23,((YEAR(Lists!H$21)-YEAR($J23))*12+MONTH(Lists!H$21)-MONTH($J23)))&gt;Lists!H$21)+1)))-MIN(MAX(0,$H23),N($K23)*IF(Lists!H$22&lt;$J23,0,(((YEAR(Lists!H$22)-YEAR($J23))*12+MONTH(Lists!H$22)-MONTH($J23))-(EDATE($J23,((YEAR(Lists!H$22)-YEAR($J23))*12+MONTH(Lists!H$22)-MONTH($J23)))&gt;Lists!H$22)+1)))),N($C23)*IF($AE23-$AD23&lt;1,($AD23&gt;Lists!H$22)*($AD23&lt;=Lists!H$21),MAX(0,MIN(Lists!H$21,$AE23)-MAX(Lists!H$22,$AD23))/($AE23-$AD23))+N($D23)*IF($AG23-$AF23&lt;1,($AF23&gt;Lists!H$22)*($AF23&lt;=Lists!H$21),MAX(0,MIN(Lists!H$21,$AG23)-MAX(Lists!H$22,$AF23))/($AG23-$AF23))+N($E23)*IF($AI23-$AH23&lt;1,($AH23&gt;Lists!H$22)*($AH23&lt;=Lists!H$21),MAX(0,MIN(Lists!H$21,$AI23)-MAX(Lists!H$22,$AH23))/($AI23-$AH23))+N($F23)*IF($AK23-$AJ23&lt;1,($AJ23&gt;Lists!H$22)*($AJ23&lt;=Lists!H$21),MAX(0,MIN(Lists!H$21,$AK23)-MAX(Lists!H$22,$AJ23))/($AK23-$AJ23))+N($G23)*IF($AM23-$AL23&lt;1,($AL23&gt;Lists!H$22)*($AL23&lt;=Lists!H$21),MAX(0,MIN(Lists!H$21,$AM23)-MAX(Lists!H$22,$AL23))/($AM23-$AL23))))))))</f>
        <v>0</v>
      </c>
      <c r="S23" s="53" t="n">
        <f aca="false">IF($H23=0,0,IF($AP23="X",0,IF($AP23="S",$H23/$AO23*(MIN($AO23,MAX(0,INT((Lists!I$21-N($J23))/7)+1))-MIN($AO23,MAX(0,INT((Lists!I$22-N($J23))/7)+1))),IF($AP23="D",$H23*MAX(0,MIN(Lists!I$21,N($J23)+$AO23)-MAX(Lists!I$22,N($J23)))/$AO23,IF($AP23="M",$H23/$AO23*(IF(Lists!I$21&lt;$J23,0,MIN($AO23,(((YEAR(Lists!I$21)-YEAR($J23))*12+MONTH(Lists!I$21)-MONTH($J23))-(EDATE($J23,((YEAR(Lists!I$21)-YEAR($J23))*12+MONTH(Lists!I$21)-MONTH($J23)))&gt;Lists!I$21)+1)))-IF(Lists!I$22&lt;$J23,0,MIN($AO23,(((YEAR(Lists!I$22)-YEAR($J23))*12+MONTH(Lists!I$22)-MONTH($J23))-(EDATE($J23,((YEAR(Lists!I$22)-YEAR($J23))*12+MONTH(Lists!I$22)-MONTH($J23)))&gt;Lists!I$22)+1)))),IF($AP23="F",IF(N($K23)&lt;=0,0,MIN(MAX(0,$H23),N($K23)*IF(Lists!I$21&lt;$J23,0,(((YEAR(Lists!I$21)-YEAR($J23))*12+MONTH(Lists!I$21)-MONTH($J23))-(EDATE($J23,((YEAR(Lists!I$21)-YEAR($J23))*12+MONTH(Lists!I$21)-MONTH($J23)))&gt;Lists!I$21)+1)))-MIN(MAX(0,$H23),N($K23)*IF(Lists!I$22&lt;$J23,0,(((YEAR(Lists!I$22)-YEAR($J23))*12+MONTH(Lists!I$22)-MONTH($J23))-(EDATE($J23,((YEAR(Lists!I$22)-YEAR($J23))*12+MONTH(Lists!I$22)-MONTH($J23)))&gt;Lists!I$22)+1)))),N($C23)*IF($AE23-$AD23&lt;1,($AD23&gt;Lists!I$22)*($AD23&lt;=Lists!I$21),MAX(0,MIN(Lists!I$21,$AE23)-MAX(Lists!I$22,$AD23))/($AE23-$AD23))+N($D23)*IF($AG23-$AF23&lt;1,($AF23&gt;Lists!I$22)*($AF23&lt;=Lists!I$21),MAX(0,MIN(Lists!I$21,$AG23)-MAX(Lists!I$22,$AF23))/($AG23-$AF23))+N($E23)*IF($AI23-$AH23&lt;1,($AH23&gt;Lists!I$22)*($AH23&lt;=Lists!I$21),MAX(0,MIN(Lists!I$21,$AI23)-MAX(Lists!I$22,$AH23))/($AI23-$AH23))+N($F23)*IF($AK23-$AJ23&lt;1,($AJ23&gt;Lists!I$22)*($AJ23&lt;=Lists!I$21),MAX(0,MIN(Lists!I$21,$AK23)-MAX(Lists!I$22,$AJ23))/($AK23-$AJ23))+N($G23)*IF($AM23-$AL23&lt;1,($AL23&gt;Lists!I$22)*($AL23&lt;=Lists!I$21),MAX(0,MIN(Lists!I$21,$AM23)-MAX(Lists!I$22,$AL23))/($AM23-$AL23))))))))</f>
        <v>0</v>
      </c>
      <c r="T23" s="53" t="n">
        <f aca="false">IF($H23=0,0,IF($AP23="X",0,IF($AP23="S",$H23/$AO23*(MIN($AO23,MAX(0,INT((Lists!J$21-N($J23))/7)+1))-MIN($AO23,MAX(0,INT((Lists!J$22-N($J23))/7)+1))),IF($AP23="D",$H23*MAX(0,MIN(Lists!J$21,N($J23)+$AO23)-MAX(Lists!J$22,N($J23)))/$AO23,IF($AP23="M",$H23/$AO23*(IF(Lists!J$21&lt;$J23,0,MIN($AO23,(((YEAR(Lists!J$21)-YEAR($J23))*12+MONTH(Lists!J$21)-MONTH($J23))-(EDATE($J23,((YEAR(Lists!J$21)-YEAR($J23))*12+MONTH(Lists!J$21)-MONTH($J23)))&gt;Lists!J$21)+1)))-IF(Lists!J$22&lt;$J23,0,MIN($AO23,(((YEAR(Lists!J$22)-YEAR($J23))*12+MONTH(Lists!J$22)-MONTH($J23))-(EDATE($J23,((YEAR(Lists!J$22)-YEAR($J23))*12+MONTH(Lists!J$22)-MONTH($J23)))&gt;Lists!J$22)+1)))),IF($AP23="F",IF(N($K23)&lt;=0,0,MIN(MAX(0,$H23),N($K23)*IF(Lists!J$21&lt;$J23,0,(((YEAR(Lists!J$21)-YEAR($J23))*12+MONTH(Lists!J$21)-MONTH($J23))-(EDATE($J23,((YEAR(Lists!J$21)-YEAR($J23))*12+MONTH(Lists!J$21)-MONTH($J23)))&gt;Lists!J$21)+1)))-MIN(MAX(0,$H23),N($K23)*IF(Lists!J$22&lt;$J23,0,(((YEAR(Lists!J$22)-YEAR($J23))*12+MONTH(Lists!J$22)-MONTH($J23))-(EDATE($J23,((YEAR(Lists!J$22)-YEAR($J23))*12+MONTH(Lists!J$22)-MONTH($J23)))&gt;Lists!J$22)+1)))),N($C23)*IF($AE23-$AD23&lt;1,($AD23&gt;Lists!J$22)*($AD23&lt;=Lists!J$21),MAX(0,MIN(Lists!J$21,$AE23)-MAX(Lists!J$22,$AD23))/($AE23-$AD23))+N($D23)*IF($AG23-$AF23&lt;1,($AF23&gt;Lists!J$22)*($AF23&lt;=Lists!J$21),MAX(0,MIN(Lists!J$21,$AG23)-MAX(Lists!J$22,$AF23))/($AG23-$AF23))+N($E23)*IF($AI23-$AH23&lt;1,($AH23&gt;Lists!J$22)*($AH23&lt;=Lists!J$21),MAX(0,MIN(Lists!J$21,$AI23)-MAX(Lists!J$22,$AH23))/($AI23-$AH23))+N($F23)*IF($AK23-$AJ23&lt;1,($AJ23&gt;Lists!J$22)*($AJ23&lt;=Lists!J$21),MAX(0,MIN(Lists!J$21,$AK23)-MAX(Lists!J$22,$AJ23))/($AK23-$AJ23))+N($G23)*IF($AM23-$AL23&lt;1,($AL23&gt;Lists!J$22)*($AL23&lt;=Lists!J$21),MAX(0,MIN(Lists!J$21,$AM23)-MAX(Lists!J$22,$AL23))/($AM23-$AL23))))))))</f>
        <v>0</v>
      </c>
      <c r="U23" s="53" t="n">
        <f aca="false">IF($H23=0,0,IF($AP23="X",0,IF($AP23="S",$H23/$AO23*(MIN($AO23,MAX(0,INT((Lists!K$21-N($J23))/7)+1))-MIN($AO23,MAX(0,INT((Lists!K$22-N($J23))/7)+1))),IF($AP23="D",$H23*MAX(0,MIN(Lists!K$21,N($J23)+$AO23)-MAX(Lists!K$22,N($J23)))/$AO23,IF($AP23="M",$H23/$AO23*(IF(Lists!K$21&lt;$J23,0,MIN($AO23,(((YEAR(Lists!K$21)-YEAR($J23))*12+MONTH(Lists!K$21)-MONTH($J23))-(EDATE($J23,((YEAR(Lists!K$21)-YEAR($J23))*12+MONTH(Lists!K$21)-MONTH($J23)))&gt;Lists!K$21)+1)))-IF(Lists!K$22&lt;$J23,0,MIN($AO23,(((YEAR(Lists!K$22)-YEAR($J23))*12+MONTH(Lists!K$22)-MONTH($J23))-(EDATE($J23,((YEAR(Lists!K$22)-YEAR($J23))*12+MONTH(Lists!K$22)-MONTH($J23)))&gt;Lists!K$22)+1)))),IF($AP23="F",IF(N($K23)&lt;=0,0,MIN(MAX(0,$H23),N($K23)*IF(Lists!K$21&lt;$J23,0,(((YEAR(Lists!K$21)-YEAR($J23))*12+MONTH(Lists!K$21)-MONTH($J23))-(EDATE($J23,((YEAR(Lists!K$21)-YEAR($J23))*12+MONTH(Lists!K$21)-MONTH($J23)))&gt;Lists!K$21)+1)))-MIN(MAX(0,$H23),N($K23)*IF(Lists!K$22&lt;$J23,0,(((YEAR(Lists!K$22)-YEAR($J23))*12+MONTH(Lists!K$22)-MONTH($J23))-(EDATE($J23,((YEAR(Lists!K$22)-YEAR($J23))*12+MONTH(Lists!K$22)-MONTH($J23)))&gt;Lists!K$22)+1)))),N($C23)*IF($AE23-$AD23&lt;1,($AD23&gt;Lists!K$22)*($AD23&lt;=Lists!K$21),MAX(0,MIN(Lists!K$21,$AE23)-MAX(Lists!K$22,$AD23))/($AE23-$AD23))+N($D23)*IF($AG23-$AF23&lt;1,($AF23&gt;Lists!K$22)*($AF23&lt;=Lists!K$21),MAX(0,MIN(Lists!K$21,$AG23)-MAX(Lists!K$22,$AF23))/($AG23-$AF23))+N($E23)*IF($AI23-$AH23&lt;1,($AH23&gt;Lists!K$22)*($AH23&lt;=Lists!K$21),MAX(0,MIN(Lists!K$21,$AI23)-MAX(Lists!K$22,$AH23))/($AI23-$AH23))+N($F23)*IF($AK23-$AJ23&lt;1,($AJ23&gt;Lists!K$22)*($AJ23&lt;=Lists!K$21),MAX(0,MIN(Lists!K$21,$AK23)-MAX(Lists!K$22,$AJ23))/($AK23-$AJ23))+N($G23)*IF($AM23-$AL23&lt;1,($AL23&gt;Lists!K$22)*($AL23&lt;=Lists!K$21),MAX(0,MIN(Lists!K$21,$AM23)-MAX(Lists!K$22,$AL23))/($AM23-$AL23))))))))</f>
        <v>0</v>
      </c>
      <c r="V23" s="53" t="n">
        <f aca="false">IF($H23=0,0,IF($AP23="X",0,IF($AP23="S",$H23/$AO23*(MIN($AO23,MAX(0,INT((Lists!L$21-N($J23))/7)+1))-MIN($AO23,MAX(0,INT((Lists!L$22-N($J23))/7)+1))),IF($AP23="D",$H23*MAX(0,MIN(Lists!L$21,N($J23)+$AO23)-MAX(Lists!L$22,N($J23)))/$AO23,IF($AP23="M",$H23/$AO23*(IF(Lists!L$21&lt;$J23,0,MIN($AO23,(((YEAR(Lists!L$21)-YEAR($J23))*12+MONTH(Lists!L$21)-MONTH($J23))-(EDATE($J23,((YEAR(Lists!L$21)-YEAR($J23))*12+MONTH(Lists!L$21)-MONTH($J23)))&gt;Lists!L$21)+1)))-IF(Lists!L$22&lt;$J23,0,MIN($AO23,(((YEAR(Lists!L$22)-YEAR($J23))*12+MONTH(Lists!L$22)-MONTH($J23))-(EDATE($J23,((YEAR(Lists!L$22)-YEAR($J23))*12+MONTH(Lists!L$22)-MONTH($J23)))&gt;Lists!L$22)+1)))),IF($AP23="F",IF(N($K23)&lt;=0,0,MIN(MAX(0,$H23),N($K23)*IF(Lists!L$21&lt;$J23,0,(((YEAR(Lists!L$21)-YEAR($J23))*12+MONTH(Lists!L$21)-MONTH($J23))-(EDATE($J23,((YEAR(Lists!L$21)-YEAR($J23))*12+MONTH(Lists!L$21)-MONTH($J23)))&gt;Lists!L$21)+1)))-MIN(MAX(0,$H23),N($K23)*IF(Lists!L$22&lt;$J23,0,(((YEAR(Lists!L$22)-YEAR($J23))*12+MONTH(Lists!L$22)-MONTH($J23))-(EDATE($J23,((YEAR(Lists!L$22)-YEAR($J23))*12+MONTH(Lists!L$22)-MONTH($J23)))&gt;Lists!L$22)+1)))),N($C23)*IF($AE23-$AD23&lt;1,($AD23&gt;Lists!L$22)*($AD23&lt;=Lists!L$21),MAX(0,MIN(Lists!L$21,$AE23)-MAX(Lists!L$22,$AD23))/($AE23-$AD23))+N($D23)*IF($AG23-$AF23&lt;1,($AF23&gt;Lists!L$22)*($AF23&lt;=Lists!L$21),MAX(0,MIN(Lists!L$21,$AG23)-MAX(Lists!L$22,$AF23))/($AG23-$AF23))+N($E23)*IF($AI23-$AH23&lt;1,($AH23&gt;Lists!L$22)*($AH23&lt;=Lists!L$21),MAX(0,MIN(Lists!L$21,$AI23)-MAX(Lists!L$22,$AH23))/($AI23-$AH23))+N($F23)*IF($AK23-$AJ23&lt;1,($AJ23&gt;Lists!L$22)*($AJ23&lt;=Lists!L$21),MAX(0,MIN(Lists!L$21,$AK23)-MAX(Lists!L$22,$AJ23))/($AK23-$AJ23))+N($G23)*IF($AM23-$AL23&lt;1,($AL23&gt;Lists!L$22)*($AL23&lt;=Lists!L$21),MAX(0,MIN(Lists!L$21,$AM23)-MAX(Lists!L$22,$AL23))/($AM23-$AL23))))))))</f>
        <v>0</v>
      </c>
      <c r="W23" s="53" t="n">
        <f aca="false">IF($H23=0,0,IF($AP23="X",0,IF($AP23="S",$H23/$AO23*(MIN($AO23,MAX(0,INT((Lists!M$21-N($J23))/7)+1))-MIN($AO23,MAX(0,INT((Lists!M$22-N($J23))/7)+1))),IF($AP23="D",$H23*MAX(0,MIN(Lists!M$21,N($J23)+$AO23)-MAX(Lists!M$22,N($J23)))/$AO23,IF($AP23="M",$H23/$AO23*(IF(Lists!M$21&lt;$J23,0,MIN($AO23,(((YEAR(Lists!M$21)-YEAR($J23))*12+MONTH(Lists!M$21)-MONTH($J23))-(EDATE($J23,((YEAR(Lists!M$21)-YEAR($J23))*12+MONTH(Lists!M$21)-MONTH($J23)))&gt;Lists!M$21)+1)))-IF(Lists!M$22&lt;$J23,0,MIN($AO23,(((YEAR(Lists!M$22)-YEAR($J23))*12+MONTH(Lists!M$22)-MONTH($J23))-(EDATE($J23,((YEAR(Lists!M$22)-YEAR($J23))*12+MONTH(Lists!M$22)-MONTH($J23)))&gt;Lists!M$22)+1)))),IF($AP23="F",IF(N($K23)&lt;=0,0,MIN(MAX(0,$H23),N($K23)*IF(Lists!M$21&lt;$J23,0,(((YEAR(Lists!M$21)-YEAR($J23))*12+MONTH(Lists!M$21)-MONTH($J23))-(EDATE($J23,((YEAR(Lists!M$21)-YEAR($J23))*12+MONTH(Lists!M$21)-MONTH($J23)))&gt;Lists!M$21)+1)))-MIN(MAX(0,$H23),N($K23)*IF(Lists!M$22&lt;$J23,0,(((YEAR(Lists!M$22)-YEAR($J23))*12+MONTH(Lists!M$22)-MONTH($J23))-(EDATE($J23,((YEAR(Lists!M$22)-YEAR($J23))*12+MONTH(Lists!M$22)-MONTH($J23)))&gt;Lists!M$22)+1)))),N($C23)*IF($AE23-$AD23&lt;1,($AD23&gt;Lists!M$22)*($AD23&lt;=Lists!M$21),MAX(0,MIN(Lists!M$21,$AE23)-MAX(Lists!M$22,$AD23))/($AE23-$AD23))+N($D23)*IF($AG23-$AF23&lt;1,($AF23&gt;Lists!M$22)*($AF23&lt;=Lists!M$21),MAX(0,MIN(Lists!M$21,$AG23)-MAX(Lists!M$22,$AF23))/($AG23-$AF23))+N($E23)*IF($AI23-$AH23&lt;1,($AH23&gt;Lists!M$22)*($AH23&lt;=Lists!M$21),MAX(0,MIN(Lists!M$21,$AI23)-MAX(Lists!M$22,$AH23))/($AI23-$AH23))+N($F23)*IF($AK23-$AJ23&lt;1,($AJ23&gt;Lists!M$22)*($AJ23&lt;=Lists!M$21),MAX(0,MIN(Lists!M$21,$AK23)-MAX(Lists!M$22,$AJ23))/($AK23-$AJ23))+N($G23)*IF($AM23-$AL23&lt;1,($AL23&gt;Lists!M$22)*($AL23&lt;=Lists!M$21),MAX(0,MIN(Lists!M$21,$AM23)-MAX(Lists!M$22,$AL23))/($AM23-$AL23))))))))</f>
        <v>0</v>
      </c>
      <c r="X23" s="53" t="n">
        <f aca="false">IF($H23=0,0,IF($AP23="X",0,IF($AP23="S",$H23/$AO23*(MIN($AO23,MAX(0,INT((Lists!N$21-N($J23))/7)+1))-MIN($AO23,MAX(0,INT((Lists!N$22-N($J23))/7)+1))),IF($AP23="D",$H23*MAX(0,MIN(Lists!N$21,N($J23)+$AO23)-MAX(Lists!N$22,N($J23)))/$AO23,IF($AP23="M",$H23/$AO23*(IF(Lists!N$21&lt;$J23,0,MIN($AO23,(((YEAR(Lists!N$21)-YEAR($J23))*12+MONTH(Lists!N$21)-MONTH($J23))-(EDATE($J23,((YEAR(Lists!N$21)-YEAR($J23))*12+MONTH(Lists!N$21)-MONTH($J23)))&gt;Lists!N$21)+1)))-IF(Lists!N$22&lt;$J23,0,MIN($AO23,(((YEAR(Lists!N$22)-YEAR($J23))*12+MONTH(Lists!N$22)-MONTH($J23))-(EDATE($J23,((YEAR(Lists!N$22)-YEAR($J23))*12+MONTH(Lists!N$22)-MONTH($J23)))&gt;Lists!N$22)+1)))),IF($AP23="F",IF(N($K23)&lt;=0,0,MIN(MAX(0,$H23),N($K23)*IF(Lists!N$21&lt;$J23,0,(((YEAR(Lists!N$21)-YEAR($J23))*12+MONTH(Lists!N$21)-MONTH($J23))-(EDATE($J23,((YEAR(Lists!N$21)-YEAR($J23))*12+MONTH(Lists!N$21)-MONTH($J23)))&gt;Lists!N$21)+1)))-MIN(MAX(0,$H23),N($K23)*IF(Lists!N$22&lt;$J23,0,(((YEAR(Lists!N$22)-YEAR($J23))*12+MONTH(Lists!N$22)-MONTH($J23))-(EDATE($J23,((YEAR(Lists!N$22)-YEAR($J23))*12+MONTH(Lists!N$22)-MONTH($J23)))&gt;Lists!N$22)+1)))),N($C23)*IF($AE23-$AD23&lt;1,($AD23&gt;Lists!N$22)*($AD23&lt;=Lists!N$21),MAX(0,MIN(Lists!N$21,$AE23)-MAX(Lists!N$22,$AD23))/($AE23-$AD23))+N($D23)*IF($AG23-$AF23&lt;1,($AF23&gt;Lists!N$22)*($AF23&lt;=Lists!N$21),MAX(0,MIN(Lists!N$21,$AG23)-MAX(Lists!N$22,$AF23))/($AG23-$AF23))+N($E23)*IF($AI23-$AH23&lt;1,($AH23&gt;Lists!N$22)*($AH23&lt;=Lists!N$21),MAX(0,MIN(Lists!N$21,$AI23)-MAX(Lists!N$22,$AH23))/($AI23-$AH23))+N($F23)*IF($AK23-$AJ23&lt;1,($AJ23&gt;Lists!N$22)*($AJ23&lt;=Lists!N$21),MAX(0,MIN(Lists!N$21,$AK23)-MAX(Lists!N$22,$AJ23))/($AK23-$AJ23))+N($G23)*IF($AM23-$AL23&lt;1,($AL23&gt;Lists!N$22)*($AL23&lt;=Lists!N$21),MAX(0,MIN(Lists!N$21,$AM23)-MAX(Lists!N$22,$AL23))/($AM23-$AL23))))))))</f>
        <v>0</v>
      </c>
      <c r="Y23" s="53" t="n">
        <f aca="false">IF($H23=0,0,IF($AP23="X",0,IF($AP23="S",$H23/$AO23*(MIN($AO23,MAX(0,INT((Lists!O$21-N($J23))/7)+1))-MIN($AO23,MAX(0,INT((Lists!O$22-N($J23))/7)+1))),IF($AP23="D",$H23*MAX(0,MIN(Lists!O$21,N($J23)+$AO23)-MAX(Lists!O$22,N($J23)))/$AO23,IF($AP23="M",$H23/$AO23*(IF(Lists!O$21&lt;$J23,0,MIN($AO23,(((YEAR(Lists!O$21)-YEAR($J23))*12+MONTH(Lists!O$21)-MONTH($J23))-(EDATE($J23,((YEAR(Lists!O$21)-YEAR($J23))*12+MONTH(Lists!O$21)-MONTH($J23)))&gt;Lists!O$21)+1)))-IF(Lists!O$22&lt;$J23,0,MIN($AO23,(((YEAR(Lists!O$22)-YEAR($J23))*12+MONTH(Lists!O$22)-MONTH($J23))-(EDATE($J23,((YEAR(Lists!O$22)-YEAR($J23))*12+MONTH(Lists!O$22)-MONTH($J23)))&gt;Lists!O$22)+1)))),IF($AP23="F",IF(N($K23)&lt;=0,0,MIN(MAX(0,$H23),N($K23)*IF(Lists!O$21&lt;$J23,0,(((YEAR(Lists!O$21)-YEAR($J23))*12+MONTH(Lists!O$21)-MONTH($J23))-(EDATE($J23,((YEAR(Lists!O$21)-YEAR($J23))*12+MONTH(Lists!O$21)-MONTH($J23)))&gt;Lists!O$21)+1)))-MIN(MAX(0,$H23),N($K23)*IF(Lists!O$22&lt;$J23,0,(((YEAR(Lists!O$22)-YEAR($J23))*12+MONTH(Lists!O$22)-MONTH($J23))-(EDATE($J23,((YEAR(Lists!O$22)-YEAR($J23))*12+MONTH(Lists!O$22)-MONTH($J23)))&gt;Lists!O$22)+1)))),N($C23)*IF($AE23-$AD23&lt;1,($AD23&gt;Lists!O$22)*($AD23&lt;=Lists!O$21),MAX(0,MIN(Lists!O$21,$AE23)-MAX(Lists!O$22,$AD23))/($AE23-$AD23))+N($D23)*IF($AG23-$AF23&lt;1,($AF23&gt;Lists!O$22)*($AF23&lt;=Lists!O$21),MAX(0,MIN(Lists!O$21,$AG23)-MAX(Lists!O$22,$AF23))/($AG23-$AF23))+N($E23)*IF($AI23-$AH23&lt;1,($AH23&gt;Lists!O$22)*($AH23&lt;=Lists!O$21),MAX(0,MIN(Lists!O$21,$AI23)-MAX(Lists!O$22,$AH23))/($AI23-$AH23))+N($F23)*IF($AK23-$AJ23&lt;1,($AJ23&gt;Lists!O$22)*($AJ23&lt;=Lists!O$21),MAX(0,MIN(Lists!O$21,$AK23)-MAX(Lists!O$22,$AJ23))/($AK23-$AJ23))+N($G23)*IF($AM23-$AL23&lt;1,($AL23&gt;Lists!O$22)*($AL23&lt;=Lists!O$21),MAX(0,MIN(Lists!O$21,$AM23)-MAX(Lists!O$22,$AL23))/($AM23-$AL23))))))))</f>
        <v>0</v>
      </c>
      <c r="Z23" s="46" t="n">
        <f aca="false">SUM(M23:Y23)</f>
        <v>0</v>
      </c>
      <c r="AA23" s="92" t="n">
        <f aca="false">H23-Z23</f>
        <v>0</v>
      </c>
      <c r="AB23" s="55"/>
      <c r="AC23" s="2"/>
      <c r="AD23" s="93" t="n">
        <f aca="false">Setup!$D$10+MAX(0,$AN23-30)</f>
        <v>46345</v>
      </c>
      <c r="AE23" s="93" t="n">
        <f aca="false">Setup!$D$10+IF($AN23-30&lt;0,MAX(Setup!$D$22,$AN23-0),$AN23-0)</f>
        <v>46375</v>
      </c>
      <c r="AF23" s="93" t="n">
        <f aca="false">Setup!$D$10+MAX(0,$AN23-60)</f>
        <v>46335</v>
      </c>
      <c r="AG23" s="93" t="n">
        <f aca="false">Setup!$D$10+IF($AN23-60&lt;0,MAX(Setup!$D$22,$AN23-31),$AN23-31)</f>
        <v>46363</v>
      </c>
      <c r="AH23" s="93" t="n">
        <f aca="false">Setup!$D$10+MAX(0,$AN23-90)</f>
        <v>46335</v>
      </c>
      <c r="AI23" s="93" t="n">
        <f aca="false">Setup!$D$10+IF($AN23-90&lt;0,MAX(Setup!$D$22,$AN23-61),$AN23-61)</f>
        <v>46363</v>
      </c>
      <c r="AJ23" s="93" t="n">
        <f aca="false">Setup!$D$10+MAX(0,$AN23-120)</f>
        <v>46335</v>
      </c>
      <c r="AK23" s="93" t="n">
        <f aca="false">Setup!$D$10+IF($AN23-120&lt;0,MAX(Setup!$D$22,$AN23-91),$AN23-91)</f>
        <v>46363</v>
      </c>
      <c r="AL23" s="93" t="n">
        <f aca="false">Setup!$D$10</f>
        <v>46335</v>
      </c>
      <c r="AM23" s="93" t="n">
        <f aca="false">IF(AL23=2958465,AL23,Setup!$D$10+Setup!$D$22)</f>
        <v>46363</v>
      </c>
      <c r="AN23" s="94" t="n">
        <f aca="false">IF(N(L23)=0,Setup!$D$21,L23)</f>
        <v>40</v>
      </c>
      <c r="AO23" s="94" t="n">
        <f aca="false">MAX(1,ROUND(N(K23),0))</f>
        <v>1</v>
      </c>
      <c r="AP23" s="95" t="str">
        <f aca="false">IF(I23="On hold","X",IF(N(J23)=0,"A",IF(I23="Specific date","S",IF(I23="Spread over days","D",IF(I23="Monthly on set day","M",IF(I23="Monthly fixed amount","F","A"))))))</f>
        <v>A</v>
      </c>
    </row>
    <row r="24" customFormat="false" ht="15" hidden="false" customHeight="false" outlineLevel="0" collapsed="false">
      <c r="A24" s="87" t="n">
        <v>16</v>
      </c>
      <c r="B24" s="55"/>
      <c r="C24" s="88"/>
      <c r="D24" s="88"/>
      <c r="E24" s="88"/>
      <c r="F24" s="88"/>
      <c r="G24" s="88"/>
      <c r="H24" s="89" t="n">
        <f aca="false">SUM(C24:G24)</f>
        <v>0</v>
      </c>
      <c r="I24" s="58"/>
      <c r="J24" s="90"/>
      <c r="K24" s="91"/>
      <c r="L24" s="80"/>
      <c r="M24" s="53" t="n">
        <f aca="false">IF($H24=0,0,IF($AP24="X",0,IF($AP24="S",$H24/$AO24*(MIN($AO24,MAX(0,INT((Lists!C$21-N($J24))/7)+1))-MIN($AO24,MAX(0,INT((Lists!C$22-N($J24))/7)+1))),IF($AP24="D",$H24*MAX(0,MIN(Lists!C$21,N($J24)+$AO24)-MAX(Lists!C$22,N($J24)))/$AO24,IF($AP24="M",$H24/$AO24*(IF(Lists!C$21&lt;$J24,0,MIN($AO24,(((YEAR(Lists!C$21)-YEAR($J24))*12+MONTH(Lists!C$21)-MONTH($J24))-(EDATE($J24,((YEAR(Lists!C$21)-YEAR($J24))*12+MONTH(Lists!C$21)-MONTH($J24)))&gt;Lists!C$21)+1)))-IF(Lists!C$22&lt;$J24,0,MIN($AO24,(((YEAR(Lists!C$22)-YEAR($J24))*12+MONTH(Lists!C$22)-MONTH($J24))-(EDATE($J24,((YEAR(Lists!C$22)-YEAR($J24))*12+MONTH(Lists!C$22)-MONTH($J24)))&gt;Lists!C$22)+1)))),IF($AP24="F",IF(N($K24)&lt;=0,0,MIN(MAX(0,$H24),N($K24)*IF(Lists!C$21&lt;$J24,0,(((YEAR(Lists!C$21)-YEAR($J24))*12+MONTH(Lists!C$21)-MONTH($J24))-(EDATE($J24,((YEAR(Lists!C$21)-YEAR($J24))*12+MONTH(Lists!C$21)-MONTH($J24)))&gt;Lists!C$21)+1)))-MIN(MAX(0,$H24),N($K24)*IF(Lists!C$22&lt;$J24,0,(((YEAR(Lists!C$22)-YEAR($J24))*12+MONTH(Lists!C$22)-MONTH($J24))-(EDATE($J24,((YEAR(Lists!C$22)-YEAR($J24))*12+MONTH(Lists!C$22)-MONTH($J24)))&gt;Lists!C$22)+1)))),N($C24)*IF($AE24-$AD24&lt;1,($AD24&gt;Lists!C$22)*($AD24&lt;=Lists!C$21),MAX(0,MIN(Lists!C$21,$AE24)-MAX(Lists!C$22,$AD24))/($AE24-$AD24))+N($D24)*IF($AG24-$AF24&lt;1,($AF24&gt;Lists!C$22)*($AF24&lt;=Lists!C$21),MAX(0,MIN(Lists!C$21,$AG24)-MAX(Lists!C$22,$AF24))/($AG24-$AF24))+N($E24)*IF($AI24-$AH24&lt;1,($AH24&gt;Lists!C$22)*($AH24&lt;=Lists!C$21),MAX(0,MIN(Lists!C$21,$AI24)-MAX(Lists!C$22,$AH24))/($AI24-$AH24))+N($F24)*IF($AK24-$AJ24&lt;1,($AJ24&gt;Lists!C$22)*($AJ24&lt;=Lists!C$21),MAX(0,MIN(Lists!C$21,$AK24)-MAX(Lists!C$22,$AJ24))/($AK24-$AJ24))+N($G24)*IF($AM24-$AL24&lt;1,($AL24&gt;Lists!C$22)*($AL24&lt;=Lists!C$21),MAX(0,MIN(Lists!C$21,$AM24)-MAX(Lists!C$22,$AL24))/($AM24-$AL24))))))))</f>
        <v>0</v>
      </c>
      <c r="N24" s="53" t="n">
        <f aca="false">IF($H24=0,0,IF($AP24="X",0,IF($AP24="S",$H24/$AO24*(MIN($AO24,MAX(0,INT((Lists!D$21-N($J24))/7)+1))-MIN($AO24,MAX(0,INT((Lists!D$22-N($J24))/7)+1))),IF($AP24="D",$H24*MAX(0,MIN(Lists!D$21,N($J24)+$AO24)-MAX(Lists!D$22,N($J24)))/$AO24,IF($AP24="M",$H24/$AO24*(IF(Lists!D$21&lt;$J24,0,MIN($AO24,(((YEAR(Lists!D$21)-YEAR($J24))*12+MONTH(Lists!D$21)-MONTH($J24))-(EDATE($J24,((YEAR(Lists!D$21)-YEAR($J24))*12+MONTH(Lists!D$21)-MONTH($J24)))&gt;Lists!D$21)+1)))-IF(Lists!D$22&lt;$J24,0,MIN($AO24,(((YEAR(Lists!D$22)-YEAR($J24))*12+MONTH(Lists!D$22)-MONTH($J24))-(EDATE($J24,((YEAR(Lists!D$22)-YEAR($J24))*12+MONTH(Lists!D$22)-MONTH($J24)))&gt;Lists!D$22)+1)))),IF($AP24="F",IF(N($K24)&lt;=0,0,MIN(MAX(0,$H24),N($K24)*IF(Lists!D$21&lt;$J24,0,(((YEAR(Lists!D$21)-YEAR($J24))*12+MONTH(Lists!D$21)-MONTH($J24))-(EDATE($J24,((YEAR(Lists!D$21)-YEAR($J24))*12+MONTH(Lists!D$21)-MONTH($J24)))&gt;Lists!D$21)+1)))-MIN(MAX(0,$H24),N($K24)*IF(Lists!D$22&lt;$J24,0,(((YEAR(Lists!D$22)-YEAR($J24))*12+MONTH(Lists!D$22)-MONTH($J24))-(EDATE($J24,((YEAR(Lists!D$22)-YEAR($J24))*12+MONTH(Lists!D$22)-MONTH($J24)))&gt;Lists!D$22)+1)))),N($C24)*IF($AE24-$AD24&lt;1,($AD24&gt;Lists!D$22)*($AD24&lt;=Lists!D$21),MAX(0,MIN(Lists!D$21,$AE24)-MAX(Lists!D$22,$AD24))/($AE24-$AD24))+N($D24)*IF($AG24-$AF24&lt;1,($AF24&gt;Lists!D$22)*($AF24&lt;=Lists!D$21),MAX(0,MIN(Lists!D$21,$AG24)-MAX(Lists!D$22,$AF24))/($AG24-$AF24))+N($E24)*IF($AI24-$AH24&lt;1,($AH24&gt;Lists!D$22)*($AH24&lt;=Lists!D$21),MAX(0,MIN(Lists!D$21,$AI24)-MAX(Lists!D$22,$AH24))/($AI24-$AH24))+N($F24)*IF($AK24-$AJ24&lt;1,($AJ24&gt;Lists!D$22)*($AJ24&lt;=Lists!D$21),MAX(0,MIN(Lists!D$21,$AK24)-MAX(Lists!D$22,$AJ24))/($AK24-$AJ24))+N($G24)*IF($AM24-$AL24&lt;1,($AL24&gt;Lists!D$22)*($AL24&lt;=Lists!D$21),MAX(0,MIN(Lists!D$21,$AM24)-MAX(Lists!D$22,$AL24))/($AM24-$AL24))))))))</f>
        <v>0</v>
      </c>
      <c r="O24" s="53" t="n">
        <f aca="false">IF($H24=0,0,IF($AP24="X",0,IF($AP24="S",$H24/$AO24*(MIN($AO24,MAX(0,INT((Lists!E$21-N($J24))/7)+1))-MIN($AO24,MAX(0,INT((Lists!E$22-N($J24))/7)+1))),IF($AP24="D",$H24*MAX(0,MIN(Lists!E$21,N($J24)+$AO24)-MAX(Lists!E$22,N($J24)))/$AO24,IF($AP24="M",$H24/$AO24*(IF(Lists!E$21&lt;$J24,0,MIN($AO24,(((YEAR(Lists!E$21)-YEAR($J24))*12+MONTH(Lists!E$21)-MONTH($J24))-(EDATE($J24,((YEAR(Lists!E$21)-YEAR($J24))*12+MONTH(Lists!E$21)-MONTH($J24)))&gt;Lists!E$21)+1)))-IF(Lists!E$22&lt;$J24,0,MIN($AO24,(((YEAR(Lists!E$22)-YEAR($J24))*12+MONTH(Lists!E$22)-MONTH($J24))-(EDATE($J24,((YEAR(Lists!E$22)-YEAR($J24))*12+MONTH(Lists!E$22)-MONTH($J24)))&gt;Lists!E$22)+1)))),IF($AP24="F",IF(N($K24)&lt;=0,0,MIN(MAX(0,$H24),N($K24)*IF(Lists!E$21&lt;$J24,0,(((YEAR(Lists!E$21)-YEAR($J24))*12+MONTH(Lists!E$21)-MONTH($J24))-(EDATE($J24,((YEAR(Lists!E$21)-YEAR($J24))*12+MONTH(Lists!E$21)-MONTH($J24)))&gt;Lists!E$21)+1)))-MIN(MAX(0,$H24),N($K24)*IF(Lists!E$22&lt;$J24,0,(((YEAR(Lists!E$22)-YEAR($J24))*12+MONTH(Lists!E$22)-MONTH($J24))-(EDATE($J24,((YEAR(Lists!E$22)-YEAR($J24))*12+MONTH(Lists!E$22)-MONTH($J24)))&gt;Lists!E$22)+1)))),N($C24)*IF($AE24-$AD24&lt;1,($AD24&gt;Lists!E$22)*($AD24&lt;=Lists!E$21),MAX(0,MIN(Lists!E$21,$AE24)-MAX(Lists!E$22,$AD24))/($AE24-$AD24))+N($D24)*IF($AG24-$AF24&lt;1,($AF24&gt;Lists!E$22)*($AF24&lt;=Lists!E$21),MAX(0,MIN(Lists!E$21,$AG24)-MAX(Lists!E$22,$AF24))/($AG24-$AF24))+N($E24)*IF($AI24-$AH24&lt;1,($AH24&gt;Lists!E$22)*($AH24&lt;=Lists!E$21),MAX(0,MIN(Lists!E$21,$AI24)-MAX(Lists!E$22,$AH24))/($AI24-$AH24))+N($F24)*IF($AK24-$AJ24&lt;1,($AJ24&gt;Lists!E$22)*($AJ24&lt;=Lists!E$21),MAX(0,MIN(Lists!E$21,$AK24)-MAX(Lists!E$22,$AJ24))/($AK24-$AJ24))+N($G24)*IF($AM24-$AL24&lt;1,($AL24&gt;Lists!E$22)*($AL24&lt;=Lists!E$21),MAX(0,MIN(Lists!E$21,$AM24)-MAX(Lists!E$22,$AL24))/($AM24-$AL24))))))))</f>
        <v>0</v>
      </c>
      <c r="P24" s="53" t="n">
        <f aca="false">IF($H24=0,0,IF($AP24="X",0,IF($AP24="S",$H24/$AO24*(MIN($AO24,MAX(0,INT((Lists!F$21-N($J24))/7)+1))-MIN($AO24,MAX(0,INT((Lists!F$22-N($J24))/7)+1))),IF($AP24="D",$H24*MAX(0,MIN(Lists!F$21,N($J24)+$AO24)-MAX(Lists!F$22,N($J24)))/$AO24,IF($AP24="M",$H24/$AO24*(IF(Lists!F$21&lt;$J24,0,MIN($AO24,(((YEAR(Lists!F$21)-YEAR($J24))*12+MONTH(Lists!F$21)-MONTH($J24))-(EDATE($J24,((YEAR(Lists!F$21)-YEAR($J24))*12+MONTH(Lists!F$21)-MONTH($J24)))&gt;Lists!F$21)+1)))-IF(Lists!F$22&lt;$J24,0,MIN($AO24,(((YEAR(Lists!F$22)-YEAR($J24))*12+MONTH(Lists!F$22)-MONTH($J24))-(EDATE($J24,((YEAR(Lists!F$22)-YEAR($J24))*12+MONTH(Lists!F$22)-MONTH($J24)))&gt;Lists!F$22)+1)))),IF($AP24="F",IF(N($K24)&lt;=0,0,MIN(MAX(0,$H24),N($K24)*IF(Lists!F$21&lt;$J24,0,(((YEAR(Lists!F$21)-YEAR($J24))*12+MONTH(Lists!F$21)-MONTH($J24))-(EDATE($J24,((YEAR(Lists!F$21)-YEAR($J24))*12+MONTH(Lists!F$21)-MONTH($J24)))&gt;Lists!F$21)+1)))-MIN(MAX(0,$H24),N($K24)*IF(Lists!F$22&lt;$J24,0,(((YEAR(Lists!F$22)-YEAR($J24))*12+MONTH(Lists!F$22)-MONTH($J24))-(EDATE($J24,((YEAR(Lists!F$22)-YEAR($J24))*12+MONTH(Lists!F$22)-MONTH($J24)))&gt;Lists!F$22)+1)))),N($C24)*IF($AE24-$AD24&lt;1,($AD24&gt;Lists!F$22)*($AD24&lt;=Lists!F$21),MAX(0,MIN(Lists!F$21,$AE24)-MAX(Lists!F$22,$AD24))/($AE24-$AD24))+N($D24)*IF($AG24-$AF24&lt;1,($AF24&gt;Lists!F$22)*($AF24&lt;=Lists!F$21),MAX(0,MIN(Lists!F$21,$AG24)-MAX(Lists!F$22,$AF24))/($AG24-$AF24))+N($E24)*IF($AI24-$AH24&lt;1,($AH24&gt;Lists!F$22)*($AH24&lt;=Lists!F$21),MAX(0,MIN(Lists!F$21,$AI24)-MAX(Lists!F$22,$AH24))/($AI24-$AH24))+N($F24)*IF($AK24-$AJ24&lt;1,($AJ24&gt;Lists!F$22)*($AJ24&lt;=Lists!F$21),MAX(0,MIN(Lists!F$21,$AK24)-MAX(Lists!F$22,$AJ24))/($AK24-$AJ24))+N($G24)*IF($AM24-$AL24&lt;1,($AL24&gt;Lists!F$22)*($AL24&lt;=Lists!F$21),MAX(0,MIN(Lists!F$21,$AM24)-MAX(Lists!F$22,$AL24))/($AM24-$AL24))))))))</f>
        <v>0</v>
      </c>
      <c r="Q24" s="53" t="n">
        <f aca="false">IF($H24=0,0,IF($AP24="X",0,IF($AP24="S",$H24/$AO24*(MIN($AO24,MAX(0,INT((Lists!G$21-N($J24))/7)+1))-MIN($AO24,MAX(0,INT((Lists!G$22-N($J24))/7)+1))),IF($AP24="D",$H24*MAX(0,MIN(Lists!G$21,N($J24)+$AO24)-MAX(Lists!G$22,N($J24)))/$AO24,IF($AP24="M",$H24/$AO24*(IF(Lists!G$21&lt;$J24,0,MIN($AO24,(((YEAR(Lists!G$21)-YEAR($J24))*12+MONTH(Lists!G$21)-MONTH($J24))-(EDATE($J24,((YEAR(Lists!G$21)-YEAR($J24))*12+MONTH(Lists!G$21)-MONTH($J24)))&gt;Lists!G$21)+1)))-IF(Lists!G$22&lt;$J24,0,MIN($AO24,(((YEAR(Lists!G$22)-YEAR($J24))*12+MONTH(Lists!G$22)-MONTH($J24))-(EDATE($J24,((YEAR(Lists!G$22)-YEAR($J24))*12+MONTH(Lists!G$22)-MONTH($J24)))&gt;Lists!G$22)+1)))),IF($AP24="F",IF(N($K24)&lt;=0,0,MIN(MAX(0,$H24),N($K24)*IF(Lists!G$21&lt;$J24,0,(((YEAR(Lists!G$21)-YEAR($J24))*12+MONTH(Lists!G$21)-MONTH($J24))-(EDATE($J24,((YEAR(Lists!G$21)-YEAR($J24))*12+MONTH(Lists!G$21)-MONTH($J24)))&gt;Lists!G$21)+1)))-MIN(MAX(0,$H24),N($K24)*IF(Lists!G$22&lt;$J24,0,(((YEAR(Lists!G$22)-YEAR($J24))*12+MONTH(Lists!G$22)-MONTH($J24))-(EDATE($J24,((YEAR(Lists!G$22)-YEAR($J24))*12+MONTH(Lists!G$22)-MONTH($J24)))&gt;Lists!G$22)+1)))),N($C24)*IF($AE24-$AD24&lt;1,($AD24&gt;Lists!G$22)*($AD24&lt;=Lists!G$21),MAX(0,MIN(Lists!G$21,$AE24)-MAX(Lists!G$22,$AD24))/($AE24-$AD24))+N($D24)*IF($AG24-$AF24&lt;1,($AF24&gt;Lists!G$22)*($AF24&lt;=Lists!G$21),MAX(0,MIN(Lists!G$21,$AG24)-MAX(Lists!G$22,$AF24))/($AG24-$AF24))+N($E24)*IF($AI24-$AH24&lt;1,($AH24&gt;Lists!G$22)*($AH24&lt;=Lists!G$21),MAX(0,MIN(Lists!G$21,$AI24)-MAX(Lists!G$22,$AH24))/($AI24-$AH24))+N($F24)*IF($AK24-$AJ24&lt;1,($AJ24&gt;Lists!G$22)*($AJ24&lt;=Lists!G$21),MAX(0,MIN(Lists!G$21,$AK24)-MAX(Lists!G$22,$AJ24))/($AK24-$AJ24))+N($G24)*IF($AM24-$AL24&lt;1,($AL24&gt;Lists!G$22)*($AL24&lt;=Lists!G$21),MAX(0,MIN(Lists!G$21,$AM24)-MAX(Lists!G$22,$AL24))/($AM24-$AL24))))))))</f>
        <v>0</v>
      </c>
      <c r="R24" s="53" t="n">
        <f aca="false">IF($H24=0,0,IF($AP24="X",0,IF($AP24="S",$H24/$AO24*(MIN($AO24,MAX(0,INT((Lists!H$21-N($J24))/7)+1))-MIN($AO24,MAX(0,INT((Lists!H$22-N($J24))/7)+1))),IF($AP24="D",$H24*MAX(0,MIN(Lists!H$21,N($J24)+$AO24)-MAX(Lists!H$22,N($J24)))/$AO24,IF($AP24="M",$H24/$AO24*(IF(Lists!H$21&lt;$J24,0,MIN($AO24,(((YEAR(Lists!H$21)-YEAR($J24))*12+MONTH(Lists!H$21)-MONTH($J24))-(EDATE($J24,((YEAR(Lists!H$21)-YEAR($J24))*12+MONTH(Lists!H$21)-MONTH($J24)))&gt;Lists!H$21)+1)))-IF(Lists!H$22&lt;$J24,0,MIN($AO24,(((YEAR(Lists!H$22)-YEAR($J24))*12+MONTH(Lists!H$22)-MONTH($J24))-(EDATE($J24,((YEAR(Lists!H$22)-YEAR($J24))*12+MONTH(Lists!H$22)-MONTH($J24)))&gt;Lists!H$22)+1)))),IF($AP24="F",IF(N($K24)&lt;=0,0,MIN(MAX(0,$H24),N($K24)*IF(Lists!H$21&lt;$J24,0,(((YEAR(Lists!H$21)-YEAR($J24))*12+MONTH(Lists!H$21)-MONTH($J24))-(EDATE($J24,((YEAR(Lists!H$21)-YEAR($J24))*12+MONTH(Lists!H$21)-MONTH($J24)))&gt;Lists!H$21)+1)))-MIN(MAX(0,$H24),N($K24)*IF(Lists!H$22&lt;$J24,0,(((YEAR(Lists!H$22)-YEAR($J24))*12+MONTH(Lists!H$22)-MONTH($J24))-(EDATE($J24,((YEAR(Lists!H$22)-YEAR($J24))*12+MONTH(Lists!H$22)-MONTH($J24)))&gt;Lists!H$22)+1)))),N($C24)*IF($AE24-$AD24&lt;1,($AD24&gt;Lists!H$22)*($AD24&lt;=Lists!H$21),MAX(0,MIN(Lists!H$21,$AE24)-MAX(Lists!H$22,$AD24))/($AE24-$AD24))+N($D24)*IF($AG24-$AF24&lt;1,($AF24&gt;Lists!H$22)*($AF24&lt;=Lists!H$21),MAX(0,MIN(Lists!H$21,$AG24)-MAX(Lists!H$22,$AF24))/($AG24-$AF24))+N($E24)*IF($AI24-$AH24&lt;1,($AH24&gt;Lists!H$22)*($AH24&lt;=Lists!H$21),MAX(0,MIN(Lists!H$21,$AI24)-MAX(Lists!H$22,$AH24))/($AI24-$AH24))+N($F24)*IF($AK24-$AJ24&lt;1,($AJ24&gt;Lists!H$22)*($AJ24&lt;=Lists!H$21),MAX(0,MIN(Lists!H$21,$AK24)-MAX(Lists!H$22,$AJ24))/($AK24-$AJ24))+N($G24)*IF($AM24-$AL24&lt;1,($AL24&gt;Lists!H$22)*($AL24&lt;=Lists!H$21),MAX(0,MIN(Lists!H$21,$AM24)-MAX(Lists!H$22,$AL24))/($AM24-$AL24))))))))</f>
        <v>0</v>
      </c>
      <c r="S24" s="53" t="n">
        <f aca="false">IF($H24=0,0,IF($AP24="X",0,IF($AP24="S",$H24/$AO24*(MIN($AO24,MAX(0,INT((Lists!I$21-N($J24))/7)+1))-MIN($AO24,MAX(0,INT((Lists!I$22-N($J24))/7)+1))),IF($AP24="D",$H24*MAX(0,MIN(Lists!I$21,N($J24)+$AO24)-MAX(Lists!I$22,N($J24)))/$AO24,IF($AP24="M",$H24/$AO24*(IF(Lists!I$21&lt;$J24,0,MIN($AO24,(((YEAR(Lists!I$21)-YEAR($J24))*12+MONTH(Lists!I$21)-MONTH($J24))-(EDATE($J24,((YEAR(Lists!I$21)-YEAR($J24))*12+MONTH(Lists!I$21)-MONTH($J24)))&gt;Lists!I$21)+1)))-IF(Lists!I$22&lt;$J24,0,MIN($AO24,(((YEAR(Lists!I$22)-YEAR($J24))*12+MONTH(Lists!I$22)-MONTH($J24))-(EDATE($J24,((YEAR(Lists!I$22)-YEAR($J24))*12+MONTH(Lists!I$22)-MONTH($J24)))&gt;Lists!I$22)+1)))),IF($AP24="F",IF(N($K24)&lt;=0,0,MIN(MAX(0,$H24),N($K24)*IF(Lists!I$21&lt;$J24,0,(((YEAR(Lists!I$21)-YEAR($J24))*12+MONTH(Lists!I$21)-MONTH($J24))-(EDATE($J24,((YEAR(Lists!I$21)-YEAR($J24))*12+MONTH(Lists!I$21)-MONTH($J24)))&gt;Lists!I$21)+1)))-MIN(MAX(0,$H24),N($K24)*IF(Lists!I$22&lt;$J24,0,(((YEAR(Lists!I$22)-YEAR($J24))*12+MONTH(Lists!I$22)-MONTH($J24))-(EDATE($J24,((YEAR(Lists!I$22)-YEAR($J24))*12+MONTH(Lists!I$22)-MONTH($J24)))&gt;Lists!I$22)+1)))),N($C24)*IF($AE24-$AD24&lt;1,($AD24&gt;Lists!I$22)*($AD24&lt;=Lists!I$21),MAX(0,MIN(Lists!I$21,$AE24)-MAX(Lists!I$22,$AD24))/($AE24-$AD24))+N($D24)*IF($AG24-$AF24&lt;1,($AF24&gt;Lists!I$22)*($AF24&lt;=Lists!I$21),MAX(0,MIN(Lists!I$21,$AG24)-MAX(Lists!I$22,$AF24))/($AG24-$AF24))+N($E24)*IF($AI24-$AH24&lt;1,($AH24&gt;Lists!I$22)*($AH24&lt;=Lists!I$21),MAX(0,MIN(Lists!I$21,$AI24)-MAX(Lists!I$22,$AH24))/($AI24-$AH24))+N($F24)*IF($AK24-$AJ24&lt;1,($AJ24&gt;Lists!I$22)*($AJ24&lt;=Lists!I$21),MAX(0,MIN(Lists!I$21,$AK24)-MAX(Lists!I$22,$AJ24))/($AK24-$AJ24))+N($G24)*IF($AM24-$AL24&lt;1,($AL24&gt;Lists!I$22)*($AL24&lt;=Lists!I$21),MAX(0,MIN(Lists!I$21,$AM24)-MAX(Lists!I$22,$AL24))/($AM24-$AL24))))))))</f>
        <v>0</v>
      </c>
      <c r="T24" s="53" t="n">
        <f aca="false">IF($H24=0,0,IF($AP24="X",0,IF($AP24="S",$H24/$AO24*(MIN($AO24,MAX(0,INT((Lists!J$21-N($J24))/7)+1))-MIN($AO24,MAX(0,INT((Lists!J$22-N($J24))/7)+1))),IF($AP24="D",$H24*MAX(0,MIN(Lists!J$21,N($J24)+$AO24)-MAX(Lists!J$22,N($J24)))/$AO24,IF($AP24="M",$H24/$AO24*(IF(Lists!J$21&lt;$J24,0,MIN($AO24,(((YEAR(Lists!J$21)-YEAR($J24))*12+MONTH(Lists!J$21)-MONTH($J24))-(EDATE($J24,((YEAR(Lists!J$21)-YEAR($J24))*12+MONTH(Lists!J$21)-MONTH($J24)))&gt;Lists!J$21)+1)))-IF(Lists!J$22&lt;$J24,0,MIN($AO24,(((YEAR(Lists!J$22)-YEAR($J24))*12+MONTH(Lists!J$22)-MONTH($J24))-(EDATE($J24,((YEAR(Lists!J$22)-YEAR($J24))*12+MONTH(Lists!J$22)-MONTH($J24)))&gt;Lists!J$22)+1)))),IF($AP24="F",IF(N($K24)&lt;=0,0,MIN(MAX(0,$H24),N($K24)*IF(Lists!J$21&lt;$J24,0,(((YEAR(Lists!J$21)-YEAR($J24))*12+MONTH(Lists!J$21)-MONTH($J24))-(EDATE($J24,((YEAR(Lists!J$21)-YEAR($J24))*12+MONTH(Lists!J$21)-MONTH($J24)))&gt;Lists!J$21)+1)))-MIN(MAX(0,$H24),N($K24)*IF(Lists!J$22&lt;$J24,0,(((YEAR(Lists!J$22)-YEAR($J24))*12+MONTH(Lists!J$22)-MONTH($J24))-(EDATE($J24,((YEAR(Lists!J$22)-YEAR($J24))*12+MONTH(Lists!J$22)-MONTH($J24)))&gt;Lists!J$22)+1)))),N($C24)*IF($AE24-$AD24&lt;1,($AD24&gt;Lists!J$22)*($AD24&lt;=Lists!J$21),MAX(0,MIN(Lists!J$21,$AE24)-MAX(Lists!J$22,$AD24))/($AE24-$AD24))+N($D24)*IF($AG24-$AF24&lt;1,($AF24&gt;Lists!J$22)*($AF24&lt;=Lists!J$21),MAX(0,MIN(Lists!J$21,$AG24)-MAX(Lists!J$22,$AF24))/($AG24-$AF24))+N($E24)*IF($AI24-$AH24&lt;1,($AH24&gt;Lists!J$22)*($AH24&lt;=Lists!J$21),MAX(0,MIN(Lists!J$21,$AI24)-MAX(Lists!J$22,$AH24))/($AI24-$AH24))+N($F24)*IF($AK24-$AJ24&lt;1,($AJ24&gt;Lists!J$22)*($AJ24&lt;=Lists!J$21),MAX(0,MIN(Lists!J$21,$AK24)-MAX(Lists!J$22,$AJ24))/($AK24-$AJ24))+N($G24)*IF($AM24-$AL24&lt;1,($AL24&gt;Lists!J$22)*($AL24&lt;=Lists!J$21),MAX(0,MIN(Lists!J$21,$AM24)-MAX(Lists!J$22,$AL24))/($AM24-$AL24))))))))</f>
        <v>0</v>
      </c>
      <c r="U24" s="53" t="n">
        <f aca="false">IF($H24=0,0,IF($AP24="X",0,IF($AP24="S",$H24/$AO24*(MIN($AO24,MAX(0,INT((Lists!K$21-N($J24))/7)+1))-MIN($AO24,MAX(0,INT((Lists!K$22-N($J24))/7)+1))),IF($AP24="D",$H24*MAX(0,MIN(Lists!K$21,N($J24)+$AO24)-MAX(Lists!K$22,N($J24)))/$AO24,IF($AP24="M",$H24/$AO24*(IF(Lists!K$21&lt;$J24,0,MIN($AO24,(((YEAR(Lists!K$21)-YEAR($J24))*12+MONTH(Lists!K$21)-MONTH($J24))-(EDATE($J24,((YEAR(Lists!K$21)-YEAR($J24))*12+MONTH(Lists!K$21)-MONTH($J24)))&gt;Lists!K$21)+1)))-IF(Lists!K$22&lt;$J24,0,MIN($AO24,(((YEAR(Lists!K$22)-YEAR($J24))*12+MONTH(Lists!K$22)-MONTH($J24))-(EDATE($J24,((YEAR(Lists!K$22)-YEAR($J24))*12+MONTH(Lists!K$22)-MONTH($J24)))&gt;Lists!K$22)+1)))),IF($AP24="F",IF(N($K24)&lt;=0,0,MIN(MAX(0,$H24),N($K24)*IF(Lists!K$21&lt;$J24,0,(((YEAR(Lists!K$21)-YEAR($J24))*12+MONTH(Lists!K$21)-MONTH($J24))-(EDATE($J24,((YEAR(Lists!K$21)-YEAR($J24))*12+MONTH(Lists!K$21)-MONTH($J24)))&gt;Lists!K$21)+1)))-MIN(MAX(0,$H24),N($K24)*IF(Lists!K$22&lt;$J24,0,(((YEAR(Lists!K$22)-YEAR($J24))*12+MONTH(Lists!K$22)-MONTH($J24))-(EDATE($J24,((YEAR(Lists!K$22)-YEAR($J24))*12+MONTH(Lists!K$22)-MONTH($J24)))&gt;Lists!K$22)+1)))),N($C24)*IF($AE24-$AD24&lt;1,($AD24&gt;Lists!K$22)*($AD24&lt;=Lists!K$21),MAX(0,MIN(Lists!K$21,$AE24)-MAX(Lists!K$22,$AD24))/($AE24-$AD24))+N($D24)*IF($AG24-$AF24&lt;1,($AF24&gt;Lists!K$22)*($AF24&lt;=Lists!K$21),MAX(0,MIN(Lists!K$21,$AG24)-MAX(Lists!K$22,$AF24))/($AG24-$AF24))+N($E24)*IF($AI24-$AH24&lt;1,($AH24&gt;Lists!K$22)*($AH24&lt;=Lists!K$21),MAX(0,MIN(Lists!K$21,$AI24)-MAX(Lists!K$22,$AH24))/($AI24-$AH24))+N($F24)*IF($AK24-$AJ24&lt;1,($AJ24&gt;Lists!K$22)*($AJ24&lt;=Lists!K$21),MAX(0,MIN(Lists!K$21,$AK24)-MAX(Lists!K$22,$AJ24))/($AK24-$AJ24))+N($G24)*IF($AM24-$AL24&lt;1,($AL24&gt;Lists!K$22)*($AL24&lt;=Lists!K$21),MAX(0,MIN(Lists!K$21,$AM24)-MAX(Lists!K$22,$AL24))/($AM24-$AL24))))))))</f>
        <v>0</v>
      </c>
      <c r="V24" s="53" t="n">
        <f aca="false">IF($H24=0,0,IF($AP24="X",0,IF($AP24="S",$H24/$AO24*(MIN($AO24,MAX(0,INT((Lists!L$21-N($J24))/7)+1))-MIN($AO24,MAX(0,INT((Lists!L$22-N($J24))/7)+1))),IF($AP24="D",$H24*MAX(0,MIN(Lists!L$21,N($J24)+$AO24)-MAX(Lists!L$22,N($J24)))/$AO24,IF($AP24="M",$H24/$AO24*(IF(Lists!L$21&lt;$J24,0,MIN($AO24,(((YEAR(Lists!L$21)-YEAR($J24))*12+MONTH(Lists!L$21)-MONTH($J24))-(EDATE($J24,((YEAR(Lists!L$21)-YEAR($J24))*12+MONTH(Lists!L$21)-MONTH($J24)))&gt;Lists!L$21)+1)))-IF(Lists!L$22&lt;$J24,0,MIN($AO24,(((YEAR(Lists!L$22)-YEAR($J24))*12+MONTH(Lists!L$22)-MONTH($J24))-(EDATE($J24,((YEAR(Lists!L$22)-YEAR($J24))*12+MONTH(Lists!L$22)-MONTH($J24)))&gt;Lists!L$22)+1)))),IF($AP24="F",IF(N($K24)&lt;=0,0,MIN(MAX(0,$H24),N($K24)*IF(Lists!L$21&lt;$J24,0,(((YEAR(Lists!L$21)-YEAR($J24))*12+MONTH(Lists!L$21)-MONTH($J24))-(EDATE($J24,((YEAR(Lists!L$21)-YEAR($J24))*12+MONTH(Lists!L$21)-MONTH($J24)))&gt;Lists!L$21)+1)))-MIN(MAX(0,$H24),N($K24)*IF(Lists!L$22&lt;$J24,0,(((YEAR(Lists!L$22)-YEAR($J24))*12+MONTH(Lists!L$22)-MONTH($J24))-(EDATE($J24,((YEAR(Lists!L$22)-YEAR($J24))*12+MONTH(Lists!L$22)-MONTH($J24)))&gt;Lists!L$22)+1)))),N($C24)*IF($AE24-$AD24&lt;1,($AD24&gt;Lists!L$22)*($AD24&lt;=Lists!L$21),MAX(0,MIN(Lists!L$21,$AE24)-MAX(Lists!L$22,$AD24))/($AE24-$AD24))+N($D24)*IF($AG24-$AF24&lt;1,($AF24&gt;Lists!L$22)*($AF24&lt;=Lists!L$21),MAX(0,MIN(Lists!L$21,$AG24)-MAX(Lists!L$22,$AF24))/($AG24-$AF24))+N($E24)*IF($AI24-$AH24&lt;1,($AH24&gt;Lists!L$22)*($AH24&lt;=Lists!L$21),MAX(0,MIN(Lists!L$21,$AI24)-MAX(Lists!L$22,$AH24))/($AI24-$AH24))+N($F24)*IF($AK24-$AJ24&lt;1,($AJ24&gt;Lists!L$22)*($AJ24&lt;=Lists!L$21),MAX(0,MIN(Lists!L$21,$AK24)-MAX(Lists!L$22,$AJ24))/($AK24-$AJ24))+N($G24)*IF($AM24-$AL24&lt;1,($AL24&gt;Lists!L$22)*($AL24&lt;=Lists!L$21),MAX(0,MIN(Lists!L$21,$AM24)-MAX(Lists!L$22,$AL24))/($AM24-$AL24))))))))</f>
        <v>0</v>
      </c>
      <c r="W24" s="53" t="n">
        <f aca="false">IF($H24=0,0,IF($AP24="X",0,IF($AP24="S",$H24/$AO24*(MIN($AO24,MAX(0,INT((Lists!M$21-N($J24))/7)+1))-MIN($AO24,MAX(0,INT((Lists!M$22-N($J24))/7)+1))),IF($AP24="D",$H24*MAX(0,MIN(Lists!M$21,N($J24)+$AO24)-MAX(Lists!M$22,N($J24)))/$AO24,IF($AP24="M",$H24/$AO24*(IF(Lists!M$21&lt;$J24,0,MIN($AO24,(((YEAR(Lists!M$21)-YEAR($J24))*12+MONTH(Lists!M$21)-MONTH($J24))-(EDATE($J24,((YEAR(Lists!M$21)-YEAR($J24))*12+MONTH(Lists!M$21)-MONTH($J24)))&gt;Lists!M$21)+1)))-IF(Lists!M$22&lt;$J24,0,MIN($AO24,(((YEAR(Lists!M$22)-YEAR($J24))*12+MONTH(Lists!M$22)-MONTH($J24))-(EDATE($J24,((YEAR(Lists!M$22)-YEAR($J24))*12+MONTH(Lists!M$22)-MONTH($J24)))&gt;Lists!M$22)+1)))),IF($AP24="F",IF(N($K24)&lt;=0,0,MIN(MAX(0,$H24),N($K24)*IF(Lists!M$21&lt;$J24,0,(((YEAR(Lists!M$21)-YEAR($J24))*12+MONTH(Lists!M$21)-MONTH($J24))-(EDATE($J24,((YEAR(Lists!M$21)-YEAR($J24))*12+MONTH(Lists!M$21)-MONTH($J24)))&gt;Lists!M$21)+1)))-MIN(MAX(0,$H24),N($K24)*IF(Lists!M$22&lt;$J24,0,(((YEAR(Lists!M$22)-YEAR($J24))*12+MONTH(Lists!M$22)-MONTH($J24))-(EDATE($J24,((YEAR(Lists!M$22)-YEAR($J24))*12+MONTH(Lists!M$22)-MONTH($J24)))&gt;Lists!M$22)+1)))),N($C24)*IF($AE24-$AD24&lt;1,($AD24&gt;Lists!M$22)*($AD24&lt;=Lists!M$21),MAX(0,MIN(Lists!M$21,$AE24)-MAX(Lists!M$22,$AD24))/($AE24-$AD24))+N($D24)*IF($AG24-$AF24&lt;1,($AF24&gt;Lists!M$22)*($AF24&lt;=Lists!M$21),MAX(0,MIN(Lists!M$21,$AG24)-MAX(Lists!M$22,$AF24))/($AG24-$AF24))+N($E24)*IF($AI24-$AH24&lt;1,($AH24&gt;Lists!M$22)*($AH24&lt;=Lists!M$21),MAX(0,MIN(Lists!M$21,$AI24)-MAX(Lists!M$22,$AH24))/($AI24-$AH24))+N($F24)*IF($AK24-$AJ24&lt;1,($AJ24&gt;Lists!M$22)*($AJ24&lt;=Lists!M$21),MAX(0,MIN(Lists!M$21,$AK24)-MAX(Lists!M$22,$AJ24))/($AK24-$AJ24))+N($G24)*IF($AM24-$AL24&lt;1,($AL24&gt;Lists!M$22)*($AL24&lt;=Lists!M$21),MAX(0,MIN(Lists!M$21,$AM24)-MAX(Lists!M$22,$AL24))/($AM24-$AL24))))))))</f>
        <v>0</v>
      </c>
      <c r="X24" s="53" t="n">
        <f aca="false">IF($H24=0,0,IF($AP24="X",0,IF($AP24="S",$H24/$AO24*(MIN($AO24,MAX(0,INT((Lists!N$21-N($J24))/7)+1))-MIN($AO24,MAX(0,INT((Lists!N$22-N($J24))/7)+1))),IF($AP24="D",$H24*MAX(0,MIN(Lists!N$21,N($J24)+$AO24)-MAX(Lists!N$22,N($J24)))/$AO24,IF($AP24="M",$H24/$AO24*(IF(Lists!N$21&lt;$J24,0,MIN($AO24,(((YEAR(Lists!N$21)-YEAR($J24))*12+MONTH(Lists!N$21)-MONTH($J24))-(EDATE($J24,((YEAR(Lists!N$21)-YEAR($J24))*12+MONTH(Lists!N$21)-MONTH($J24)))&gt;Lists!N$21)+1)))-IF(Lists!N$22&lt;$J24,0,MIN($AO24,(((YEAR(Lists!N$22)-YEAR($J24))*12+MONTH(Lists!N$22)-MONTH($J24))-(EDATE($J24,((YEAR(Lists!N$22)-YEAR($J24))*12+MONTH(Lists!N$22)-MONTH($J24)))&gt;Lists!N$22)+1)))),IF($AP24="F",IF(N($K24)&lt;=0,0,MIN(MAX(0,$H24),N($K24)*IF(Lists!N$21&lt;$J24,0,(((YEAR(Lists!N$21)-YEAR($J24))*12+MONTH(Lists!N$21)-MONTH($J24))-(EDATE($J24,((YEAR(Lists!N$21)-YEAR($J24))*12+MONTH(Lists!N$21)-MONTH($J24)))&gt;Lists!N$21)+1)))-MIN(MAX(0,$H24),N($K24)*IF(Lists!N$22&lt;$J24,0,(((YEAR(Lists!N$22)-YEAR($J24))*12+MONTH(Lists!N$22)-MONTH($J24))-(EDATE($J24,((YEAR(Lists!N$22)-YEAR($J24))*12+MONTH(Lists!N$22)-MONTH($J24)))&gt;Lists!N$22)+1)))),N($C24)*IF($AE24-$AD24&lt;1,($AD24&gt;Lists!N$22)*($AD24&lt;=Lists!N$21),MAX(0,MIN(Lists!N$21,$AE24)-MAX(Lists!N$22,$AD24))/($AE24-$AD24))+N($D24)*IF($AG24-$AF24&lt;1,($AF24&gt;Lists!N$22)*($AF24&lt;=Lists!N$21),MAX(0,MIN(Lists!N$21,$AG24)-MAX(Lists!N$22,$AF24))/($AG24-$AF24))+N($E24)*IF($AI24-$AH24&lt;1,($AH24&gt;Lists!N$22)*($AH24&lt;=Lists!N$21),MAX(0,MIN(Lists!N$21,$AI24)-MAX(Lists!N$22,$AH24))/($AI24-$AH24))+N($F24)*IF($AK24-$AJ24&lt;1,($AJ24&gt;Lists!N$22)*($AJ24&lt;=Lists!N$21),MAX(0,MIN(Lists!N$21,$AK24)-MAX(Lists!N$22,$AJ24))/($AK24-$AJ24))+N($G24)*IF($AM24-$AL24&lt;1,($AL24&gt;Lists!N$22)*($AL24&lt;=Lists!N$21),MAX(0,MIN(Lists!N$21,$AM24)-MAX(Lists!N$22,$AL24))/($AM24-$AL24))))))))</f>
        <v>0</v>
      </c>
      <c r="Y24" s="53" t="n">
        <f aca="false">IF($H24=0,0,IF($AP24="X",0,IF($AP24="S",$H24/$AO24*(MIN($AO24,MAX(0,INT((Lists!O$21-N($J24))/7)+1))-MIN($AO24,MAX(0,INT((Lists!O$22-N($J24))/7)+1))),IF($AP24="D",$H24*MAX(0,MIN(Lists!O$21,N($J24)+$AO24)-MAX(Lists!O$22,N($J24)))/$AO24,IF($AP24="M",$H24/$AO24*(IF(Lists!O$21&lt;$J24,0,MIN($AO24,(((YEAR(Lists!O$21)-YEAR($J24))*12+MONTH(Lists!O$21)-MONTH($J24))-(EDATE($J24,((YEAR(Lists!O$21)-YEAR($J24))*12+MONTH(Lists!O$21)-MONTH($J24)))&gt;Lists!O$21)+1)))-IF(Lists!O$22&lt;$J24,0,MIN($AO24,(((YEAR(Lists!O$22)-YEAR($J24))*12+MONTH(Lists!O$22)-MONTH($J24))-(EDATE($J24,((YEAR(Lists!O$22)-YEAR($J24))*12+MONTH(Lists!O$22)-MONTH($J24)))&gt;Lists!O$22)+1)))),IF($AP24="F",IF(N($K24)&lt;=0,0,MIN(MAX(0,$H24),N($K24)*IF(Lists!O$21&lt;$J24,0,(((YEAR(Lists!O$21)-YEAR($J24))*12+MONTH(Lists!O$21)-MONTH($J24))-(EDATE($J24,((YEAR(Lists!O$21)-YEAR($J24))*12+MONTH(Lists!O$21)-MONTH($J24)))&gt;Lists!O$21)+1)))-MIN(MAX(0,$H24),N($K24)*IF(Lists!O$22&lt;$J24,0,(((YEAR(Lists!O$22)-YEAR($J24))*12+MONTH(Lists!O$22)-MONTH($J24))-(EDATE($J24,((YEAR(Lists!O$22)-YEAR($J24))*12+MONTH(Lists!O$22)-MONTH($J24)))&gt;Lists!O$22)+1)))),N($C24)*IF($AE24-$AD24&lt;1,($AD24&gt;Lists!O$22)*($AD24&lt;=Lists!O$21),MAX(0,MIN(Lists!O$21,$AE24)-MAX(Lists!O$22,$AD24))/($AE24-$AD24))+N($D24)*IF($AG24-$AF24&lt;1,($AF24&gt;Lists!O$22)*($AF24&lt;=Lists!O$21),MAX(0,MIN(Lists!O$21,$AG24)-MAX(Lists!O$22,$AF24))/($AG24-$AF24))+N($E24)*IF($AI24-$AH24&lt;1,($AH24&gt;Lists!O$22)*($AH24&lt;=Lists!O$21),MAX(0,MIN(Lists!O$21,$AI24)-MAX(Lists!O$22,$AH24))/($AI24-$AH24))+N($F24)*IF($AK24-$AJ24&lt;1,($AJ24&gt;Lists!O$22)*($AJ24&lt;=Lists!O$21),MAX(0,MIN(Lists!O$21,$AK24)-MAX(Lists!O$22,$AJ24))/($AK24-$AJ24))+N($G24)*IF($AM24-$AL24&lt;1,($AL24&gt;Lists!O$22)*($AL24&lt;=Lists!O$21),MAX(0,MIN(Lists!O$21,$AM24)-MAX(Lists!O$22,$AL24))/($AM24-$AL24))))))))</f>
        <v>0</v>
      </c>
      <c r="Z24" s="46" t="n">
        <f aca="false">SUM(M24:Y24)</f>
        <v>0</v>
      </c>
      <c r="AA24" s="92" t="n">
        <f aca="false">H24-Z24</f>
        <v>0</v>
      </c>
      <c r="AB24" s="55"/>
      <c r="AC24" s="2"/>
      <c r="AD24" s="93" t="n">
        <f aca="false">Setup!$D$10+MAX(0,$AN24-30)</f>
        <v>46345</v>
      </c>
      <c r="AE24" s="93" t="n">
        <f aca="false">Setup!$D$10+IF($AN24-30&lt;0,MAX(Setup!$D$22,$AN24-0),$AN24-0)</f>
        <v>46375</v>
      </c>
      <c r="AF24" s="93" t="n">
        <f aca="false">Setup!$D$10+MAX(0,$AN24-60)</f>
        <v>46335</v>
      </c>
      <c r="AG24" s="93" t="n">
        <f aca="false">Setup!$D$10+IF($AN24-60&lt;0,MAX(Setup!$D$22,$AN24-31),$AN24-31)</f>
        <v>46363</v>
      </c>
      <c r="AH24" s="93" t="n">
        <f aca="false">Setup!$D$10+MAX(0,$AN24-90)</f>
        <v>46335</v>
      </c>
      <c r="AI24" s="93" t="n">
        <f aca="false">Setup!$D$10+IF($AN24-90&lt;0,MAX(Setup!$D$22,$AN24-61),$AN24-61)</f>
        <v>46363</v>
      </c>
      <c r="AJ24" s="93" t="n">
        <f aca="false">Setup!$D$10+MAX(0,$AN24-120)</f>
        <v>46335</v>
      </c>
      <c r="AK24" s="93" t="n">
        <f aca="false">Setup!$D$10+IF($AN24-120&lt;0,MAX(Setup!$D$22,$AN24-91),$AN24-91)</f>
        <v>46363</v>
      </c>
      <c r="AL24" s="93" t="n">
        <f aca="false">Setup!$D$10</f>
        <v>46335</v>
      </c>
      <c r="AM24" s="93" t="n">
        <f aca="false">IF(AL24=2958465,AL24,Setup!$D$10+Setup!$D$22)</f>
        <v>46363</v>
      </c>
      <c r="AN24" s="94" t="n">
        <f aca="false">IF(N(L24)=0,Setup!$D$21,L24)</f>
        <v>40</v>
      </c>
      <c r="AO24" s="94" t="n">
        <f aca="false">MAX(1,ROUND(N(K24),0))</f>
        <v>1</v>
      </c>
      <c r="AP24" s="95" t="str">
        <f aca="false">IF(I24="On hold","X",IF(N(J24)=0,"A",IF(I24="Specific date","S",IF(I24="Spread over days","D",IF(I24="Monthly on set day","M",IF(I24="Monthly fixed amount","F","A"))))))</f>
        <v>A</v>
      </c>
    </row>
    <row r="25" customFormat="false" ht="15" hidden="false" customHeight="false" outlineLevel="0" collapsed="false">
      <c r="A25" s="87" t="n">
        <v>17</v>
      </c>
      <c r="B25" s="55"/>
      <c r="C25" s="88"/>
      <c r="D25" s="88"/>
      <c r="E25" s="88"/>
      <c r="F25" s="88"/>
      <c r="G25" s="88"/>
      <c r="H25" s="89" t="n">
        <f aca="false">SUM(C25:G25)</f>
        <v>0</v>
      </c>
      <c r="I25" s="58"/>
      <c r="J25" s="90"/>
      <c r="K25" s="91"/>
      <c r="L25" s="80"/>
      <c r="M25" s="53" t="n">
        <f aca="false">IF($H25=0,0,IF($AP25="X",0,IF($AP25="S",$H25/$AO25*(MIN($AO25,MAX(0,INT((Lists!C$21-N($J25))/7)+1))-MIN($AO25,MAX(0,INT((Lists!C$22-N($J25))/7)+1))),IF($AP25="D",$H25*MAX(0,MIN(Lists!C$21,N($J25)+$AO25)-MAX(Lists!C$22,N($J25)))/$AO25,IF($AP25="M",$H25/$AO25*(IF(Lists!C$21&lt;$J25,0,MIN($AO25,(((YEAR(Lists!C$21)-YEAR($J25))*12+MONTH(Lists!C$21)-MONTH($J25))-(EDATE($J25,((YEAR(Lists!C$21)-YEAR($J25))*12+MONTH(Lists!C$21)-MONTH($J25)))&gt;Lists!C$21)+1)))-IF(Lists!C$22&lt;$J25,0,MIN($AO25,(((YEAR(Lists!C$22)-YEAR($J25))*12+MONTH(Lists!C$22)-MONTH($J25))-(EDATE($J25,((YEAR(Lists!C$22)-YEAR($J25))*12+MONTH(Lists!C$22)-MONTH($J25)))&gt;Lists!C$22)+1)))),IF($AP25="F",IF(N($K25)&lt;=0,0,MIN(MAX(0,$H25),N($K25)*IF(Lists!C$21&lt;$J25,0,(((YEAR(Lists!C$21)-YEAR($J25))*12+MONTH(Lists!C$21)-MONTH($J25))-(EDATE($J25,((YEAR(Lists!C$21)-YEAR($J25))*12+MONTH(Lists!C$21)-MONTH($J25)))&gt;Lists!C$21)+1)))-MIN(MAX(0,$H25),N($K25)*IF(Lists!C$22&lt;$J25,0,(((YEAR(Lists!C$22)-YEAR($J25))*12+MONTH(Lists!C$22)-MONTH($J25))-(EDATE($J25,((YEAR(Lists!C$22)-YEAR($J25))*12+MONTH(Lists!C$22)-MONTH($J25)))&gt;Lists!C$22)+1)))),N($C25)*IF($AE25-$AD25&lt;1,($AD25&gt;Lists!C$22)*($AD25&lt;=Lists!C$21),MAX(0,MIN(Lists!C$21,$AE25)-MAX(Lists!C$22,$AD25))/($AE25-$AD25))+N($D25)*IF($AG25-$AF25&lt;1,($AF25&gt;Lists!C$22)*($AF25&lt;=Lists!C$21),MAX(0,MIN(Lists!C$21,$AG25)-MAX(Lists!C$22,$AF25))/($AG25-$AF25))+N($E25)*IF($AI25-$AH25&lt;1,($AH25&gt;Lists!C$22)*($AH25&lt;=Lists!C$21),MAX(0,MIN(Lists!C$21,$AI25)-MAX(Lists!C$22,$AH25))/($AI25-$AH25))+N($F25)*IF($AK25-$AJ25&lt;1,($AJ25&gt;Lists!C$22)*($AJ25&lt;=Lists!C$21),MAX(0,MIN(Lists!C$21,$AK25)-MAX(Lists!C$22,$AJ25))/($AK25-$AJ25))+N($G25)*IF($AM25-$AL25&lt;1,($AL25&gt;Lists!C$22)*($AL25&lt;=Lists!C$21),MAX(0,MIN(Lists!C$21,$AM25)-MAX(Lists!C$22,$AL25))/($AM25-$AL25))))))))</f>
        <v>0</v>
      </c>
      <c r="N25" s="53" t="n">
        <f aca="false">IF($H25=0,0,IF($AP25="X",0,IF($AP25="S",$H25/$AO25*(MIN($AO25,MAX(0,INT((Lists!D$21-N($J25))/7)+1))-MIN($AO25,MAX(0,INT((Lists!D$22-N($J25))/7)+1))),IF($AP25="D",$H25*MAX(0,MIN(Lists!D$21,N($J25)+$AO25)-MAX(Lists!D$22,N($J25)))/$AO25,IF($AP25="M",$H25/$AO25*(IF(Lists!D$21&lt;$J25,0,MIN($AO25,(((YEAR(Lists!D$21)-YEAR($J25))*12+MONTH(Lists!D$21)-MONTH($J25))-(EDATE($J25,((YEAR(Lists!D$21)-YEAR($J25))*12+MONTH(Lists!D$21)-MONTH($J25)))&gt;Lists!D$21)+1)))-IF(Lists!D$22&lt;$J25,0,MIN($AO25,(((YEAR(Lists!D$22)-YEAR($J25))*12+MONTH(Lists!D$22)-MONTH($J25))-(EDATE($J25,((YEAR(Lists!D$22)-YEAR($J25))*12+MONTH(Lists!D$22)-MONTH($J25)))&gt;Lists!D$22)+1)))),IF($AP25="F",IF(N($K25)&lt;=0,0,MIN(MAX(0,$H25),N($K25)*IF(Lists!D$21&lt;$J25,0,(((YEAR(Lists!D$21)-YEAR($J25))*12+MONTH(Lists!D$21)-MONTH($J25))-(EDATE($J25,((YEAR(Lists!D$21)-YEAR($J25))*12+MONTH(Lists!D$21)-MONTH($J25)))&gt;Lists!D$21)+1)))-MIN(MAX(0,$H25),N($K25)*IF(Lists!D$22&lt;$J25,0,(((YEAR(Lists!D$22)-YEAR($J25))*12+MONTH(Lists!D$22)-MONTH($J25))-(EDATE($J25,((YEAR(Lists!D$22)-YEAR($J25))*12+MONTH(Lists!D$22)-MONTH($J25)))&gt;Lists!D$22)+1)))),N($C25)*IF($AE25-$AD25&lt;1,($AD25&gt;Lists!D$22)*($AD25&lt;=Lists!D$21),MAX(0,MIN(Lists!D$21,$AE25)-MAX(Lists!D$22,$AD25))/($AE25-$AD25))+N($D25)*IF($AG25-$AF25&lt;1,($AF25&gt;Lists!D$22)*($AF25&lt;=Lists!D$21),MAX(0,MIN(Lists!D$21,$AG25)-MAX(Lists!D$22,$AF25))/($AG25-$AF25))+N($E25)*IF($AI25-$AH25&lt;1,($AH25&gt;Lists!D$22)*($AH25&lt;=Lists!D$21),MAX(0,MIN(Lists!D$21,$AI25)-MAX(Lists!D$22,$AH25))/($AI25-$AH25))+N($F25)*IF($AK25-$AJ25&lt;1,($AJ25&gt;Lists!D$22)*($AJ25&lt;=Lists!D$21),MAX(0,MIN(Lists!D$21,$AK25)-MAX(Lists!D$22,$AJ25))/($AK25-$AJ25))+N($G25)*IF($AM25-$AL25&lt;1,($AL25&gt;Lists!D$22)*($AL25&lt;=Lists!D$21),MAX(0,MIN(Lists!D$21,$AM25)-MAX(Lists!D$22,$AL25))/($AM25-$AL25))))))))</f>
        <v>0</v>
      </c>
      <c r="O25" s="53" t="n">
        <f aca="false">IF($H25=0,0,IF($AP25="X",0,IF($AP25="S",$H25/$AO25*(MIN($AO25,MAX(0,INT((Lists!E$21-N($J25))/7)+1))-MIN($AO25,MAX(0,INT((Lists!E$22-N($J25))/7)+1))),IF($AP25="D",$H25*MAX(0,MIN(Lists!E$21,N($J25)+$AO25)-MAX(Lists!E$22,N($J25)))/$AO25,IF($AP25="M",$H25/$AO25*(IF(Lists!E$21&lt;$J25,0,MIN($AO25,(((YEAR(Lists!E$21)-YEAR($J25))*12+MONTH(Lists!E$21)-MONTH($J25))-(EDATE($J25,((YEAR(Lists!E$21)-YEAR($J25))*12+MONTH(Lists!E$21)-MONTH($J25)))&gt;Lists!E$21)+1)))-IF(Lists!E$22&lt;$J25,0,MIN($AO25,(((YEAR(Lists!E$22)-YEAR($J25))*12+MONTH(Lists!E$22)-MONTH($J25))-(EDATE($J25,((YEAR(Lists!E$22)-YEAR($J25))*12+MONTH(Lists!E$22)-MONTH($J25)))&gt;Lists!E$22)+1)))),IF($AP25="F",IF(N($K25)&lt;=0,0,MIN(MAX(0,$H25),N($K25)*IF(Lists!E$21&lt;$J25,0,(((YEAR(Lists!E$21)-YEAR($J25))*12+MONTH(Lists!E$21)-MONTH($J25))-(EDATE($J25,((YEAR(Lists!E$21)-YEAR($J25))*12+MONTH(Lists!E$21)-MONTH($J25)))&gt;Lists!E$21)+1)))-MIN(MAX(0,$H25),N($K25)*IF(Lists!E$22&lt;$J25,0,(((YEAR(Lists!E$22)-YEAR($J25))*12+MONTH(Lists!E$22)-MONTH($J25))-(EDATE($J25,((YEAR(Lists!E$22)-YEAR($J25))*12+MONTH(Lists!E$22)-MONTH($J25)))&gt;Lists!E$22)+1)))),N($C25)*IF($AE25-$AD25&lt;1,($AD25&gt;Lists!E$22)*($AD25&lt;=Lists!E$21),MAX(0,MIN(Lists!E$21,$AE25)-MAX(Lists!E$22,$AD25))/($AE25-$AD25))+N($D25)*IF($AG25-$AF25&lt;1,($AF25&gt;Lists!E$22)*($AF25&lt;=Lists!E$21),MAX(0,MIN(Lists!E$21,$AG25)-MAX(Lists!E$22,$AF25))/($AG25-$AF25))+N($E25)*IF($AI25-$AH25&lt;1,($AH25&gt;Lists!E$22)*($AH25&lt;=Lists!E$21),MAX(0,MIN(Lists!E$21,$AI25)-MAX(Lists!E$22,$AH25))/($AI25-$AH25))+N($F25)*IF($AK25-$AJ25&lt;1,($AJ25&gt;Lists!E$22)*($AJ25&lt;=Lists!E$21),MAX(0,MIN(Lists!E$21,$AK25)-MAX(Lists!E$22,$AJ25))/($AK25-$AJ25))+N($G25)*IF($AM25-$AL25&lt;1,($AL25&gt;Lists!E$22)*($AL25&lt;=Lists!E$21),MAX(0,MIN(Lists!E$21,$AM25)-MAX(Lists!E$22,$AL25))/($AM25-$AL25))))))))</f>
        <v>0</v>
      </c>
      <c r="P25" s="53" t="n">
        <f aca="false">IF($H25=0,0,IF($AP25="X",0,IF($AP25="S",$H25/$AO25*(MIN($AO25,MAX(0,INT((Lists!F$21-N($J25))/7)+1))-MIN($AO25,MAX(0,INT((Lists!F$22-N($J25))/7)+1))),IF($AP25="D",$H25*MAX(0,MIN(Lists!F$21,N($J25)+$AO25)-MAX(Lists!F$22,N($J25)))/$AO25,IF($AP25="M",$H25/$AO25*(IF(Lists!F$21&lt;$J25,0,MIN($AO25,(((YEAR(Lists!F$21)-YEAR($J25))*12+MONTH(Lists!F$21)-MONTH($J25))-(EDATE($J25,((YEAR(Lists!F$21)-YEAR($J25))*12+MONTH(Lists!F$21)-MONTH($J25)))&gt;Lists!F$21)+1)))-IF(Lists!F$22&lt;$J25,0,MIN($AO25,(((YEAR(Lists!F$22)-YEAR($J25))*12+MONTH(Lists!F$22)-MONTH($J25))-(EDATE($J25,((YEAR(Lists!F$22)-YEAR($J25))*12+MONTH(Lists!F$22)-MONTH($J25)))&gt;Lists!F$22)+1)))),IF($AP25="F",IF(N($K25)&lt;=0,0,MIN(MAX(0,$H25),N($K25)*IF(Lists!F$21&lt;$J25,0,(((YEAR(Lists!F$21)-YEAR($J25))*12+MONTH(Lists!F$21)-MONTH($J25))-(EDATE($J25,((YEAR(Lists!F$21)-YEAR($J25))*12+MONTH(Lists!F$21)-MONTH($J25)))&gt;Lists!F$21)+1)))-MIN(MAX(0,$H25),N($K25)*IF(Lists!F$22&lt;$J25,0,(((YEAR(Lists!F$22)-YEAR($J25))*12+MONTH(Lists!F$22)-MONTH($J25))-(EDATE($J25,((YEAR(Lists!F$22)-YEAR($J25))*12+MONTH(Lists!F$22)-MONTH($J25)))&gt;Lists!F$22)+1)))),N($C25)*IF($AE25-$AD25&lt;1,($AD25&gt;Lists!F$22)*($AD25&lt;=Lists!F$21),MAX(0,MIN(Lists!F$21,$AE25)-MAX(Lists!F$22,$AD25))/($AE25-$AD25))+N($D25)*IF($AG25-$AF25&lt;1,($AF25&gt;Lists!F$22)*($AF25&lt;=Lists!F$21),MAX(0,MIN(Lists!F$21,$AG25)-MAX(Lists!F$22,$AF25))/($AG25-$AF25))+N($E25)*IF($AI25-$AH25&lt;1,($AH25&gt;Lists!F$22)*($AH25&lt;=Lists!F$21),MAX(0,MIN(Lists!F$21,$AI25)-MAX(Lists!F$22,$AH25))/($AI25-$AH25))+N($F25)*IF($AK25-$AJ25&lt;1,($AJ25&gt;Lists!F$22)*($AJ25&lt;=Lists!F$21),MAX(0,MIN(Lists!F$21,$AK25)-MAX(Lists!F$22,$AJ25))/($AK25-$AJ25))+N($G25)*IF($AM25-$AL25&lt;1,($AL25&gt;Lists!F$22)*($AL25&lt;=Lists!F$21),MAX(0,MIN(Lists!F$21,$AM25)-MAX(Lists!F$22,$AL25))/($AM25-$AL25))))))))</f>
        <v>0</v>
      </c>
      <c r="Q25" s="53" t="n">
        <f aca="false">IF($H25=0,0,IF($AP25="X",0,IF($AP25="S",$H25/$AO25*(MIN($AO25,MAX(0,INT((Lists!G$21-N($J25))/7)+1))-MIN($AO25,MAX(0,INT((Lists!G$22-N($J25))/7)+1))),IF($AP25="D",$H25*MAX(0,MIN(Lists!G$21,N($J25)+$AO25)-MAX(Lists!G$22,N($J25)))/$AO25,IF($AP25="M",$H25/$AO25*(IF(Lists!G$21&lt;$J25,0,MIN($AO25,(((YEAR(Lists!G$21)-YEAR($J25))*12+MONTH(Lists!G$21)-MONTH($J25))-(EDATE($J25,((YEAR(Lists!G$21)-YEAR($J25))*12+MONTH(Lists!G$21)-MONTH($J25)))&gt;Lists!G$21)+1)))-IF(Lists!G$22&lt;$J25,0,MIN($AO25,(((YEAR(Lists!G$22)-YEAR($J25))*12+MONTH(Lists!G$22)-MONTH($J25))-(EDATE($J25,((YEAR(Lists!G$22)-YEAR($J25))*12+MONTH(Lists!G$22)-MONTH($J25)))&gt;Lists!G$22)+1)))),IF($AP25="F",IF(N($K25)&lt;=0,0,MIN(MAX(0,$H25),N($K25)*IF(Lists!G$21&lt;$J25,0,(((YEAR(Lists!G$21)-YEAR($J25))*12+MONTH(Lists!G$21)-MONTH($J25))-(EDATE($J25,((YEAR(Lists!G$21)-YEAR($J25))*12+MONTH(Lists!G$21)-MONTH($J25)))&gt;Lists!G$21)+1)))-MIN(MAX(0,$H25),N($K25)*IF(Lists!G$22&lt;$J25,0,(((YEAR(Lists!G$22)-YEAR($J25))*12+MONTH(Lists!G$22)-MONTH($J25))-(EDATE($J25,((YEAR(Lists!G$22)-YEAR($J25))*12+MONTH(Lists!G$22)-MONTH($J25)))&gt;Lists!G$22)+1)))),N($C25)*IF($AE25-$AD25&lt;1,($AD25&gt;Lists!G$22)*($AD25&lt;=Lists!G$21),MAX(0,MIN(Lists!G$21,$AE25)-MAX(Lists!G$22,$AD25))/($AE25-$AD25))+N($D25)*IF($AG25-$AF25&lt;1,($AF25&gt;Lists!G$22)*($AF25&lt;=Lists!G$21),MAX(0,MIN(Lists!G$21,$AG25)-MAX(Lists!G$22,$AF25))/($AG25-$AF25))+N($E25)*IF($AI25-$AH25&lt;1,($AH25&gt;Lists!G$22)*($AH25&lt;=Lists!G$21),MAX(0,MIN(Lists!G$21,$AI25)-MAX(Lists!G$22,$AH25))/($AI25-$AH25))+N($F25)*IF($AK25-$AJ25&lt;1,($AJ25&gt;Lists!G$22)*($AJ25&lt;=Lists!G$21),MAX(0,MIN(Lists!G$21,$AK25)-MAX(Lists!G$22,$AJ25))/($AK25-$AJ25))+N($G25)*IF($AM25-$AL25&lt;1,($AL25&gt;Lists!G$22)*($AL25&lt;=Lists!G$21),MAX(0,MIN(Lists!G$21,$AM25)-MAX(Lists!G$22,$AL25))/($AM25-$AL25))))))))</f>
        <v>0</v>
      </c>
      <c r="R25" s="53" t="n">
        <f aca="false">IF($H25=0,0,IF($AP25="X",0,IF($AP25="S",$H25/$AO25*(MIN($AO25,MAX(0,INT((Lists!H$21-N($J25))/7)+1))-MIN($AO25,MAX(0,INT((Lists!H$22-N($J25))/7)+1))),IF($AP25="D",$H25*MAX(0,MIN(Lists!H$21,N($J25)+$AO25)-MAX(Lists!H$22,N($J25)))/$AO25,IF($AP25="M",$H25/$AO25*(IF(Lists!H$21&lt;$J25,0,MIN($AO25,(((YEAR(Lists!H$21)-YEAR($J25))*12+MONTH(Lists!H$21)-MONTH($J25))-(EDATE($J25,((YEAR(Lists!H$21)-YEAR($J25))*12+MONTH(Lists!H$21)-MONTH($J25)))&gt;Lists!H$21)+1)))-IF(Lists!H$22&lt;$J25,0,MIN($AO25,(((YEAR(Lists!H$22)-YEAR($J25))*12+MONTH(Lists!H$22)-MONTH($J25))-(EDATE($J25,((YEAR(Lists!H$22)-YEAR($J25))*12+MONTH(Lists!H$22)-MONTH($J25)))&gt;Lists!H$22)+1)))),IF($AP25="F",IF(N($K25)&lt;=0,0,MIN(MAX(0,$H25),N($K25)*IF(Lists!H$21&lt;$J25,0,(((YEAR(Lists!H$21)-YEAR($J25))*12+MONTH(Lists!H$21)-MONTH($J25))-(EDATE($J25,((YEAR(Lists!H$21)-YEAR($J25))*12+MONTH(Lists!H$21)-MONTH($J25)))&gt;Lists!H$21)+1)))-MIN(MAX(0,$H25),N($K25)*IF(Lists!H$22&lt;$J25,0,(((YEAR(Lists!H$22)-YEAR($J25))*12+MONTH(Lists!H$22)-MONTH($J25))-(EDATE($J25,((YEAR(Lists!H$22)-YEAR($J25))*12+MONTH(Lists!H$22)-MONTH($J25)))&gt;Lists!H$22)+1)))),N($C25)*IF($AE25-$AD25&lt;1,($AD25&gt;Lists!H$22)*($AD25&lt;=Lists!H$21),MAX(0,MIN(Lists!H$21,$AE25)-MAX(Lists!H$22,$AD25))/($AE25-$AD25))+N($D25)*IF($AG25-$AF25&lt;1,($AF25&gt;Lists!H$22)*($AF25&lt;=Lists!H$21),MAX(0,MIN(Lists!H$21,$AG25)-MAX(Lists!H$22,$AF25))/($AG25-$AF25))+N($E25)*IF($AI25-$AH25&lt;1,($AH25&gt;Lists!H$22)*($AH25&lt;=Lists!H$21),MAX(0,MIN(Lists!H$21,$AI25)-MAX(Lists!H$22,$AH25))/($AI25-$AH25))+N($F25)*IF($AK25-$AJ25&lt;1,($AJ25&gt;Lists!H$22)*($AJ25&lt;=Lists!H$21),MAX(0,MIN(Lists!H$21,$AK25)-MAX(Lists!H$22,$AJ25))/($AK25-$AJ25))+N($G25)*IF($AM25-$AL25&lt;1,($AL25&gt;Lists!H$22)*($AL25&lt;=Lists!H$21),MAX(0,MIN(Lists!H$21,$AM25)-MAX(Lists!H$22,$AL25))/($AM25-$AL25))))))))</f>
        <v>0</v>
      </c>
      <c r="S25" s="53" t="n">
        <f aca="false">IF($H25=0,0,IF($AP25="X",0,IF($AP25="S",$H25/$AO25*(MIN($AO25,MAX(0,INT((Lists!I$21-N($J25))/7)+1))-MIN($AO25,MAX(0,INT((Lists!I$22-N($J25))/7)+1))),IF($AP25="D",$H25*MAX(0,MIN(Lists!I$21,N($J25)+$AO25)-MAX(Lists!I$22,N($J25)))/$AO25,IF($AP25="M",$H25/$AO25*(IF(Lists!I$21&lt;$J25,0,MIN($AO25,(((YEAR(Lists!I$21)-YEAR($J25))*12+MONTH(Lists!I$21)-MONTH($J25))-(EDATE($J25,((YEAR(Lists!I$21)-YEAR($J25))*12+MONTH(Lists!I$21)-MONTH($J25)))&gt;Lists!I$21)+1)))-IF(Lists!I$22&lt;$J25,0,MIN($AO25,(((YEAR(Lists!I$22)-YEAR($J25))*12+MONTH(Lists!I$22)-MONTH($J25))-(EDATE($J25,((YEAR(Lists!I$22)-YEAR($J25))*12+MONTH(Lists!I$22)-MONTH($J25)))&gt;Lists!I$22)+1)))),IF($AP25="F",IF(N($K25)&lt;=0,0,MIN(MAX(0,$H25),N($K25)*IF(Lists!I$21&lt;$J25,0,(((YEAR(Lists!I$21)-YEAR($J25))*12+MONTH(Lists!I$21)-MONTH($J25))-(EDATE($J25,((YEAR(Lists!I$21)-YEAR($J25))*12+MONTH(Lists!I$21)-MONTH($J25)))&gt;Lists!I$21)+1)))-MIN(MAX(0,$H25),N($K25)*IF(Lists!I$22&lt;$J25,0,(((YEAR(Lists!I$22)-YEAR($J25))*12+MONTH(Lists!I$22)-MONTH($J25))-(EDATE($J25,((YEAR(Lists!I$22)-YEAR($J25))*12+MONTH(Lists!I$22)-MONTH($J25)))&gt;Lists!I$22)+1)))),N($C25)*IF($AE25-$AD25&lt;1,($AD25&gt;Lists!I$22)*($AD25&lt;=Lists!I$21),MAX(0,MIN(Lists!I$21,$AE25)-MAX(Lists!I$22,$AD25))/($AE25-$AD25))+N($D25)*IF($AG25-$AF25&lt;1,($AF25&gt;Lists!I$22)*($AF25&lt;=Lists!I$21),MAX(0,MIN(Lists!I$21,$AG25)-MAX(Lists!I$22,$AF25))/($AG25-$AF25))+N($E25)*IF($AI25-$AH25&lt;1,($AH25&gt;Lists!I$22)*($AH25&lt;=Lists!I$21),MAX(0,MIN(Lists!I$21,$AI25)-MAX(Lists!I$22,$AH25))/($AI25-$AH25))+N($F25)*IF($AK25-$AJ25&lt;1,($AJ25&gt;Lists!I$22)*($AJ25&lt;=Lists!I$21),MAX(0,MIN(Lists!I$21,$AK25)-MAX(Lists!I$22,$AJ25))/($AK25-$AJ25))+N($G25)*IF($AM25-$AL25&lt;1,($AL25&gt;Lists!I$22)*($AL25&lt;=Lists!I$21),MAX(0,MIN(Lists!I$21,$AM25)-MAX(Lists!I$22,$AL25))/($AM25-$AL25))))))))</f>
        <v>0</v>
      </c>
      <c r="T25" s="53" t="n">
        <f aca="false">IF($H25=0,0,IF($AP25="X",0,IF($AP25="S",$H25/$AO25*(MIN($AO25,MAX(0,INT((Lists!J$21-N($J25))/7)+1))-MIN($AO25,MAX(0,INT((Lists!J$22-N($J25))/7)+1))),IF($AP25="D",$H25*MAX(0,MIN(Lists!J$21,N($J25)+$AO25)-MAX(Lists!J$22,N($J25)))/$AO25,IF($AP25="M",$H25/$AO25*(IF(Lists!J$21&lt;$J25,0,MIN($AO25,(((YEAR(Lists!J$21)-YEAR($J25))*12+MONTH(Lists!J$21)-MONTH($J25))-(EDATE($J25,((YEAR(Lists!J$21)-YEAR($J25))*12+MONTH(Lists!J$21)-MONTH($J25)))&gt;Lists!J$21)+1)))-IF(Lists!J$22&lt;$J25,0,MIN($AO25,(((YEAR(Lists!J$22)-YEAR($J25))*12+MONTH(Lists!J$22)-MONTH($J25))-(EDATE($J25,((YEAR(Lists!J$22)-YEAR($J25))*12+MONTH(Lists!J$22)-MONTH($J25)))&gt;Lists!J$22)+1)))),IF($AP25="F",IF(N($K25)&lt;=0,0,MIN(MAX(0,$H25),N($K25)*IF(Lists!J$21&lt;$J25,0,(((YEAR(Lists!J$21)-YEAR($J25))*12+MONTH(Lists!J$21)-MONTH($J25))-(EDATE($J25,((YEAR(Lists!J$21)-YEAR($J25))*12+MONTH(Lists!J$21)-MONTH($J25)))&gt;Lists!J$21)+1)))-MIN(MAX(0,$H25),N($K25)*IF(Lists!J$22&lt;$J25,0,(((YEAR(Lists!J$22)-YEAR($J25))*12+MONTH(Lists!J$22)-MONTH($J25))-(EDATE($J25,((YEAR(Lists!J$22)-YEAR($J25))*12+MONTH(Lists!J$22)-MONTH($J25)))&gt;Lists!J$22)+1)))),N($C25)*IF($AE25-$AD25&lt;1,($AD25&gt;Lists!J$22)*($AD25&lt;=Lists!J$21),MAX(0,MIN(Lists!J$21,$AE25)-MAX(Lists!J$22,$AD25))/($AE25-$AD25))+N($D25)*IF($AG25-$AF25&lt;1,($AF25&gt;Lists!J$22)*($AF25&lt;=Lists!J$21),MAX(0,MIN(Lists!J$21,$AG25)-MAX(Lists!J$22,$AF25))/($AG25-$AF25))+N($E25)*IF($AI25-$AH25&lt;1,($AH25&gt;Lists!J$22)*($AH25&lt;=Lists!J$21),MAX(0,MIN(Lists!J$21,$AI25)-MAX(Lists!J$22,$AH25))/($AI25-$AH25))+N($F25)*IF($AK25-$AJ25&lt;1,($AJ25&gt;Lists!J$22)*($AJ25&lt;=Lists!J$21),MAX(0,MIN(Lists!J$21,$AK25)-MAX(Lists!J$22,$AJ25))/($AK25-$AJ25))+N($G25)*IF($AM25-$AL25&lt;1,($AL25&gt;Lists!J$22)*($AL25&lt;=Lists!J$21),MAX(0,MIN(Lists!J$21,$AM25)-MAX(Lists!J$22,$AL25))/($AM25-$AL25))))))))</f>
        <v>0</v>
      </c>
      <c r="U25" s="53" t="n">
        <f aca="false">IF($H25=0,0,IF($AP25="X",0,IF($AP25="S",$H25/$AO25*(MIN($AO25,MAX(0,INT((Lists!K$21-N($J25))/7)+1))-MIN($AO25,MAX(0,INT((Lists!K$22-N($J25))/7)+1))),IF($AP25="D",$H25*MAX(0,MIN(Lists!K$21,N($J25)+$AO25)-MAX(Lists!K$22,N($J25)))/$AO25,IF($AP25="M",$H25/$AO25*(IF(Lists!K$21&lt;$J25,0,MIN($AO25,(((YEAR(Lists!K$21)-YEAR($J25))*12+MONTH(Lists!K$21)-MONTH($J25))-(EDATE($J25,((YEAR(Lists!K$21)-YEAR($J25))*12+MONTH(Lists!K$21)-MONTH($J25)))&gt;Lists!K$21)+1)))-IF(Lists!K$22&lt;$J25,0,MIN($AO25,(((YEAR(Lists!K$22)-YEAR($J25))*12+MONTH(Lists!K$22)-MONTH($J25))-(EDATE($J25,((YEAR(Lists!K$22)-YEAR($J25))*12+MONTH(Lists!K$22)-MONTH($J25)))&gt;Lists!K$22)+1)))),IF($AP25="F",IF(N($K25)&lt;=0,0,MIN(MAX(0,$H25),N($K25)*IF(Lists!K$21&lt;$J25,0,(((YEAR(Lists!K$21)-YEAR($J25))*12+MONTH(Lists!K$21)-MONTH($J25))-(EDATE($J25,((YEAR(Lists!K$21)-YEAR($J25))*12+MONTH(Lists!K$21)-MONTH($J25)))&gt;Lists!K$21)+1)))-MIN(MAX(0,$H25),N($K25)*IF(Lists!K$22&lt;$J25,0,(((YEAR(Lists!K$22)-YEAR($J25))*12+MONTH(Lists!K$22)-MONTH($J25))-(EDATE($J25,((YEAR(Lists!K$22)-YEAR($J25))*12+MONTH(Lists!K$22)-MONTH($J25)))&gt;Lists!K$22)+1)))),N($C25)*IF($AE25-$AD25&lt;1,($AD25&gt;Lists!K$22)*($AD25&lt;=Lists!K$21),MAX(0,MIN(Lists!K$21,$AE25)-MAX(Lists!K$22,$AD25))/($AE25-$AD25))+N($D25)*IF($AG25-$AF25&lt;1,($AF25&gt;Lists!K$22)*($AF25&lt;=Lists!K$21),MAX(0,MIN(Lists!K$21,$AG25)-MAX(Lists!K$22,$AF25))/($AG25-$AF25))+N($E25)*IF($AI25-$AH25&lt;1,($AH25&gt;Lists!K$22)*($AH25&lt;=Lists!K$21),MAX(0,MIN(Lists!K$21,$AI25)-MAX(Lists!K$22,$AH25))/($AI25-$AH25))+N($F25)*IF($AK25-$AJ25&lt;1,($AJ25&gt;Lists!K$22)*($AJ25&lt;=Lists!K$21),MAX(0,MIN(Lists!K$21,$AK25)-MAX(Lists!K$22,$AJ25))/($AK25-$AJ25))+N($G25)*IF($AM25-$AL25&lt;1,($AL25&gt;Lists!K$22)*($AL25&lt;=Lists!K$21),MAX(0,MIN(Lists!K$21,$AM25)-MAX(Lists!K$22,$AL25))/($AM25-$AL25))))))))</f>
        <v>0</v>
      </c>
      <c r="V25" s="53" t="n">
        <f aca="false">IF($H25=0,0,IF($AP25="X",0,IF($AP25="S",$H25/$AO25*(MIN($AO25,MAX(0,INT((Lists!L$21-N($J25))/7)+1))-MIN($AO25,MAX(0,INT((Lists!L$22-N($J25))/7)+1))),IF($AP25="D",$H25*MAX(0,MIN(Lists!L$21,N($J25)+$AO25)-MAX(Lists!L$22,N($J25)))/$AO25,IF($AP25="M",$H25/$AO25*(IF(Lists!L$21&lt;$J25,0,MIN($AO25,(((YEAR(Lists!L$21)-YEAR($J25))*12+MONTH(Lists!L$21)-MONTH($J25))-(EDATE($J25,((YEAR(Lists!L$21)-YEAR($J25))*12+MONTH(Lists!L$21)-MONTH($J25)))&gt;Lists!L$21)+1)))-IF(Lists!L$22&lt;$J25,0,MIN($AO25,(((YEAR(Lists!L$22)-YEAR($J25))*12+MONTH(Lists!L$22)-MONTH($J25))-(EDATE($J25,((YEAR(Lists!L$22)-YEAR($J25))*12+MONTH(Lists!L$22)-MONTH($J25)))&gt;Lists!L$22)+1)))),IF($AP25="F",IF(N($K25)&lt;=0,0,MIN(MAX(0,$H25),N($K25)*IF(Lists!L$21&lt;$J25,0,(((YEAR(Lists!L$21)-YEAR($J25))*12+MONTH(Lists!L$21)-MONTH($J25))-(EDATE($J25,((YEAR(Lists!L$21)-YEAR($J25))*12+MONTH(Lists!L$21)-MONTH($J25)))&gt;Lists!L$21)+1)))-MIN(MAX(0,$H25),N($K25)*IF(Lists!L$22&lt;$J25,0,(((YEAR(Lists!L$22)-YEAR($J25))*12+MONTH(Lists!L$22)-MONTH($J25))-(EDATE($J25,((YEAR(Lists!L$22)-YEAR($J25))*12+MONTH(Lists!L$22)-MONTH($J25)))&gt;Lists!L$22)+1)))),N($C25)*IF($AE25-$AD25&lt;1,($AD25&gt;Lists!L$22)*($AD25&lt;=Lists!L$21),MAX(0,MIN(Lists!L$21,$AE25)-MAX(Lists!L$22,$AD25))/($AE25-$AD25))+N($D25)*IF($AG25-$AF25&lt;1,($AF25&gt;Lists!L$22)*($AF25&lt;=Lists!L$21),MAX(0,MIN(Lists!L$21,$AG25)-MAX(Lists!L$22,$AF25))/($AG25-$AF25))+N($E25)*IF($AI25-$AH25&lt;1,($AH25&gt;Lists!L$22)*($AH25&lt;=Lists!L$21),MAX(0,MIN(Lists!L$21,$AI25)-MAX(Lists!L$22,$AH25))/($AI25-$AH25))+N($F25)*IF($AK25-$AJ25&lt;1,($AJ25&gt;Lists!L$22)*($AJ25&lt;=Lists!L$21),MAX(0,MIN(Lists!L$21,$AK25)-MAX(Lists!L$22,$AJ25))/($AK25-$AJ25))+N($G25)*IF($AM25-$AL25&lt;1,($AL25&gt;Lists!L$22)*($AL25&lt;=Lists!L$21),MAX(0,MIN(Lists!L$21,$AM25)-MAX(Lists!L$22,$AL25))/($AM25-$AL25))))))))</f>
        <v>0</v>
      </c>
      <c r="W25" s="53" t="n">
        <f aca="false">IF($H25=0,0,IF($AP25="X",0,IF($AP25="S",$H25/$AO25*(MIN($AO25,MAX(0,INT((Lists!M$21-N($J25))/7)+1))-MIN($AO25,MAX(0,INT((Lists!M$22-N($J25))/7)+1))),IF($AP25="D",$H25*MAX(0,MIN(Lists!M$21,N($J25)+$AO25)-MAX(Lists!M$22,N($J25)))/$AO25,IF($AP25="M",$H25/$AO25*(IF(Lists!M$21&lt;$J25,0,MIN($AO25,(((YEAR(Lists!M$21)-YEAR($J25))*12+MONTH(Lists!M$21)-MONTH($J25))-(EDATE($J25,((YEAR(Lists!M$21)-YEAR($J25))*12+MONTH(Lists!M$21)-MONTH($J25)))&gt;Lists!M$21)+1)))-IF(Lists!M$22&lt;$J25,0,MIN($AO25,(((YEAR(Lists!M$22)-YEAR($J25))*12+MONTH(Lists!M$22)-MONTH($J25))-(EDATE($J25,((YEAR(Lists!M$22)-YEAR($J25))*12+MONTH(Lists!M$22)-MONTH($J25)))&gt;Lists!M$22)+1)))),IF($AP25="F",IF(N($K25)&lt;=0,0,MIN(MAX(0,$H25),N($K25)*IF(Lists!M$21&lt;$J25,0,(((YEAR(Lists!M$21)-YEAR($J25))*12+MONTH(Lists!M$21)-MONTH($J25))-(EDATE($J25,((YEAR(Lists!M$21)-YEAR($J25))*12+MONTH(Lists!M$21)-MONTH($J25)))&gt;Lists!M$21)+1)))-MIN(MAX(0,$H25),N($K25)*IF(Lists!M$22&lt;$J25,0,(((YEAR(Lists!M$22)-YEAR($J25))*12+MONTH(Lists!M$22)-MONTH($J25))-(EDATE($J25,((YEAR(Lists!M$22)-YEAR($J25))*12+MONTH(Lists!M$22)-MONTH($J25)))&gt;Lists!M$22)+1)))),N($C25)*IF($AE25-$AD25&lt;1,($AD25&gt;Lists!M$22)*($AD25&lt;=Lists!M$21),MAX(0,MIN(Lists!M$21,$AE25)-MAX(Lists!M$22,$AD25))/($AE25-$AD25))+N($D25)*IF($AG25-$AF25&lt;1,($AF25&gt;Lists!M$22)*($AF25&lt;=Lists!M$21),MAX(0,MIN(Lists!M$21,$AG25)-MAX(Lists!M$22,$AF25))/($AG25-$AF25))+N($E25)*IF($AI25-$AH25&lt;1,($AH25&gt;Lists!M$22)*($AH25&lt;=Lists!M$21),MAX(0,MIN(Lists!M$21,$AI25)-MAX(Lists!M$22,$AH25))/($AI25-$AH25))+N($F25)*IF($AK25-$AJ25&lt;1,($AJ25&gt;Lists!M$22)*($AJ25&lt;=Lists!M$21),MAX(0,MIN(Lists!M$21,$AK25)-MAX(Lists!M$22,$AJ25))/($AK25-$AJ25))+N($G25)*IF($AM25-$AL25&lt;1,($AL25&gt;Lists!M$22)*($AL25&lt;=Lists!M$21),MAX(0,MIN(Lists!M$21,$AM25)-MAX(Lists!M$22,$AL25))/($AM25-$AL25))))))))</f>
        <v>0</v>
      </c>
      <c r="X25" s="53" t="n">
        <f aca="false">IF($H25=0,0,IF($AP25="X",0,IF($AP25="S",$H25/$AO25*(MIN($AO25,MAX(0,INT((Lists!N$21-N($J25))/7)+1))-MIN($AO25,MAX(0,INT((Lists!N$22-N($J25))/7)+1))),IF($AP25="D",$H25*MAX(0,MIN(Lists!N$21,N($J25)+$AO25)-MAX(Lists!N$22,N($J25)))/$AO25,IF($AP25="M",$H25/$AO25*(IF(Lists!N$21&lt;$J25,0,MIN($AO25,(((YEAR(Lists!N$21)-YEAR($J25))*12+MONTH(Lists!N$21)-MONTH($J25))-(EDATE($J25,((YEAR(Lists!N$21)-YEAR($J25))*12+MONTH(Lists!N$21)-MONTH($J25)))&gt;Lists!N$21)+1)))-IF(Lists!N$22&lt;$J25,0,MIN($AO25,(((YEAR(Lists!N$22)-YEAR($J25))*12+MONTH(Lists!N$22)-MONTH($J25))-(EDATE($J25,((YEAR(Lists!N$22)-YEAR($J25))*12+MONTH(Lists!N$22)-MONTH($J25)))&gt;Lists!N$22)+1)))),IF($AP25="F",IF(N($K25)&lt;=0,0,MIN(MAX(0,$H25),N($K25)*IF(Lists!N$21&lt;$J25,0,(((YEAR(Lists!N$21)-YEAR($J25))*12+MONTH(Lists!N$21)-MONTH($J25))-(EDATE($J25,((YEAR(Lists!N$21)-YEAR($J25))*12+MONTH(Lists!N$21)-MONTH($J25)))&gt;Lists!N$21)+1)))-MIN(MAX(0,$H25),N($K25)*IF(Lists!N$22&lt;$J25,0,(((YEAR(Lists!N$22)-YEAR($J25))*12+MONTH(Lists!N$22)-MONTH($J25))-(EDATE($J25,((YEAR(Lists!N$22)-YEAR($J25))*12+MONTH(Lists!N$22)-MONTH($J25)))&gt;Lists!N$22)+1)))),N($C25)*IF($AE25-$AD25&lt;1,($AD25&gt;Lists!N$22)*($AD25&lt;=Lists!N$21),MAX(0,MIN(Lists!N$21,$AE25)-MAX(Lists!N$22,$AD25))/($AE25-$AD25))+N($D25)*IF($AG25-$AF25&lt;1,($AF25&gt;Lists!N$22)*($AF25&lt;=Lists!N$21),MAX(0,MIN(Lists!N$21,$AG25)-MAX(Lists!N$22,$AF25))/($AG25-$AF25))+N($E25)*IF($AI25-$AH25&lt;1,($AH25&gt;Lists!N$22)*($AH25&lt;=Lists!N$21),MAX(0,MIN(Lists!N$21,$AI25)-MAX(Lists!N$22,$AH25))/($AI25-$AH25))+N($F25)*IF($AK25-$AJ25&lt;1,($AJ25&gt;Lists!N$22)*($AJ25&lt;=Lists!N$21),MAX(0,MIN(Lists!N$21,$AK25)-MAX(Lists!N$22,$AJ25))/($AK25-$AJ25))+N($G25)*IF($AM25-$AL25&lt;1,($AL25&gt;Lists!N$22)*($AL25&lt;=Lists!N$21),MAX(0,MIN(Lists!N$21,$AM25)-MAX(Lists!N$22,$AL25))/($AM25-$AL25))))))))</f>
        <v>0</v>
      </c>
      <c r="Y25" s="53" t="n">
        <f aca="false">IF($H25=0,0,IF($AP25="X",0,IF($AP25="S",$H25/$AO25*(MIN($AO25,MAX(0,INT((Lists!O$21-N($J25))/7)+1))-MIN($AO25,MAX(0,INT((Lists!O$22-N($J25))/7)+1))),IF($AP25="D",$H25*MAX(0,MIN(Lists!O$21,N($J25)+$AO25)-MAX(Lists!O$22,N($J25)))/$AO25,IF($AP25="M",$H25/$AO25*(IF(Lists!O$21&lt;$J25,0,MIN($AO25,(((YEAR(Lists!O$21)-YEAR($J25))*12+MONTH(Lists!O$21)-MONTH($J25))-(EDATE($J25,((YEAR(Lists!O$21)-YEAR($J25))*12+MONTH(Lists!O$21)-MONTH($J25)))&gt;Lists!O$21)+1)))-IF(Lists!O$22&lt;$J25,0,MIN($AO25,(((YEAR(Lists!O$22)-YEAR($J25))*12+MONTH(Lists!O$22)-MONTH($J25))-(EDATE($J25,((YEAR(Lists!O$22)-YEAR($J25))*12+MONTH(Lists!O$22)-MONTH($J25)))&gt;Lists!O$22)+1)))),IF($AP25="F",IF(N($K25)&lt;=0,0,MIN(MAX(0,$H25),N($K25)*IF(Lists!O$21&lt;$J25,0,(((YEAR(Lists!O$21)-YEAR($J25))*12+MONTH(Lists!O$21)-MONTH($J25))-(EDATE($J25,((YEAR(Lists!O$21)-YEAR($J25))*12+MONTH(Lists!O$21)-MONTH($J25)))&gt;Lists!O$21)+1)))-MIN(MAX(0,$H25),N($K25)*IF(Lists!O$22&lt;$J25,0,(((YEAR(Lists!O$22)-YEAR($J25))*12+MONTH(Lists!O$22)-MONTH($J25))-(EDATE($J25,((YEAR(Lists!O$22)-YEAR($J25))*12+MONTH(Lists!O$22)-MONTH($J25)))&gt;Lists!O$22)+1)))),N($C25)*IF($AE25-$AD25&lt;1,($AD25&gt;Lists!O$22)*($AD25&lt;=Lists!O$21),MAX(0,MIN(Lists!O$21,$AE25)-MAX(Lists!O$22,$AD25))/($AE25-$AD25))+N($D25)*IF($AG25-$AF25&lt;1,($AF25&gt;Lists!O$22)*($AF25&lt;=Lists!O$21),MAX(0,MIN(Lists!O$21,$AG25)-MAX(Lists!O$22,$AF25))/($AG25-$AF25))+N($E25)*IF($AI25-$AH25&lt;1,($AH25&gt;Lists!O$22)*($AH25&lt;=Lists!O$21),MAX(0,MIN(Lists!O$21,$AI25)-MAX(Lists!O$22,$AH25))/($AI25-$AH25))+N($F25)*IF($AK25-$AJ25&lt;1,($AJ25&gt;Lists!O$22)*($AJ25&lt;=Lists!O$21),MAX(0,MIN(Lists!O$21,$AK25)-MAX(Lists!O$22,$AJ25))/($AK25-$AJ25))+N($G25)*IF($AM25-$AL25&lt;1,($AL25&gt;Lists!O$22)*($AL25&lt;=Lists!O$21),MAX(0,MIN(Lists!O$21,$AM25)-MAX(Lists!O$22,$AL25))/($AM25-$AL25))))))))</f>
        <v>0</v>
      </c>
      <c r="Z25" s="46" t="n">
        <f aca="false">SUM(M25:Y25)</f>
        <v>0</v>
      </c>
      <c r="AA25" s="92" t="n">
        <f aca="false">H25-Z25</f>
        <v>0</v>
      </c>
      <c r="AB25" s="55"/>
      <c r="AC25" s="2"/>
      <c r="AD25" s="93" t="n">
        <f aca="false">Setup!$D$10+MAX(0,$AN25-30)</f>
        <v>46345</v>
      </c>
      <c r="AE25" s="93" t="n">
        <f aca="false">Setup!$D$10+IF($AN25-30&lt;0,MAX(Setup!$D$22,$AN25-0),$AN25-0)</f>
        <v>46375</v>
      </c>
      <c r="AF25" s="93" t="n">
        <f aca="false">Setup!$D$10+MAX(0,$AN25-60)</f>
        <v>46335</v>
      </c>
      <c r="AG25" s="93" t="n">
        <f aca="false">Setup!$D$10+IF($AN25-60&lt;0,MAX(Setup!$D$22,$AN25-31),$AN25-31)</f>
        <v>46363</v>
      </c>
      <c r="AH25" s="93" t="n">
        <f aca="false">Setup!$D$10+MAX(0,$AN25-90)</f>
        <v>46335</v>
      </c>
      <c r="AI25" s="93" t="n">
        <f aca="false">Setup!$D$10+IF($AN25-90&lt;0,MAX(Setup!$D$22,$AN25-61),$AN25-61)</f>
        <v>46363</v>
      </c>
      <c r="AJ25" s="93" t="n">
        <f aca="false">Setup!$D$10+MAX(0,$AN25-120)</f>
        <v>46335</v>
      </c>
      <c r="AK25" s="93" t="n">
        <f aca="false">Setup!$D$10+IF($AN25-120&lt;0,MAX(Setup!$D$22,$AN25-91),$AN25-91)</f>
        <v>46363</v>
      </c>
      <c r="AL25" s="93" t="n">
        <f aca="false">Setup!$D$10</f>
        <v>46335</v>
      </c>
      <c r="AM25" s="93" t="n">
        <f aca="false">IF(AL25=2958465,AL25,Setup!$D$10+Setup!$D$22)</f>
        <v>46363</v>
      </c>
      <c r="AN25" s="94" t="n">
        <f aca="false">IF(N(L25)=0,Setup!$D$21,L25)</f>
        <v>40</v>
      </c>
      <c r="AO25" s="94" t="n">
        <f aca="false">MAX(1,ROUND(N(K25),0))</f>
        <v>1</v>
      </c>
      <c r="AP25" s="95" t="str">
        <f aca="false">IF(I25="On hold","X",IF(N(J25)=0,"A",IF(I25="Specific date","S",IF(I25="Spread over days","D",IF(I25="Monthly on set day","M",IF(I25="Monthly fixed amount","F","A"))))))</f>
        <v>A</v>
      </c>
    </row>
    <row r="26" customFormat="false" ht="15" hidden="false" customHeight="false" outlineLevel="0" collapsed="false">
      <c r="A26" s="87" t="n">
        <v>18</v>
      </c>
      <c r="B26" s="55"/>
      <c r="C26" s="88"/>
      <c r="D26" s="88"/>
      <c r="E26" s="88"/>
      <c r="F26" s="88"/>
      <c r="G26" s="88"/>
      <c r="H26" s="89" t="n">
        <f aca="false">SUM(C26:G26)</f>
        <v>0</v>
      </c>
      <c r="I26" s="58"/>
      <c r="J26" s="90"/>
      <c r="K26" s="91"/>
      <c r="L26" s="80"/>
      <c r="M26" s="53" t="n">
        <f aca="false">IF($H26=0,0,IF($AP26="X",0,IF($AP26="S",$H26/$AO26*(MIN($AO26,MAX(0,INT((Lists!C$21-N($J26))/7)+1))-MIN($AO26,MAX(0,INT((Lists!C$22-N($J26))/7)+1))),IF($AP26="D",$H26*MAX(0,MIN(Lists!C$21,N($J26)+$AO26)-MAX(Lists!C$22,N($J26)))/$AO26,IF($AP26="M",$H26/$AO26*(IF(Lists!C$21&lt;$J26,0,MIN($AO26,(((YEAR(Lists!C$21)-YEAR($J26))*12+MONTH(Lists!C$21)-MONTH($J26))-(EDATE($J26,((YEAR(Lists!C$21)-YEAR($J26))*12+MONTH(Lists!C$21)-MONTH($J26)))&gt;Lists!C$21)+1)))-IF(Lists!C$22&lt;$J26,0,MIN($AO26,(((YEAR(Lists!C$22)-YEAR($J26))*12+MONTH(Lists!C$22)-MONTH($J26))-(EDATE($J26,((YEAR(Lists!C$22)-YEAR($J26))*12+MONTH(Lists!C$22)-MONTH($J26)))&gt;Lists!C$22)+1)))),IF($AP26="F",IF(N($K26)&lt;=0,0,MIN(MAX(0,$H26),N($K26)*IF(Lists!C$21&lt;$J26,0,(((YEAR(Lists!C$21)-YEAR($J26))*12+MONTH(Lists!C$21)-MONTH($J26))-(EDATE($J26,((YEAR(Lists!C$21)-YEAR($J26))*12+MONTH(Lists!C$21)-MONTH($J26)))&gt;Lists!C$21)+1)))-MIN(MAX(0,$H26),N($K26)*IF(Lists!C$22&lt;$J26,0,(((YEAR(Lists!C$22)-YEAR($J26))*12+MONTH(Lists!C$22)-MONTH($J26))-(EDATE($J26,((YEAR(Lists!C$22)-YEAR($J26))*12+MONTH(Lists!C$22)-MONTH($J26)))&gt;Lists!C$22)+1)))),N($C26)*IF($AE26-$AD26&lt;1,($AD26&gt;Lists!C$22)*($AD26&lt;=Lists!C$21),MAX(0,MIN(Lists!C$21,$AE26)-MAX(Lists!C$22,$AD26))/($AE26-$AD26))+N($D26)*IF($AG26-$AF26&lt;1,($AF26&gt;Lists!C$22)*($AF26&lt;=Lists!C$21),MAX(0,MIN(Lists!C$21,$AG26)-MAX(Lists!C$22,$AF26))/($AG26-$AF26))+N($E26)*IF($AI26-$AH26&lt;1,($AH26&gt;Lists!C$22)*($AH26&lt;=Lists!C$21),MAX(0,MIN(Lists!C$21,$AI26)-MAX(Lists!C$22,$AH26))/($AI26-$AH26))+N($F26)*IF($AK26-$AJ26&lt;1,($AJ26&gt;Lists!C$22)*($AJ26&lt;=Lists!C$21),MAX(0,MIN(Lists!C$21,$AK26)-MAX(Lists!C$22,$AJ26))/($AK26-$AJ26))+N($G26)*IF($AM26-$AL26&lt;1,($AL26&gt;Lists!C$22)*($AL26&lt;=Lists!C$21),MAX(0,MIN(Lists!C$21,$AM26)-MAX(Lists!C$22,$AL26))/($AM26-$AL26))))))))</f>
        <v>0</v>
      </c>
      <c r="N26" s="53" t="n">
        <f aca="false">IF($H26=0,0,IF($AP26="X",0,IF($AP26="S",$H26/$AO26*(MIN($AO26,MAX(0,INT((Lists!D$21-N($J26))/7)+1))-MIN($AO26,MAX(0,INT((Lists!D$22-N($J26))/7)+1))),IF($AP26="D",$H26*MAX(0,MIN(Lists!D$21,N($J26)+$AO26)-MAX(Lists!D$22,N($J26)))/$AO26,IF($AP26="M",$H26/$AO26*(IF(Lists!D$21&lt;$J26,0,MIN($AO26,(((YEAR(Lists!D$21)-YEAR($J26))*12+MONTH(Lists!D$21)-MONTH($J26))-(EDATE($J26,((YEAR(Lists!D$21)-YEAR($J26))*12+MONTH(Lists!D$21)-MONTH($J26)))&gt;Lists!D$21)+1)))-IF(Lists!D$22&lt;$J26,0,MIN($AO26,(((YEAR(Lists!D$22)-YEAR($J26))*12+MONTH(Lists!D$22)-MONTH($J26))-(EDATE($J26,((YEAR(Lists!D$22)-YEAR($J26))*12+MONTH(Lists!D$22)-MONTH($J26)))&gt;Lists!D$22)+1)))),IF($AP26="F",IF(N($K26)&lt;=0,0,MIN(MAX(0,$H26),N($K26)*IF(Lists!D$21&lt;$J26,0,(((YEAR(Lists!D$21)-YEAR($J26))*12+MONTH(Lists!D$21)-MONTH($J26))-(EDATE($J26,((YEAR(Lists!D$21)-YEAR($J26))*12+MONTH(Lists!D$21)-MONTH($J26)))&gt;Lists!D$21)+1)))-MIN(MAX(0,$H26),N($K26)*IF(Lists!D$22&lt;$J26,0,(((YEAR(Lists!D$22)-YEAR($J26))*12+MONTH(Lists!D$22)-MONTH($J26))-(EDATE($J26,((YEAR(Lists!D$22)-YEAR($J26))*12+MONTH(Lists!D$22)-MONTH($J26)))&gt;Lists!D$22)+1)))),N($C26)*IF($AE26-$AD26&lt;1,($AD26&gt;Lists!D$22)*($AD26&lt;=Lists!D$21),MAX(0,MIN(Lists!D$21,$AE26)-MAX(Lists!D$22,$AD26))/($AE26-$AD26))+N($D26)*IF($AG26-$AF26&lt;1,($AF26&gt;Lists!D$22)*($AF26&lt;=Lists!D$21),MAX(0,MIN(Lists!D$21,$AG26)-MAX(Lists!D$22,$AF26))/($AG26-$AF26))+N($E26)*IF($AI26-$AH26&lt;1,($AH26&gt;Lists!D$22)*($AH26&lt;=Lists!D$21),MAX(0,MIN(Lists!D$21,$AI26)-MAX(Lists!D$22,$AH26))/($AI26-$AH26))+N($F26)*IF($AK26-$AJ26&lt;1,($AJ26&gt;Lists!D$22)*($AJ26&lt;=Lists!D$21),MAX(0,MIN(Lists!D$21,$AK26)-MAX(Lists!D$22,$AJ26))/($AK26-$AJ26))+N($G26)*IF($AM26-$AL26&lt;1,($AL26&gt;Lists!D$22)*($AL26&lt;=Lists!D$21),MAX(0,MIN(Lists!D$21,$AM26)-MAX(Lists!D$22,$AL26))/($AM26-$AL26))))))))</f>
        <v>0</v>
      </c>
      <c r="O26" s="53" t="n">
        <f aca="false">IF($H26=0,0,IF($AP26="X",0,IF($AP26="S",$H26/$AO26*(MIN($AO26,MAX(0,INT((Lists!E$21-N($J26))/7)+1))-MIN($AO26,MAX(0,INT((Lists!E$22-N($J26))/7)+1))),IF($AP26="D",$H26*MAX(0,MIN(Lists!E$21,N($J26)+$AO26)-MAX(Lists!E$22,N($J26)))/$AO26,IF($AP26="M",$H26/$AO26*(IF(Lists!E$21&lt;$J26,0,MIN($AO26,(((YEAR(Lists!E$21)-YEAR($J26))*12+MONTH(Lists!E$21)-MONTH($J26))-(EDATE($J26,((YEAR(Lists!E$21)-YEAR($J26))*12+MONTH(Lists!E$21)-MONTH($J26)))&gt;Lists!E$21)+1)))-IF(Lists!E$22&lt;$J26,0,MIN($AO26,(((YEAR(Lists!E$22)-YEAR($J26))*12+MONTH(Lists!E$22)-MONTH($J26))-(EDATE($J26,((YEAR(Lists!E$22)-YEAR($J26))*12+MONTH(Lists!E$22)-MONTH($J26)))&gt;Lists!E$22)+1)))),IF($AP26="F",IF(N($K26)&lt;=0,0,MIN(MAX(0,$H26),N($K26)*IF(Lists!E$21&lt;$J26,0,(((YEAR(Lists!E$21)-YEAR($J26))*12+MONTH(Lists!E$21)-MONTH($J26))-(EDATE($J26,((YEAR(Lists!E$21)-YEAR($J26))*12+MONTH(Lists!E$21)-MONTH($J26)))&gt;Lists!E$21)+1)))-MIN(MAX(0,$H26),N($K26)*IF(Lists!E$22&lt;$J26,0,(((YEAR(Lists!E$22)-YEAR($J26))*12+MONTH(Lists!E$22)-MONTH($J26))-(EDATE($J26,((YEAR(Lists!E$22)-YEAR($J26))*12+MONTH(Lists!E$22)-MONTH($J26)))&gt;Lists!E$22)+1)))),N($C26)*IF($AE26-$AD26&lt;1,($AD26&gt;Lists!E$22)*($AD26&lt;=Lists!E$21),MAX(0,MIN(Lists!E$21,$AE26)-MAX(Lists!E$22,$AD26))/($AE26-$AD26))+N($D26)*IF($AG26-$AF26&lt;1,($AF26&gt;Lists!E$22)*($AF26&lt;=Lists!E$21),MAX(0,MIN(Lists!E$21,$AG26)-MAX(Lists!E$22,$AF26))/($AG26-$AF26))+N($E26)*IF($AI26-$AH26&lt;1,($AH26&gt;Lists!E$22)*($AH26&lt;=Lists!E$21),MAX(0,MIN(Lists!E$21,$AI26)-MAX(Lists!E$22,$AH26))/($AI26-$AH26))+N($F26)*IF($AK26-$AJ26&lt;1,($AJ26&gt;Lists!E$22)*($AJ26&lt;=Lists!E$21),MAX(0,MIN(Lists!E$21,$AK26)-MAX(Lists!E$22,$AJ26))/($AK26-$AJ26))+N($G26)*IF($AM26-$AL26&lt;1,($AL26&gt;Lists!E$22)*($AL26&lt;=Lists!E$21),MAX(0,MIN(Lists!E$21,$AM26)-MAX(Lists!E$22,$AL26))/($AM26-$AL26))))))))</f>
        <v>0</v>
      </c>
      <c r="P26" s="53" t="n">
        <f aca="false">IF($H26=0,0,IF($AP26="X",0,IF($AP26="S",$H26/$AO26*(MIN($AO26,MAX(0,INT((Lists!F$21-N($J26))/7)+1))-MIN($AO26,MAX(0,INT((Lists!F$22-N($J26))/7)+1))),IF($AP26="D",$H26*MAX(0,MIN(Lists!F$21,N($J26)+$AO26)-MAX(Lists!F$22,N($J26)))/$AO26,IF($AP26="M",$H26/$AO26*(IF(Lists!F$21&lt;$J26,0,MIN($AO26,(((YEAR(Lists!F$21)-YEAR($J26))*12+MONTH(Lists!F$21)-MONTH($J26))-(EDATE($J26,((YEAR(Lists!F$21)-YEAR($J26))*12+MONTH(Lists!F$21)-MONTH($J26)))&gt;Lists!F$21)+1)))-IF(Lists!F$22&lt;$J26,0,MIN($AO26,(((YEAR(Lists!F$22)-YEAR($J26))*12+MONTH(Lists!F$22)-MONTH($J26))-(EDATE($J26,((YEAR(Lists!F$22)-YEAR($J26))*12+MONTH(Lists!F$22)-MONTH($J26)))&gt;Lists!F$22)+1)))),IF($AP26="F",IF(N($K26)&lt;=0,0,MIN(MAX(0,$H26),N($K26)*IF(Lists!F$21&lt;$J26,0,(((YEAR(Lists!F$21)-YEAR($J26))*12+MONTH(Lists!F$21)-MONTH($J26))-(EDATE($J26,((YEAR(Lists!F$21)-YEAR($J26))*12+MONTH(Lists!F$21)-MONTH($J26)))&gt;Lists!F$21)+1)))-MIN(MAX(0,$H26),N($K26)*IF(Lists!F$22&lt;$J26,0,(((YEAR(Lists!F$22)-YEAR($J26))*12+MONTH(Lists!F$22)-MONTH($J26))-(EDATE($J26,((YEAR(Lists!F$22)-YEAR($J26))*12+MONTH(Lists!F$22)-MONTH($J26)))&gt;Lists!F$22)+1)))),N($C26)*IF($AE26-$AD26&lt;1,($AD26&gt;Lists!F$22)*($AD26&lt;=Lists!F$21),MAX(0,MIN(Lists!F$21,$AE26)-MAX(Lists!F$22,$AD26))/($AE26-$AD26))+N($D26)*IF($AG26-$AF26&lt;1,($AF26&gt;Lists!F$22)*($AF26&lt;=Lists!F$21),MAX(0,MIN(Lists!F$21,$AG26)-MAX(Lists!F$22,$AF26))/($AG26-$AF26))+N($E26)*IF($AI26-$AH26&lt;1,($AH26&gt;Lists!F$22)*($AH26&lt;=Lists!F$21),MAX(0,MIN(Lists!F$21,$AI26)-MAX(Lists!F$22,$AH26))/($AI26-$AH26))+N($F26)*IF($AK26-$AJ26&lt;1,($AJ26&gt;Lists!F$22)*($AJ26&lt;=Lists!F$21),MAX(0,MIN(Lists!F$21,$AK26)-MAX(Lists!F$22,$AJ26))/($AK26-$AJ26))+N($G26)*IF($AM26-$AL26&lt;1,($AL26&gt;Lists!F$22)*($AL26&lt;=Lists!F$21),MAX(0,MIN(Lists!F$21,$AM26)-MAX(Lists!F$22,$AL26))/($AM26-$AL26))))))))</f>
        <v>0</v>
      </c>
      <c r="Q26" s="53" t="n">
        <f aca="false">IF($H26=0,0,IF($AP26="X",0,IF($AP26="S",$H26/$AO26*(MIN($AO26,MAX(0,INT((Lists!G$21-N($J26))/7)+1))-MIN($AO26,MAX(0,INT((Lists!G$22-N($J26))/7)+1))),IF($AP26="D",$H26*MAX(0,MIN(Lists!G$21,N($J26)+$AO26)-MAX(Lists!G$22,N($J26)))/$AO26,IF($AP26="M",$H26/$AO26*(IF(Lists!G$21&lt;$J26,0,MIN($AO26,(((YEAR(Lists!G$21)-YEAR($J26))*12+MONTH(Lists!G$21)-MONTH($J26))-(EDATE($J26,((YEAR(Lists!G$21)-YEAR($J26))*12+MONTH(Lists!G$21)-MONTH($J26)))&gt;Lists!G$21)+1)))-IF(Lists!G$22&lt;$J26,0,MIN($AO26,(((YEAR(Lists!G$22)-YEAR($J26))*12+MONTH(Lists!G$22)-MONTH($J26))-(EDATE($J26,((YEAR(Lists!G$22)-YEAR($J26))*12+MONTH(Lists!G$22)-MONTH($J26)))&gt;Lists!G$22)+1)))),IF($AP26="F",IF(N($K26)&lt;=0,0,MIN(MAX(0,$H26),N($K26)*IF(Lists!G$21&lt;$J26,0,(((YEAR(Lists!G$21)-YEAR($J26))*12+MONTH(Lists!G$21)-MONTH($J26))-(EDATE($J26,((YEAR(Lists!G$21)-YEAR($J26))*12+MONTH(Lists!G$21)-MONTH($J26)))&gt;Lists!G$21)+1)))-MIN(MAX(0,$H26),N($K26)*IF(Lists!G$22&lt;$J26,0,(((YEAR(Lists!G$22)-YEAR($J26))*12+MONTH(Lists!G$22)-MONTH($J26))-(EDATE($J26,((YEAR(Lists!G$22)-YEAR($J26))*12+MONTH(Lists!G$22)-MONTH($J26)))&gt;Lists!G$22)+1)))),N($C26)*IF($AE26-$AD26&lt;1,($AD26&gt;Lists!G$22)*($AD26&lt;=Lists!G$21),MAX(0,MIN(Lists!G$21,$AE26)-MAX(Lists!G$22,$AD26))/($AE26-$AD26))+N($D26)*IF($AG26-$AF26&lt;1,($AF26&gt;Lists!G$22)*($AF26&lt;=Lists!G$21),MAX(0,MIN(Lists!G$21,$AG26)-MAX(Lists!G$22,$AF26))/($AG26-$AF26))+N($E26)*IF($AI26-$AH26&lt;1,($AH26&gt;Lists!G$22)*($AH26&lt;=Lists!G$21),MAX(0,MIN(Lists!G$21,$AI26)-MAX(Lists!G$22,$AH26))/($AI26-$AH26))+N($F26)*IF($AK26-$AJ26&lt;1,($AJ26&gt;Lists!G$22)*($AJ26&lt;=Lists!G$21),MAX(0,MIN(Lists!G$21,$AK26)-MAX(Lists!G$22,$AJ26))/($AK26-$AJ26))+N($G26)*IF($AM26-$AL26&lt;1,($AL26&gt;Lists!G$22)*($AL26&lt;=Lists!G$21),MAX(0,MIN(Lists!G$21,$AM26)-MAX(Lists!G$22,$AL26))/($AM26-$AL26))))))))</f>
        <v>0</v>
      </c>
      <c r="R26" s="53" t="n">
        <f aca="false">IF($H26=0,0,IF($AP26="X",0,IF($AP26="S",$H26/$AO26*(MIN($AO26,MAX(0,INT((Lists!H$21-N($J26))/7)+1))-MIN($AO26,MAX(0,INT((Lists!H$22-N($J26))/7)+1))),IF($AP26="D",$H26*MAX(0,MIN(Lists!H$21,N($J26)+$AO26)-MAX(Lists!H$22,N($J26)))/$AO26,IF($AP26="M",$H26/$AO26*(IF(Lists!H$21&lt;$J26,0,MIN($AO26,(((YEAR(Lists!H$21)-YEAR($J26))*12+MONTH(Lists!H$21)-MONTH($J26))-(EDATE($J26,((YEAR(Lists!H$21)-YEAR($J26))*12+MONTH(Lists!H$21)-MONTH($J26)))&gt;Lists!H$21)+1)))-IF(Lists!H$22&lt;$J26,0,MIN($AO26,(((YEAR(Lists!H$22)-YEAR($J26))*12+MONTH(Lists!H$22)-MONTH($J26))-(EDATE($J26,((YEAR(Lists!H$22)-YEAR($J26))*12+MONTH(Lists!H$22)-MONTH($J26)))&gt;Lists!H$22)+1)))),IF($AP26="F",IF(N($K26)&lt;=0,0,MIN(MAX(0,$H26),N($K26)*IF(Lists!H$21&lt;$J26,0,(((YEAR(Lists!H$21)-YEAR($J26))*12+MONTH(Lists!H$21)-MONTH($J26))-(EDATE($J26,((YEAR(Lists!H$21)-YEAR($J26))*12+MONTH(Lists!H$21)-MONTH($J26)))&gt;Lists!H$21)+1)))-MIN(MAX(0,$H26),N($K26)*IF(Lists!H$22&lt;$J26,0,(((YEAR(Lists!H$22)-YEAR($J26))*12+MONTH(Lists!H$22)-MONTH($J26))-(EDATE($J26,((YEAR(Lists!H$22)-YEAR($J26))*12+MONTH(Lists!H$22)-MONTH($J26)))&gt;Lists!H$22)+1)))),N($C26)*IF($AE26-$AD26&lt;1,($AD26&gt;Lists!H$22)*($AD26&lt;=Lists!H$21),MAX(0,MIN(Lists!H$21,$AE26)-MAX(Lists!H$22,$AD26))/($AE26-$AD26))+N($D26)*IF($AG26-$AF26&lt;1,($AF26&gt;Lists!H$22)*($AF26&lt;=Lists!H$21),MAX(0,MIN(Lists!H$21,$AG26)-MAX(Lists!H$22,$AF26))/($AG26-$AF26))+N($E26)*IF($AI26-$AH26&lt;1,($AH26&gt;Lists!H$22)*($AH26&lt;=Lists!H$21),MAX(0,MIN(Lists!H$21,$AI26)-MAX(Lists!H$22,$AH26))/($AI26-$AH26))+N($F26)*IF($AK26-$AJ26&lt;1,($AJ26&gt;Lists!H$22)*($AJ26&lt;=Lists!H$21),MAX(0,MIN(Lists!H$21,$AK26)-MAX(Lists!H$22,$AJ26))/($AK26-$AJ26))+N($G26)*IF($AM26-$AL26&lt;1,($AL26&gt;Lists!H$22)*($AL26&lt;=Lists!H$21),MAX(0,MIN(Lists!H$21,$AM26)-MAX(Lists!H$22,$AL26))/($AM26-$AL26))))))))</f>
        <v>0</v>
      </c>
      <c r="S26" s="53" t="n">
        <f aca="false">IF($H26=0,0,IF($AP26="X",0,IF($AP26="S",$H26/$AO26*(MIN($AO26,MAX(0,INT((Lists!I$21-N($J26))/7)+1))-MIN($AO26,MAX(0,INT((Lists!I$22-N($J26))/7)+1))),IF($AP26="D",$H26*MAX(0,MIN(Lists!I$21,N($J26)+$AO26)-MAX(Lists!I$22,N($J26)))/$AO26,IF($AP26="M",$H26/$AO26*(IF(Lists!I$21&lt;$J26,0,MIN($AO26,(((YEAR(Lists!I$21)-YEAR($J26))*12+MONTH(Lists!I$21)-MONTH($J26))-(EDATE($J26,((YEAR(Lists!I$21)-YEAR($J26))*12+MONTH(Lists!I$21)-MONTH($J26)))&gt;Lists!I$21)+1)))-IF(Lists!I$22&lt;$J26,0,MIN($AO26,(((YEAR(Lists!I$22)-YEAR($J26))*12+MONTH(Lists!I$22)-MONTH($J26))-(EDATE($J26,((YEAR(Lists!I$22)-YEAR($J26))*12+MONTH(Lists!I$22)-MONTH($J26)))&gt;Lists!I$22)+1)))),IF($AP26="F",IF(N($K26)&lt;=0,0,MIN(MAX(0,$H26),N($K26)*IF(Lists!I$21&lt;$J26,0,(((YEAR(Lists!I$21)-YEAR($J26))*12+MONTH(Lists!I$21)-MONTH($J26))-(EDATE($J26,((YEAR(Lists!I$21)-YEAR($J26))*12+MONTH(Lists!I$21)-MONTH($J26)))&gt;Lists!I$21)+1)))-MIN(MAX(0,$H26),N($K26)*IF(Lists!I$22&lt;$J26,0,(((YEAR(Lists!I$22)-YEAR($J26))*12+MONTH(Lists!I$22)-MONTH($J26))-(EDATE($J26,((YEAR(Lists!I$22)-YEAR($J26))*12+MONTH(Lists!I$22)-MONTH($J26)))&gt;Lists!I$22)+1)))),N($C26)*IF($AE26-$AD26&lt;1,($AD26&gt;Lists!I$22)*($AD26&lt;=Lists!I$21),MAX(0,MIN(Lists!I$21,$AE26)-MAX(Lists!I$22,$AD26))/($AE26-$AD26))+N($D26)*IF($AG26-$AF26&lt;1,($AF26&gt;Lists!I$22)*($AF26&lt;=Lists!I$21),MAX(0,MIN(Lists!I$21,$AG26)-MAX(Lists!I$22,$AF26))/($AG26-$AF26))+N($E26)*IF($AI26-$AH26&lt;1,($AH26&gt;Lists!I$22)*($AH26&lt;=Lists!I$21),MAX(0,MIN(Lists!I$21,$AI26)-MAX(Lists!I$22,$AH26))/($AI26-$AH26))+N($F26)*IF($AK26-$AJ26&lt;1,($AJ26&gt;Lists!I$22)*($AJ26&lt;=Lists!I$21),MAX(0,MIN(Lists!I$21,$AK26)-MAX(Lists!I$22,$AJ26))/($AK26-$AJ26))+N($G26)*IF($AM26-$AL26&lt;1,($AL26&gt;Lists!I$22)*($AL26&lt;=Lists!I$21),MAX(0,MIN(Lists!I$21,$AM26)-MAX(Lists!I$22,$AL26))/($AM26-$AL26))))))))</f>
        <v>0</v>
      </c>
      <c r="T26" s="53" t="n">
        <f aca="false">IF($H26=0,0,IF($AP26="X",0,IF($AP26="S",$H26/$AO26*(MIN($AO26,MAX(0,INT((Lists!J$21-N($J26))/7)+1))-MIN($AO26,MAX(0,INT((Lists!J$22-N($J26))/7)+1))),IF($AP26="D",$H26*MAX(0,MIN(Lists!J$21,N($J26)+$AO26)-MAX(Lists!J$22,N($J26)))/$AO26,IF($AP26="M",$H26/$AO26*(IF(Lists!J$21&lt;$J26,0,MIN($AO26,(((YEAR(Lists!J$21)-YEAR($J26))*12+MONTH(Lists!J$21)-MONTH($J26))-(EDATE($J26,((YEAR(Lists!J$21)-YEAR($J26))*12+MONTH(Lists!J$21)-MONTH($J26)))&gt;Lists!J$21)+1)))-IF(Lists!J$22&lt;$J26,0,MIN($AO26,(((YEAR(Lists!J$22)-YEAR($J26))*12+MONTH(Lists!J$22)-MONTH($J26))-(EDATE($J26,((YEAR(Lists!J$22)-YEAR($J26))*12+MONTH(Lists!J$22)-MONTH($J26)))&gt;Lists!J$22)+1)))),IF($AP26="F",IF(N($K26)&lt;=0,0,MIN(MAX(0,$H26),N($K26)*IF(Lists!J$21&lt;$J26,0,(((YEAR(Lists!J$21)-YEAR($J26))*12+MONTH(Lists!J$21)-MONTH($J26))-(EDATE($J26,((YEAR(Lists!J$21)-YEAR($J26))*12+MONTH(Lists!J$21)-MONTH($J26)))&gt;Lists!J$21)+1)))-MIN(MAX(0,$H26),N($K26)*IF(Lists!J$22&lt;$J26,0,(((YEAR(Lists!J$22)-YEAR($J26))*12+MONTH(Lists!J$22)-MONTH($J26))-(EDATE($J26,((YEAR(Lists!J$22)-YEAR($J26))*12+MONTH(Lists!J$22)-MONTH($J26)))&gt;Lists!J$22)+1)))),N($C26)*IF($AE26-$AD26&lt;1,($AD26&gt;Lists!J$22)*($AD26&lt;=Lists!J$21),MAX(0,MIN(Lists!J$21,$AE26)-MAX(Lists!J$22,$AD26))/($AE26-$AD26))+N($D26)*IF($AG26-$AF26&lt;1,($AF26&gt;Lists!J$22)*($AF26&lt;=Lists!J$21),MAX(0,MIN(Lists!J$21,$AG26)-MAX(Lists!J$22,$AF26))/($AG26-$AF26))+N($E26)*IF($AI26-$AH26&lt;1,($AH26&gt;Lists!J$22)*($AH26&lt;=Lists!J$21),MAX(0,MIN(Lists!J$21,$AI26)-MAX(Lists!J$22,$AH26))/($AI26-$AH26))+N($F26)*IF($AK26-$AJ26&lt;1,($AJ26&gt;Lists!J$22)*($AJ26&lt;=Lists!J$21),MAX(0,MIN(Lists!J$21,$AK26)-MAX(Lists!J$22,$AJ26))/($AK26-$AJ26))+N($G26)*IF($AM26-$AL26&lt;1,($AL26&gt;Lists!J$22)*($AL26&lt;=Lists!J$21),MAX(0,MIN(Lists!J$21,$AM26)-MAX(Lists!J$22,$AL26))/($AM26-$AL26))))))))</f>
        <v>0</v>
      </c>
      <c r="U26" s="53" t="n">
        <f aca="false">IF($H26=0,0,IF($AP26="X",0,IF($AP26="S",$H26/$AO26*(MIN($AO26,MAX(0,INT((Lists!K$21-N($J26))/7)+1))-MIN($AO26,MAX(0,INT((Lists!K$22-N($J26))/7)+1))),IF($AP26="D",$H26*MAX(0,MIN(Lists!K$21,N($J26)+$AO26)-MAX(Lists!K$22,N($J26)))/$AO26,IF($AP26="M",$H26/$AO26*(IF(Lists!K$21&lt;$J26,0,MIN($AO26,(((YEAR(Lists!K$21)-YEAR($J26))*12+MONTH(Lists!K$21)-MONTH($J26))-(EDATE($J26,((YEAR(Lists!K$21)-YEAR($J26))*12+MONTH(Lists!K$21)-MONTH($J26)))&gt;Lists!K$21)+1)))-IF(Lists!K$22&lt;$J26,0,MIN($AO26,(((YEAR(Lists!K$22)-YEAR($J26))*12+MONTH(Lists!K$22)-MONTH($J26))-(EDATE($J26,((YEAR(Lists!K$22)-YEAR($J26))*12+MONTH(Lists!K$22)-MONTH($J26)))&gt;Lists!K$22)+1)))),IF($AP26="F",IF(N($K26)&lt;=0,0,MIN(MAX(0,$H26),N($K26)*IF(Lists!K$21&lt;$J26,0,(((YEAR(Lists!K$21)-YEAR($J26))*12+MONTH(Lists!K$21)-MONTH($J26))-(EDATE($J26,((YEAR(Lists!K$21)-YEAR($J26))*12+MONTH(Lists!K$21)-MONTH($J26)))&gt;Lists!K$21)+1)))-MIN(MAX(0,$H26),N($K26)*IF(Lists!K$22&lt;$J26,0,(((YEAR(Lists!K$22)-YEAR($J26))*12+MONTH(Lists!K$22)-MONTH($J26))-(EDATE($J26,((YEAR(Lists!K$22)-YEAR($J26))*12+MONTH(Lists!K$22)-MONTH($J26)))&gt;Lists!K$22)+1)))),N($C26)*IF($AE26-$AD26&lt;1,($AD26&gt;Lists!K$22)*($AD26&lt;=Lists!K$21),MAX(0,MIN(Lists!K$21,$AE26)-MAX(Lists!K$22,$AD26))/($AE26-$AD26))+N($D26)*IF($AG26-$AF26&lt;1,($AF26&gt;Lists!K$22)*($AF26&lt;=Lists!K$21),MAX(0,MIN(Lists!K$21,$AG26)-MAX(Lists!K$22,$AF26))/($AG26-$AF26))+N($E26)*IF($AI26-$AH26&lt;1,($AH26&gt;Lists!K$22)*($AH26&lt;=Lists!K$21),MAX(0,MIN(Lists!K$21,$AI26)-MAX(Lists!K$22,$AH26))/($AI26-$AH26))+N($F26)*IF($AK26-$AJ26&lt;1,($AJ26&gt;Lists!K$22)*($AJ26&lt;=Lists!K$21),MAX(0,MIN(Lists!K$21,$AK26)-MAX(Lists!K$22,$AJ26))/($AK26-$AJ26))+N($G26)*IF($AM26-$AL26&lt;1,($AL26&gt;Lists!K$22)*($AL26&lt;=Lists!K$21),MAX(0,MIN(Lists!K$21,$AM26)-MAX(Lists!K$22,$AL26))/($AM26-$AL26))))))))</f>
        <v>0</v>
      </c>
      <c r="V26" s="53" t="n">
        <f aca="false">IF($H26=0,0,IF($AP26="X",0,IF($AP26="S",$H26/$AO26*(MIN($AO26,MAX(0,INT((Lists!L$21-N($J26))/7)+1))-MIN($AO26,MAX(0,INT((Lists!L$22-N($J26))/7)+1))),IF($AP26="D",$H26*MAX(0,MIN(Lists!L$21,N($J26)+$AO26)-MAX(Lists!L$22,N($J26)))/$AO26,IF($AP26="M",$H26/$AO26*(IF(Lists!L$21&lt;$J26,0,MIN($AO26,(((YEAR(Lists!L$21)-YEAR($J26))*12+MONTH(Lists!L$21)-MONTH($J26))-(EDATE($J26,((YEAR(Lists!L$21)-YEAR($J26))*12+MONTH(Lists!L$21)-MONTH($J26)))&gt;Lists!L$21)+1)))-IF(Lists!L$22&lt;$J26,0,MIN($AO26,(((YEAR(Lists!L$22)-YEAR($J26))*12+MONTH(Lists!L$22)-MONTH($J26))-(EDATE($J26,((YEAR(Lists!L$22)-YEAR($J26))*12+MONTH(Lists!L$22)-MONTH($J26)))&gt;Lists!L$22)+1)))),IF($AP26="F",IF(N($K26)&lt;=0,0,MIN(MAX(0,$H26),N($K26)*IF(Lists!L$21&lt;$J26,0,(((YEAR(Lists!L$21)-YEAR($J26))*12+MONTH(Lists!L$21)-MONTH($J26))-(EDATE($J26,((YEAR(Lists!L$21)-YEAR($J26))*12+MONTH(Lists!L$21)-MONTH($J26)))&gt;Lists!L$21)+1)))-MIN(MAX(0,$H26),N($K26)*IF(Lists!L$22&lt;$J26,0,(((YEAR(Lists!L$22)-YEAR($J26))*12+MONTH(Lists!L$22)-MONTH($J26))-(EDATE($J26,((YEAR(Lists!L$22)-YEAR($J26))*12+MONTH(Lists!L$22)-MONTH($J26)))&gt;Lists!L$22)+1)))),N($C26)*IF($AE26-$AD26&lt;1,($AD26&gt;Lists!L$22)*($AD26&lt;=Lists!L$21),MAX(0,MIN(Lists!L$21,$AE26)-MAX(Lists!L$22,$AD26))/($AE26-$AD26))+N($D26)*IF($AG26-$AF26&lt;1,($AF26&gt;Lists!L$22)*($AF26&lt;=Lists!L$21),MAX(0,MIN(Lists!L$21,$AG26)-MAX(Lists!L$22,$AF26))/($AG26-$AF26))+N($E26)*IF($AI26-$AH26&lt;1,($AH26&gt;Lists!L$22)*($AH26&lt;=Lists!L$21),MAX(0,MIN(Lists!L$21,$AI26)-MAX(Lists!L$22,$AH26))/($AI26-$AH26))+N($F26)*IF($AK26-$AJ26&lt;1,($AJ26&gt;Lists!L$22)*($AJ26&lt;=Lists!L$21),MAX(0,MIN(Lists!L$21,$AK26)-MAX(Lists!L$22,$AJ26))/($AK26-$AJ26))+N($G26)*IF($AM26-$AL26&lt;1,($AL26&gt;Lists!L$22)*($AL26&lt;=Lists!L$21),MAX(0,MIN(Lists!L$21,$AM26)-MAX(Lists!L$22,$AL26))/($AM26-$AL26))))))))</f>
        <v>0</v>
      </c>
      <c r="W26" s="53" t="n">
        <f aca="false">IF($H26=0,0,IF($AP26="X",0,IF($AP26="S",$H26/$AO26*(MIN($AO26,MAX(0,INT((Lists!M$21-N($J26))/7)+1))-MIN($AO26,MAX(0,INT((Lists!M$22-N($J26))/7)+1))),IF($AP26="D",$H26*MAX(0,MIN(Lists!M$21,N($J26)+$AO26)-MAX(Lists!M$22,N($J26)))/$AO26,IF($AP26="M",$H26/$AO26*(IF(Lists!M$21&lt;$J26,0,MIN($AO26,(((YEAR(Lists!M$21)-YEAR($J26))*12+MONTH(Lists!M$21)-MONTH($J26))-(EDATE($J26,((YEAR(Lists!M$21)-YEAR($J26))*12+MONTH(Lists!M$21)-MONTH($J26)))&gt;Lists!M$21)+1)))-IF(Lists!M$22&lt;$J26,0,MIN($AO26,(((YEAR(Lists!M$22)-YEAR($J26))*12+MONTH(Lists!M$22)-MONTH($J26))-(EDATE($J26,((YEAR(Lists!M$22)-YEAR($J26))*12+MONTH(Lists!M$22)-MONTH($J26)))&gt;Lists!M$22)+1)))),IF($AP26="F",IF(N($K26)&lt;=0,0,MIN(MAX(0,$H26),N($K26)*IF(Lists!M$21&lt;$J26,0,(((YEAR(Lists!M$21)-YEAR($J26))*12+MONTH(Lists!M$21)-MONTH($J26))-(EDATE($J26,((YEAR(Lists!M$21)-YEAR($J26))*12+MONTH(Lists!M$21)-MONTH($J26)))&gt;Lists!M$21)+1)))-MIN(MAX(0,$H26),N($K26)*IF(Lists!M$22&lt;$J26,0,(((YEAR(Lists!M$22)-YEAR($J26))*12+MONTH(Lists!M$22)-MONTH($J26))-(EDATE($J26,((YEAR(Lists!M$22)-YEAR($J26))*12+MONTH(Lists!M$22)-MONTH($J26)))&gt;Lists!M$22)+1)))),N($C26)*IF($AE26-$AD26&lt;1,($AD26&gt;Lists!M$22)*($AD26&lt;=Lists!M$21),MAX(0,MIN(Lists!M$21,$AE26)-MAX(Lists!M$22,$AD26))/($AE26-$AD26))+N($D26)*IF($AG26-$AF26&lt;1,($AF26&gt;Lists!M$22)*($AF26&lt;=Lists!M$21),MAX(0,MIN(Lists!M$21,$AG26)-MAX(Lists!M$22,$AF26))/($AG26-$AF26))+N($E26)*IF($AI26-$AH26&lt;1,($AH26&gt;Lists!M$22)*($AH26&lt;=Lists!M$21),MAX(0,MIN(Lists!M$21,$AI26)-MAX(Lists!M$22,$AH26))/($AI26-$AH26))+N($F26)*IF($AK26-$AJ26&lt;1,($AJ26&gt;Lists!M$22)*($AJ26&lt;=Lists!M$21),MAX(0,MIN(Lists!M$21,$AK26)-MAX(Lists!M$22,$AJ26))/($AK26-$AJ26))+N($G26)*IF($AM26-$AL26&lt;1,($AL26&gt;Lists!M$22)*($AL26&lt;=Lists!M$21),MAX(0,MIN(Lists!M$21,$AM26)-MAX(Lists!M$22,$AL26))/($AM26-$AL26))))))))</f>
        <v>0</v>
      </c>
      <c r="X26" s="53" t="n">
        <f aca="false">IF($H26=0,0,IF($AP26="X",0,IF($AP26="S",$H26/$AO26*(MIN($AO26,MAX(0,INT((Lists!N$21-N($J26))/7)+1))-MIN($AO26,MAX(0,INT((Lists!N$22-N($J26))/7)+1))),IF($AP26="D",$H26*MAX(0,MIN(Lists!N$21,N($J26)+$AO26)-MAX(Lists!N$22,N($J26)))/$AO26,IF($AP26="M",$H26/$AO26*(IF(Lists!N$21&lt;$J26,0,MIN($AO26,(((YEAR(Lists!N$21)-YEAR($J26))*12+MONTH(Lists!N$21)-MONTH($J26))-(EDATE($J26,((YEAR(Lists!N$21)-YEAR($J26))*12+MONTH(Lists!N$21)-MONTH($J26)))&gt;Lists!N$21)+1)))-IF(Lists!N$22&lt;$J26,0,MIN($AO26,(((YEAR(Lists!N$22)-YEAR($J26))*12+MONTH(Lists!N$22)-MONTH($J26))-(EDATE($J26,((YEAR(Lists!N$22)-YEAR($J26))*12+MONTH(Lists!N$22)-MONTH($J26)))&gt;Lists!N$22)+1)))),IF($AP26="F",IF(N($K26)&lt;=0,0,MIN(MAX(0,$H26),N($K26)*IF(Lists!N$21&lt;$J26,0,(((YEAR(Lists!N$21)-YEAR($J26))*12+MONTH(Lists!N$21)-MONTH($J26))-(EDATE($J26,((YEAR(Lists!N$21)-YEAR($J26))*12+MONTH(Lists!N$21)-MONTH($J26)))&gt;Lists!N$21)+1)))-MIN(MAX(0,$H26),N($K26)*IF(Lists!N$22&lt;$J26,0,(((YEAR(Lists!N$22)-YEAR($J26))*12+MONTH(Lists!N$22)-MONTH($J26))-(EDATE($J26,((YEAR(Lists!N$22)-YEAR($J26))*12+MONTH(Lists!N$22)-MONTH($J26)))&gt;Lists!N$22)+1)))),N($C26)*IF($AE26-$AD26&lt;1,($AD26&gt;Lists!N$22)*($AD26&lt;=Lists!N$21),MAX(0,MIN(Lists!N$21,$AE26)-MAX(Lists!N$22,$AD26))/($AE26-$AD26))+N($D26)*IF($AG26-$AF26&lt;1,($AF26&gt;Lists!N$22)*($AF26&lt;=Lists!N$21),MAX(0,MIN(Lists!N$21,$AG26)-MAX(Lists!N$22,$AF26))/($AG26-$AF26))+N($E26)*IF($AI26-$AH26&lt;1,($AH26&gt;Lists!N$22)*($AH26&lt;=Lists!N$21),MAX(0,MIN(Lists!N$21,$AI26)-MAX(Lists!N$22,$AH26))/($AI26-$AH26))+N($F26)*IF($AK26-$AJ26&lt;1,($AJ26&gt;Lists!N$22)*($AJ26&lt;=Lists!N$21),MAX(0,MIN(Lists!N$21,$AK26)-MAX(Lists!N$22,$AJ26))/($AK26-$AJ26))+N($G26)*IF($AM26-$AL26&lt;1,($AL26&gt;Lists!N$22)*($AL26&lt;=Lists!N$21),MAX(0,MIN(Lists!N$21,$AM26)-MAX(Lists!N$22,$AL26))/($AM26-$AL26))))))))</f>
        <v>0</v>
      </c>
      <c r="Y26" s="53" t="n">
        <f aca="false">IF($H26=0,0,IF($AP26="X",0,IF($AP26="S",$H26/$AO26*(MIN($AO26,MAX(0,INT((Lists!O$21-N($J26))/7)+1))-MIN($AO26,MAX(0,INT((Lists!O$22-N($J26))/7)+1))),IF($AP26="D",$H26*MAX(0,MIN(Lists!O$21,N($J26)+$AO26)-MAX(Lists!O$22,N($J26)))/$AO26,IF($AP26="M",$H26/$AO26*(IF(Lists!O$21&lt;$J26,0,MIN($AO26,(((YEAR(Lists!O$21)-YEAR($J26))*12+MONTH(Lists!O$21)-MONTH($J26))-(EDATE($J26,((YEAR(Lists!O$21)-YEAR($J26))*12+MONTH(Lists!O$21)-MONTH($J26)))&gt;Lists!O$21)+1)))-IF(Lists!O$22&lt;$J26,0,MIN($AO26,(((YEAR(Lists!O$22)-YEAR($J26))*12+MONTH(Lists!O$22)-MONTH($J26))-(EDATE($J26,((YEAR(Lists!O$22)-YEAR($J26))*12+MONTH(Lists!O$22)-MONTH($J26)))&gt;Lists!O$22)+1)))),IF($AP26="F",IF(N($K26)&lt;=0,0,MIN(MAX(0,$H26),N($K26)*IF(Lists!O$21&lt;$J26,0,(((YEAR(Lists!O$21)-YEAR($J26))*12+MONTH(Lists!O$21)-MONTH($J26))-(EDATE($J26,((YEAR(Lists!O$21)-YEAR($J26))*12+MONTH(Lists!O$21)-MONTH($J26)))&gt;Lists!O$21)+1)))-MIN(MAX(0,$H26),N($K26)*IF(Lists!O$22&lt;$J26,0,(((YEAR(Lists!O$22)-YEAR($J26))*12+MONTH(Lists!O$22)-MONTH($J26))-(EDATE($J26,((YEAR(Lists!O$22)-YEAR($J26))*12+MONTH(Lists!O$22)-MONTH($J26)))&gt;Lists!O$22)+1)))),N($C26)*IF($AE26-$AD26&lt;1,($AD26&gt;Lists!O$22)*($AD26&lt;=Lists!O$21),MAX(0,MIN(Lists!O$21,$AE26)-MAX(Lists!O$22,$AD26))/($AE26-$AD26))+N($D26)*IF($AG26-$AF26&lt;1,($AF26&gt;Lists!O$22)*($AF26&lt;=Lists!O$21),MAX(0,MIN(Lists!O$21,$AG26)-MAX(Lists!O$22,$AF26))/($AG26-$AF26))+N($E26)*IF($AI26-$AH26&lt;1,($AH26&gt;Lists!O$22)*($AH26&lt;=Lists!O$21),MAX(0,MIN(Lists!O$21,$AI26)-MAX(Lists!O$22,$AH26))/($AI26-$AH26))+N($F26)*IF($AK26-$AJ26&lt;1,($AJ26&gt;Lists!O$22)*($AJ26&lt;=Lists!O$21),MAX(0,MIN(Lists!O$21,$AK26)-MAX(Lists!O$22,$AJ26))/($AK26-$AJ26))+N($G26)*IF($AM26-$AL26&lt;1,($AL26&gt;Lists!O$22)*($AL26&lt;=Lists!O$21),MAX(0,MIN(Lists!O$21,$AM26)-MAX(Lists!O$22,$AL26))/($AM26-$AL26))))))))</f>
        <v>0</v>
      </c>
      <c r="Z26" s="46" t="n">
        <f aca="false">SUM(M26:Y26)</f>
        <v>0</v>
      </c>
      <c r="AA26" s="92" t="n">
        <f aca="false">H26-Z26</f>
        <v>0</v>
      </c>
      <c r="AB26" s="55"/>
      <c r="AC26" s="2"/>
      <c r="AD26" s="93" t="n">
        <f aca="false">Setup!$D$10+MAX(0,$AN26-30)</f>
        <v>46345</v>
      </c>
      <c r="AE26" s="93" t="n">
        <f aca="false">Setup!$D$10+IF($AN26-30&lt;0,MAX(Setup!$D$22,$AN26-0),$AN26-0)</f>
        <v>46375</v>
      </c>
      <c r="AF26" s="93" t="n">
        <f aca="false">Setup!$D$10+MAX(0,$AN26-60)</f>
        <v>46335</v>
      </c>
      <c r="AG26" s="93" t="n">
        <f aca="false">Setup!$D$10+IF($AN26-60&lt;0,MAX(Setup!$D$22,$AN26-31),$AN26-31)</f>
        <v>46363</v>
      </c>
      <c r="AH26" s="93" t="n">
        <f aca="false">Setup!$D$10+MAX(0,$AN26-90)</f>
        <v>46335</v>
      </c>
      <c r="AI26" s="93" t="n">
        <f aca="false">Setup!$D$10+IF($AN26-90&lt;0,MAX(Setup!$D$22,$AN26-61),$AN26-61)</f>
        <v>46363</v>
      </c>
      <c r="AJ26" s="93" t="n">
        <f aca="false">Setup!$D$10+MAX(0,$AN26-120)</f>
        <v>46335</v>
      </c>
      <c r="AK26" s="93" t="n">
        <f aca="false">Setup!$D$10+IF($AN26-120&lt;0,MAX(Setup!$D$22,$AN26-91),$AN26-91)</f>
        <v>46363</v>
      </c>
      <c r="AL26" s="93" t="n">
        <f aca="false">Setup!$D$10</f>
        <v>46335</v>
      </c>
      <c r="AM26" s="93" t="n">
        <f aca="false">IF(AL26=2958465,AL26,Setup!$D$10+Setup!$D$22)</f>
        <v>46363</v>
      </c>
      <c r="AN26" s="94" t="n">
        <f aca="false">IF(N(L26)=0,Setup!$D$21,L26)</f>
        <v>40</v>
      </c>
      <c r="AO26" s="94" t="n">
        <f aca="false">MAX(1,ROUND(N(K26),0))</f>
        <v>1</v>
      </c>
      <c r="AP26" s="95" t="str">
        <f aca="false">IF(I26="On hold","X",IF(N(J26)=0,"A",IF(I26="Specific date","S",IF(I26="Spread over days","D",IF(I26="Monthly on set day","M",IF(I26="Monthly fixed amount","F","A"))))))</f>
        <v>A</v>
      </c>
    </row>
    <row r="27" customFormat="false" ht="15" hidden="false" customHeight="false" outlineLevel="0" collapsed="false">
      <c r="A27" s="87" t="n">
        <v>19</v>
      </c>
      <c r="B27" s="55"/>
      <c r="C27" s="88"/>
      <c r="D27" s="88"/>
      <c r="E27" s="88"/>
      <c r="F27" s="88"/>
      <c r="G27" s="88"/>
      <c r="H27" s="89" t="n">
        <f aca="false">SUM(C27:G27)</f>
        <v>0</v>
      </c>
      <c r="I27" s="58"/>
      <c r="J27" s="90"/>
      <c r="K27" s="91"/>
      <c r="L27" s="80"/>
      <c r="M27" s="53" t="n">
        <f aca="false">IF($H27=0,0,IF($AP27="X",0,IF($AP27="S",$H27/$AO27*(MIN($AO27,MAX(0,INT((Lists!C$21-N($J27))/7)+1))-MIN($AO27,MAX(0,INT((Lists!C$22-N($J27))/7)+1))),IF($AP27="D",$H27*MAX(0,MIN(Lists!C$21,N($J27)+$AO27)-MAX(Lists!C$22,N($J27)))/$AO27,IF($AP27="M",$H27/$AO27*(IF(Lists!C$21&lt;$J27,0,MIN($AO27,(((YEAR(Lists!C$21)-YEAR($J27))*12+MONTH(Lists!C$21)-MONTH($J27))-(EDATE($J27,((YEAR(Lists!C$21)-YEAR($J27))*12+MONTH(Lists!C$21)-MONTH($J27)))&gt;Lists!C$21)+1)))-IF(Lists!C$22&lt;$J27,0,MIN($AO27,(((YEAR(Lists!C$22)-YEAR($J27))*12+MONTH(Lists!C$22)-MONTH($J27))-(EDATE($J27,((YEAR(Lists!C$22)-YEAR($J27))*12+MONTH(Lists!C$22)-MONTH($J27)))&gt;Lists!C$22)+1)))),IF($AP27="F",IF(N($K27)&lt;=0,0,MIN(MAX(0,$H27),N($K27)*IF(Lists!C$21&lt;$J27,0,(((YEAR(Lists!C$21)-YEAR($J27))*12+MONTH(Lists!C$21)-MONTH($J27))-(EDATE($J27,((YEAR(Lists!C$21)-YEAR($J27))*12+MONTH(Lists!C$21)-MONTH($J27)))&gt;Lists!C$21)+1)))-MIN(MAX(0,$H27),N($K27)*IF(Lists!C$22&lt;$J27,0,(((YEAR(Lists!C$22)-YEAR($J27))*12+MONTH(Lists!C$22)-MONTH($J27))-(EDATE($J27,((YEAR(Lists!C$22)-YEAR($J27))*12+MONTH(Lists!C$22)-MONTH($J27)))&gt;Lists!C$22)+1)))),N($C27)*IF($AE27-$AD27&lt;1,($AD27&gt;Lists!C$22)*($AD27&lt;=Lists!C$21),MAX(0,MIN(Lists!C$21,$AE27)-MAX(Lists!C$22,$AD27))/($AE27-$AD27))+N($D27)*IF($AG27-$AF27&lt;1,($AF27&gt;Lists!C$22)*($AF27&lt;=Lists!C$21),MAX(0,MIN(Lists!C$21,$AG27)-MAX(Lists!C$22,$AF27))/($AG27-$AF27))+N($E27)*IF($AI27-$AH27&lt;1,($AH27&gt;Lists!C$22)*($AH27&lt;=Lists!C$21),MAX(0,MIN(Lists!C$21,$AI27)-MAX(Lists!C$22,$AH27))/($AI27-$AH27))+N($F27)*IF($AK27-$AJ27&lt;1,($AJ27&gt;Lists!C$22)*($AJ27&lt;=Lists!C$21),MAX(0,MIN(Lists!C$21,$AK27)-MAX(Lists!C$22,$AJ27))/($AK27-$AJ27))+N($G27)*IF($AM27-$AL27&lt;1,($AL27&gt;Lists!C$22)*($AL27&lt;=Lists!C$21),MAX(0,MIN(Lists!C$21,$AM27)-MAX(Lists!C$22,$AL27))/($AM27-$AL27))))))))</f>
        <v>0</v>
      </c>
      <c r="N27" s="53" t="n">
        <f aca="false">IF($H27=0,0,IF($AP27="X",0,IF($AP27="S",$H27/$AO27*(MIN($AO27,MAX(0,INT((Lists!D$21-N($J27))/7)+1))-MIN($AO27,MAX(0,INT((Lists!D$22-N($J27))/7)+1))),IF($AP27="D",$H27*MAX(0,MIN(Lists!D$21,N($J27)+$AO27)-MAX(Lists!D$22,N($J27)))/$AO27,IF($AP27="M",$H27/$AO27*(IF(Lists!D$21&lt;$J27,0,MIN($AO27,(((YEAR(Lists!D$21)-YEAR($J27))*12+MONTH(Lists!D$21)-MONTH($J27))-(EDATE($J27,((YEAR(Lists!D$21)-YEAR($J27))*12+MONTH(Lists!D$21)-MONTH($J27)))&gt;Lists!D$21)+1)))-IF(Lists!D$22&lt;$J27,0,MIN($AO27,(((YEAR(Lists!D$22)-YEAR($J27))*12+MONTH(Lists!D$22)-MONTH($J27))-(EDATE($J27,((YEAR(Lists!D$22)-YEAR($J27))*12+MONTH(Lists!D$22)-MONTH($J27)))&gt;Lists!D$22)+1)))),IF($AP27="F",IF(N($K27)&lt;=0,0,MIN(MAX(0,$H27),N($K27)*IF(Lists!D$21&lt;$J27,0,(((YEAR(Lists!D$21)-YEAR($J27))*12+MONTH(Lists!D$21)-MONTH($J27))-(EDATE($J27,((YEAR(Lists!D$21)-YEAR($J27))*12+MONTH(Lists!D$21)-MONTH($J27)))&gt;Lists!D$21)+1)))-MIN(MAX(0,$H27),N($K27)*IF(Lists!D$22&lt;$J27,0,(((YEAR(Lists!D$22)-YEAR($J27))*12+MONTH(Lists!D$22)-MONTH($J27))-(EDATE($J27,((YEAR(Lists!D$22)-YEAR($J27))*12+MONTH(Lists!D$22)-MONTH($J27)))&gt;Lists!D$22)+1)))),N($C27)*IF($AE27-$AD27&lt;1,($AD27&gt;Lists!D$22)*($AD27&lt;=Lists!D$21),MAX(0,MIN(Lists!D$21,$AE27)-MAX(Lists!D$22,$AD27))/($AE27-$AD27))+N($D27)*IF($AG27-$AF27&lt;1,($AF27&gt;Lists!D$22)*($AF27&lt;=Lists!D$21),MAX(0,MIN(Lists!D$21,$AG27)-MAX(Lists!D$22,$AF27))/($AG27-$AF27))+N($E27)*IF($AI27-$AH27&lt;1,($AH27&gt;Lists!D$22)*($AH27&lt;=Lists!D$21),MAX(0,MIN(Lists!D$21,$AI27)-MAX(Lists!D$22,$AH27))/($AI27-$AH27))+N($F27)*IF($AK27-$AJ27&lt;1,($AJ27&gt;Lists!D$22)*($AJ27&lt;=Lists!D$21),MAX(0,MIN(Lists!D$21,$AK27)-MAX(Lists!D$22,$AJ27))/($AK27-$AJ27))+N($G27)*IF($AM27-$AL27&lt;1,($AL27&gt;Lists!D$22)*($AL27&lt;=Lists!D$21),MAX(0,MIN(Lists!D$21,$AM27)-MAX(Lists!D$22,$AL27))/($AM27-$AL27))))))))</f>
        <v>0</v>
      </c>
      <c r="O27" s="53" t="n">
        <f aca="false">IF($H27=0,0,IF($AP27="X",0,IF($AP27="S",$H27/$AO27*(MIN($AO27,MAX(0,INT((Lists!E$21-N($J27))/7)+1))-MIN($AO27,MAX(0,INT((Lists!E$22-N($J27))/7)+1))),IF($AP27="D",$H27*MAX(0,MIN(Lists!E$21,N($J27)+$AO27)-MAX(Lists!E$22,N($J27)))/$AO27,IF($AP27="M",$H27/$AO27*(IF(Lists!E$21&lt;$J27,0,MIN($AO27,(((YEAR(Lists!E$21)-YEAR($J27))*12+MONTH(Lists!E$21)-MONTH($J27))-(EDATE($J27,((YEAR(Lists!E$21)-YEAR($J27))*12+MONTH(Lists!E$21)-MONTH($J27)))&gt;Lists!E$21)+1)))-IF(Lists!E$22&lt;$J27,0,MIN($AO27,(((YEAR(Lists!E$22)-YEAR($J27))*12+MONTH(Lists!E$22)-MONTH($J27))-(EDATE($J27,((YEAR(Lists!E$22)-YEAR($J27))*12+MONTH(Lists!E$22)-MONTH($J27)))&gt;Lists!E$22)+1)))),IF($AP27="F",IF(N($K27)&lt;=0,0,MIN(MAX(0,$H27),N($K27)*IF(Lists!E$21&lt;$J27,0,(((YEAR(Lists!E$21)-YEAR($J27))*12+MONTH(Lists!E$21)-MONTH($J27))-(EDATE($J27,((YEAR(Lists!E$21)-YEAR($J27))*12+MONTH(Lists!E$21)-MONTH($J27)))&gt;Lists!E$21)+1)))-MIN(MAX(0,$H27),N($K27)*IF(Lists!E$22&lt;$J27,0,(((YEAR(Lists!E$22)-YEAR($J27))*12+MONTH(Lists!E$22)-MONTH($J27))-(EDATE($J27,((YEAR(Lists!E$22)-YEAR($J27))*12+MONTH(Lists!E$22)-MONTH($J27)))&gt;Lists!E$22)+1)))),N($C27)*IF($AE27-$AD27&lt;1,($AD27&gt;Lists!E$22)*($AD27&lt;=Lists!E$21),MAX(0,MIN(Lists!E$21,$AE27)-MAX(Lists!E$22,$AD27))/($AE27-$AD27))+N($D27)*IF($AG27-$AF27&lt;1,($AF27&gt;Lists!E$22)*($AF27&lt;=Lists!E$21),MAX(0,MIN(Lists!E$21,$AG27)-MAX(Lists!E$22,$AF27))/($AG27-$AF27))+N($E27)*IF($AI27-$AH27&lt;1,($AH27&gt;Lists!E$22)*($AH27&lt;=Lists!E$21),MAX(0,MIN(Lists!E$21,$AI27)-MAX(Lists!E$22,$AH27))/($AI27-$AH27))+N($F27)*IF($AK27-$AJ27&lt;1,($AJ27&gt;Lists!E$22)*($AJ27&lt;=Lists!E$21),MAX(0,MIN(Lists!E$21,$AK27)-MAX(Lists!E$22,$AJ27))/($AK27-$AJ27))+N($G27)*IF($AM27-$AL27&lt;1,($AL27&gt;Lists!E$22)*($AL27&lt;=Lists!E$21),MAX(0,MIN(Lists!E$21,$AM27)-MAX(Lists!E$22,$AL27))/($AM27-$AL27))))))))</f>
        <v>0</v>
      </c>
      <c r="P27" s="53" t="n">
        <f aca="false">IF($H27=0,0,IF($AP27="X",0,IF($AP27="S",$H27/$AO27*(MIN($AO27,MAX(0,INT((Lists!F$21-N($J27))/7)+1))-MIN($AO27,MAX(0,INT((Lists!F$22-N($J27))/7)+1))),IF($AP27="D",$H27*MAX(0,MIN(Lists!F$21,N($J27)+$AO27)-MAX(Lists!F$22,N($J27)))/$AO27,IF($AP27="M",$H27/$AO27*(IF(Lists!F$21&lt;$J27,0,MIN($AO27,(((YEAR(Lists!F$21)-YEAR($J27))*12+MONTH(Lists!F$21)-MONTH($J27))-(EDATE($J27,((YEAR(Lists!F$21)-YEAR($J27))*12+MONTH(Lists!F$21)-MONTH($J27)))&gt;Lists!F$21)+1)))-IF(Lists!F$22&lt;$J27,0,MIN($AO27,(((YEAR(Lists!F$22)-YEAR($J27))*12+MONTH(Lists!F$22)-MONTH($J27))-(EDATE($J27,((YEAR(Lists!F$22)-YEAR($J27))*12+MONTH(Lists!F$22)-MONTH($J27)))&gt;Lists!F$22)+1)))),IF($AP27="F",IF(N($K27)&lt;=0,0,MIN(MAX(0,$H27),N($K27)*IF(Lists!F$21&lt;$J27,0,(((YEAR(Lists!F$21)-YEAR($J27))*12+MONTH(Lists!F$21)-MONTH($J27))-(EDATE($J27,((YEAR(Lists!F$21)-YEAR($J27))*12+MONTH(Lists!F$21)-MONTH($J27)))&gt;Lists!F$21)+1)))-MIN(MAX(0,$H27),N($K27)*IF(Lists!F$22&lt;$J27,0,(((YEAR(Lists!F$22)-YEAR($J27))*12+MONTH(Lists!F$22)-MONTH($J27))-(EDATE($J27,((YEAR(Lists!F$22)-YEAR($J27))*12+MONTH(Lists!F$22)-MONTH($J27)))&gt;Lists!F$22)+1)))),N($C27)*IF($AE27-$AD27&lt;1,($AD27&gt;Lists!F$22)*($AD27&lt;=Lists!F$21),MAX(0,MIN(Lists!F$21,$AE27)-MAX(Lists!F$22,$AD27))/($AE27-$AD27))+N($D27)*IF($AG27-$AF27&lt;1,($AF27&gt;Lists!F$22)*($AF27&lt;=Lists!F$21),MAX(0,MIN(Lists!F$21,$AG27)-MAX(Lists!F$22,$AF27))/($AG27-$AF27))+N($E27)*IF($AI27-$AH27&lt;1,($AH27&gt;Lists!F$22)*($AH27&lt;=Lists!F$21),MAX(0,MIN(Lists!F$21,$AI27)-MAX(Lists!F$22,$AH27))/($AI27-$AH27))+N($F27)*IF($AK27-$AJ27&lt;1,($AJ27&gt;Lists!F$22)*($AJ27&lt;=Lists!F$21),MAX(0,MIN(Lists!F$21,$AK27)-MAX(Lists!F$22,$AJ27))/($AK27-$AJ27))+N($G27)*IF($AM27-$AL27&lt;1,($AL27&gt;Lists!F$22)*($AL27&lt;=Lists!F$21),MAX(0,MIN(Lists!F$21,$AM27)-MAX(Lists!F$22,$AL27))/($AM27-$AL27))))))))</f>
        <v>0</v>
      </c>
      <c r="Q27" s="53" t="n">
        <f aca="false">IF($H27=0,0,IF($AP27="X",0,IF($AP27="S",$H27/$AO27*(MIN($AO27,MAX(0,INT((Lists!G$21-N($J27))/7)+1))-MIN($AO27,MAX(0,INT((Lists!G$22-N($J27))/7)+1))),IF($AP27="D",$H27*MAX(0,MIN(Lists!G$21,N($J27)+$AO27)-MAX(Lists!G$22,N($J27)))/$AO27,IF($AP27="M",$H27/$AO27*(IF(Lists!G$21&lt;$J27,0,MIN($AO27,(((YEAR(Lists!G$21)-YEAR($J27))*12+MONTH(Lists!G$21)-MONTH($J27))-(EDATE($J27,((YEAR(Lists!G$21)-YEAR($J27))*12+MONTH(Lists!G$21)-MONTH($J27)))&gt;Lists!G$21)+1)))-IF(Lists!G$22&lt;$J27,0,MIN($AO27,(((YEAR(Lists!G$22)-YEAR($J27))*12+MONTH(Lists!G$22)-MONTH($J27))-(EDATE($J27,((YEAR(Lists!G$22)-YEAR($J27))*12+MONTH(Lists!G$22)-MONTH($J27)))&gt;Lists!G$22)+1)))),IF($AP27="F",IF(N($K27)&lt;=0,0,MIN(MAX(0,$H27),N($K27)*IF(Lists!G$21&lt;$J27,0,(((YEAR(Lists!G$21)-YEAR($J27))*12+MONTH(Lists!G$21)-MONTH($J27))-(EDATE($J27,((YEAR(Lists!G$21)-YEAR($J27))*12+MONTH(Lists!G$21)-MONTH($J27)))&gt;Lists!G$21)+1)))-MIN(MAX(0,$H27),N($K27)*IF(Lists!G$22&lt;$J27,0,(((YEAR(Lists!G$22)-YEAR($J27))*12+MONTH(Lists!G$22)-MONTH($J27))-(EDATE($J27,((YEAR(Lists!G$22)-YEAR($J27))*12+MONTH(Lists!G$22)-MONTH($J27)))&gt;Lists!G$22)+1)))),N($C27)*IF($AE27-$AD27&lt;1,($AD27&gt;Lists!G$22)*($AD27&lt;=Lists!G$21),MAX(0,MIN(Lists!G$21,$AE27)-MAX(Lists!G$22,$AD27))/($AE27-$AD27))+N($D27)*IF($AG27-$AF27&lt;1,($AF27&gt;Lists!G$22)*($AF27&lt;=Lists!G$21),MAX(0,MIN(Lists!G$21,$AG27)-MAX(Lists!G$22,$AF27))/($AG27-$AF27))+N($E27)*IF($AI27-$AH27&lt;1,($AH27&gt;Lists!G$22)*($AH27&lt;=Lists!G$21),MAX(0,MIN(Lists!G$21,$AI27)-MAX(Lists!G$22,$AH27))/($AI27-$AH27))+N($F27)*IF($AK27-$AJ27&lt;1,($AJ27&gt;Lists!G$22)*($AJ27&lt;=Lists!G$21),MAX(0,MIN(Lists!G$21,$AK27)-MAX(Lists!G$22,$AJ27))/($AK27-$AJ27))+N($G27)*IF($AM27-$AL27&lt;1,($AL27&gt;Lists!G$22)*($AL27&lt;=Lists!G$21),MAX(0,MIN(Lists!G$21,$AM27)-MAX(Lists!G$22,$AL27))/($AM27-$AL27))))))))</f>
        <v>0</v>
      </c>
      <c r="R27" s="53" t="n">
        <f aca="false">IF($H27=0,0,IF($AP27="X",0,IF($AP27="S",$H27/$AO27*(MIN($AO27,MAX(0,INT((Lists!H$21-N($J27))/7)+1))-MIN($AO27,MAX(0,INT((Lists!H$22-N($J27))/7)+1))),IF($AP27="D",$H27*MAX(0,MIN(Lists!H$21,N($J27)+$AO27)-MAX(Lists!H$22,N($J27)))/$AO27,IF($AP27="M",$H27/$AO27*(IF(Lists!H$21&lt;$J27,0,MIN($AO27,(((YEAR(Lists!H$21)-YEAR($J27))*12+MONTH(Lists!H$21)-MONTH($J27))-(EDATE($J27,((YEAR(Lists!H$21)-YEAR($J27))*12+MONTH(Lists!H$21)-MONTH($J27)))&gt;Lists!H$21)+1)))-IF(Lists!H$22&lt;$J27,0,MIN($AO27,(((YEAR(Lists!H$22)-YEAR($J27))*12+MONTH(Lists!H$22)-MONTH($J27))-(EDATE($J27,((YEAR(Lists!H$22)-YEAR($J27))*12+MONTH(Lists!H$22)-MONTH($J27)))&gt;Lists!H$22)+1)))),IF($AP27="F",IF(N($K27)&lt;=0,0,MIN(MAX(0,$H27),N($K27)*IF(Lists!H$21&lt;$J27,0,(((YEAR(Lists!H$21)-YEAR($J27))*12+MONTH(Lists!H$21)-MONTH($J27))-(EDATE($J27,((YEAR(Lists!H$21)-YEAR($J27))*12+MONTH(Lists!H$21)-MONTH($J27)))&gt;Lists!H$21)+1)))-MIN(MAX(0,$H27),N($K27)*IF(Lists!H$22&lt;$J27,0,(((YEAR(Lists!H$22)-YEAR($J27))*12+MONTH(Lists!H$22)-MONTH($J27))-(EDATE($J27,((YEAR(Lists!H$22)-YEAR($J27))*12+MONTH(Lists!H$22)-MONTH($J27)))&gt;Lists!H$22)+1)))),N($C27)*IF($AE27-$AD27&lt;1,($AD27&gt;Lists!H$22)*($AD27&lt;=Lists!H$21),MAX(0,MIN(Lists!H$21,$AE27)-MAX(Lists!H$22,$AD27))/($AE27-$AD27))+N($D27)*IF($AG27-$AF27&lt;1,($AF27&gt;Lists!H$22)*($AF27&lt;=Lists!H$21),MAX(0,MIN(Lists!H$21,$AG27)-MAX(Lists!H$22,$AF27))/($AG27-$AF27))+N($E27)*IF($AI27-$AH27&lt;1,($AH27&gt;Lists!H$22)*($AH27&lt;=Lists!H$21),MAX(0,MIN(Lists!H$21,$AI27)-MAX(Lists!H$22,$AH27))/($AI27-$AH27))+N($F27)*IF($AK27-$AJ27&lt;1,($AJ27&gt;Lists!H$22)*($AJ27&lt;=Lists!H$21),MAX(0,MIN(Lists!H$21,$AK27)-MAX(Lists!H$22,$AJ27))/($AK27-$AJ27))+N($G27)*IF($AM27-$AL27&lt;1,($AL27&gt;Lists!H$22)*($AL27&lt;=Lists!H$21),MAX(0,MIN(Lists!H$21,$AM27)-MAX(Lists!H$22,$AL27))/($AM27-$AL27))))))))</f>
        <v>0</v>
      </c>
      <c r="S27" s="53" t="n">
        <f aca="false">IF($H27=0,0,IF($AP27="X",0,IF($AP27="S",$H27/$AO27*(MIN($AO27,MAX(0,INT((Lists!I$21-N($J27))/7)+1))-MIN($AO27,MAX(0,INT((Lists!I$22-N($J27))/7)+1))),IF($AP27="D",$H27*MAX(0,MIN(Lists!I$21,N($J27)+$AO27)-MAX(Lists!I$22,N($J27)))/$AO27,IF($AP27="M",$H27/$AO27*(IF(Lists!I$21&lt;$J27,0,MIN($AO27,(((YEAR(Lists!I$21)-YEAR($J27))*12+MONTH(Lists!I$21)-MONTH($J27))-(EDATE($J27,((YEAR(Lists!I$21)-YEAR($J27))*12+MONTH(Lists!I$21)-MONTH($J27)))&gt;Lists!I$21)+1)))-IF(Lists!I$22&lt;$J27,0,MIN($AO27,(((YEAR(Lists!I$22)-YEAR($J27))*12+MONTH(Lists!I$22)-MONTH($J27))-(EDATE($J27,((YEAR(Lists!I$22)-YEAR($J27))*12+MONTH(Lists!I$22)-MONTH($J27)))&gt;Lists!I$22)+1)))),IF($AP27="F",IF(N($K27)&lt;=0,0,MIN(MAX(0,$H27),N($K27)*IF(Lists!I$21&lt;$J27,0,(((YEAR(Lists!I$21)-YEAR($J27))*12+MONTH(Lists!I$21)-MONTH($J27))-(EDATE($J27,((YEAR(Lists!I$21)-YEAR($J27))*12+MONTH(Lists!I$21)-MONTH($J27)))&gt;Lists!I$21)+1)))-MIN(MAX(0,$H27),N($K27)*IF(Lists!I$22&lt;$J27,0,(((YEAR(Lists!I$22)-YEAR($J27))*12+MONTH(Lists!I$22)-MONTH($J27))-(EDATE($J27,((YEAR(Lists!I$22)-YEAR($J27))*12+MONTH(Lists!I$22)-MONTH($J27)))&gt;Lists!I$22)+1)))),N($C27)*IF($AE27-$AD27&lt;1,($AD27&gt;Lists!I$22)*($AD27&lt;=Lists!I$21),MAX(0,MIN(Lists!I$21,$AE27)-MAX(Lists!I$22,$AD27))/($AE27-$AD27))+N($D27)*IF($AG27-$AF27&lt;1,($AF27&gt;Lists!I$22)*($AF27&lt;=Lists!I$21),MAX(0,MIN(Lists!I$21,$AG27)-MAX(Lists!I$22,$AF27))/($AG27-$AF27))+N($E27)*IF($AI27-$AH27&lt;1,($AH27&gt;Lists!I$22)*($AH27&lt;=Lists!I$21),MAX(0,MIN(Lists!I$21,$AI27)-MAX(Lists!I$22,$AH27))/($AI27-$AH27))+N($F27)*IF($AK27-$AJ27&lt;1,($AJ27&gt;Lists!I$22)*($AJ27&lt;=Lists!I$21),MAX(0,MIN(Lists!I$21,$AK27)-MAX(Lists!I$22,$AJ27))/($AK27-$AJ27))+N($G27)*IF($AM27-$AL27&lt;1,($AL27&gt;Lists!I$22)*($AL27&lt;=Lists!I$21),MAX(0,MIN(Lists!I$21,$AM27)-MAX(Lists!I$22,$AL27))/($AM27-$AL27))))))))</f>
        <v>0</v>
      </c>
      <c r="T27" s="53" t="n">
        <f aca="false">IF($H27=0,0,IF($AP27="X",0,IF($AP27="S",$H27/$AO27*(MIN($AO27,MAX(0,INT((Lists!J$21-N($J27))/7)+1))-MIN($AO27,MAX(0,INT((Lists!J$22-N($J27))/7)+1))),IF($AP27="D",$H27*MAX(0,MIN(Lists!J$21,N($J27)+$AO27)-MAX(Lists!J$22,N($J27)))/$AO27,IF($AP27="M",$H27/$AO27*(IF(Lists!J$21&lt;$J27,0,MIN($AO27,(((YEAR(Lists!J$21)-YEAR($J27))*12+MONTH(Lists!J$21)-MONTH($J27))-(EDATE($J27,((YEAR(Lists!J$21)-YEAR($J27))*12+MONTH(Lists!J$21)-MONTH($J27)))&gt;Lists!J$21)+1)))-IF(Lists!J$22&lt;$J27,0,MIN($AO27,(((YEAR(Lists!J$22)-YEAR($J27))*12+MONTH(Lists!J$22)-MONTH($J27))-(EDATE($J27,((YEAR(Lists!J$22)-YEAR($J27))*12+MONTH(Lists!J$22)-MONTH($J27)))&gt;Lists!J$22)+1)))),IF($AP27="F",IF(N($K27)&lt;=0,0,MIN(MAX(0,$H27),N($K27)*IF(Lists!J$21&lt;$J27,0,(((YEAR(Lists!J$21)-YEAR($J27))*12+MONTH(Lists!J$21)-MONTH($J27))-(EDATE($J27,((YEAR(Lists!J$21)-YEAR($J27))*12+MONTH(Lists!J$21)-MONTH($J27)))&gt;Lists!J$21)+1)))-MIN(MAX(0,$H27),N($K27)*IF(Lists!J$22&lt;$J27,0,(((YEAR(Lists!J$22)-YEAR($J27))*12+MONTH(Lists!J$22)-MONTH($J27))-(EDATE($J27,((YEAR(Lists!J$22)-YEAR($J27))*12+MONTH(Lists!J$22)-MONTH($J27)))&gt;Lists!J$22)+1)))),N($C27)*IF($AE27-$AD27&lt;1,($AD27&gt;Lists!J$22)*($AD27&lt;=Lists!J$21),MAX(0,MIN(Lists!J$21,$AE27)-MAX(Lists!J$22,$AD27))/($AE27-$AD27))+N($D27)*IF($AG27-$AF27&lt;1,($AF27&gt;Lists!J$22)*($AF27&lt;=Lists!J$21),MAX(0,MIN(Lists!J$21,$AG27)-MAX(Lists!J$22,$AF27))/($AG27-$AF27))+N($E27)*IF($AI27-$AH27&lt;1,($AH27&gt;Lists!J$22)*($AH27&lt;=Lists!J$21),MAX(0,MIN(Lists!J$21,$AI27)-MAX(Lists!J$22,$AH27))/($AI27-$AH27))+N($F27)*IF($AK27-$AJ27&lt;1,($AJ27&gt;Lists!J$22)*($AJ27&lt;=Lists!J$21),MAX(0,MIN(Lists!J$21,$AK27)-MAX(Lists!J$22,$AJ27))/($AK27-$AJ27))+N($G27)*IF($AM27-$AL27&lt;1,($AL27&gt;Lists!J$22)*($AL27&lt;=Lists!J$21),MAX(0,MIN(Lists!J$21,$AM27)-MAX(Lists!J$22,$AL27))/($AM27-$AL27))))))))</f>
        <v>0</v>
      </c>
      <c r="U27" s="53" t="n">
        <f aca="false">IF($H27=0,0,IF($AP27="X",0,IF($AP27="S",$H27/$AO27*(MIN($AO27,MAX(0,INT((Lists!K$21-N($J27))/7)+1))-MIN($AO27,MAX(0,INT((Lists!K$22-N($J27))/7)+1))),IF($AP27="D",$H27*MAX(0,MIN(Lists!K$21,N($J27)+$AO27)-MAX(Lists!K$22,N($J27)))/$AO27,IF($AP27="M",$H27/$AO27*(IF(Lists!K$21&lt;$J27,0,MIN($AO27,(((YEAR(Lists!K$21)-YEAR($J27))*12+MONTH(Lists!K$21)-MONTH($J27))-(EDATE($J27,((YEAR(Lists!K$21)-YEAR($J27))*12+MONTH(Lists!K$21)-MONTH($J27)))&gt;Lists!K$21)+1)))-IF(Lists!K$22&lt;$J27,0,MIN($AO27,(((YEAR(Lists!K$22)-YEAR($J27))*12+MONTH(Lists!K$22)-MONTH($J27))-(EDATE($J27,((YEAR(Lists!K$22)-YEAR($J27))*12+MONTH(Lists!K$22)-MONTH($J27)))&gt;Lists!K$22)+1)))),IF($AP27="F",IF(N($K27)&lt;=0,0,MIN(MAX(0,$H27),N($K27)*IF(Lists!K$21&lt;$J27,0,(((YEAR(Lists!K$21)-YEAR($J27))*12+MONTH(Lists!K$21)-MONTH($J27))-(EDATE($J27,((YEAR(Lists!K$21)-YEAR($J27))*12+MONTH(Lists!K$21)-MONTH($J27)))&gt;Lists!K$21)+1)))-MIN(MAX(0,$H27),N($K27)*IF(Lists!K$22&lt;$J27,0,(((YEAR(Lists!K$22)-YEAR($J27))*12+MONTH(Lists!K$22)-MONTH($J27))-(EDATE($J27,((YEAR(Lists!K$22)-YEAR($J27))*12+MONTH(Lists!K$22)-MONTH($J27)))&gt;Lists!K$22)+1)))),N($C27)*IF($AE27-$AD27&lt;1,($AD27&gt;Lists!K$22)*($AD27&lt;=Lists!K$21),MAX(0,MIN(Lists!K$21,$AE27)-MAX(Lists!K$22,$AD27))/($AE27-$AD27))+N($D27)*IF($AG27-$AF27&lt;1,($AF27&gt;Lists!K$22)*($AF27&lt;=Lists!K$21),MAX(0,MIN(Lists!K$21,$AG27)-MAX(Lists!K$22,$AF27))/($AG27-$AF27))+N($E27)*IF($AI27-$AH27&lt;1,($AH27&gt;Lists!K$22)*($AH27&lt;=Lists!K$21),MAX(0,MIN(Lists!K$21,$AI27)-MAX(Lists!K$22,$AH27))/($AI27-$AH27))+N($F27)*IF($AK27-$AJ27&lt;1,($AJ27&gt;Lists!K$22)*($AJ27&lt;=Lists!K$21),MAX(0,MIN(Lists!K$21,$AK27)-MAX(Lists!K$22,$AJ27))/($AK27-$AJ27))+N($G27)*IF($AM27-$AL27&lt;1,($AL27&gt;Lists!K$22)*($AL27&lt;=Lists!K$21),MAX(0,MIN(Lists!K$21,$AM27)-MAX(Lists!K$22,$AL27))/($AM27-$AL27))))))))</f>
        <v>0</v>
      </c>
      <c r="V27" s="53" t="n">
        <f aca="false">IF($H27=0,0,IF($AP27="X",0,IF($AP27="S",$H27/$AO27*(MIN($AO27,MAX(0,INT((Lists!L$21-N($J27))/7)+1))-MIN($AO27,MAX(0,INT((Lists!L$22-N($J27))/7)+1))),IF($AP27="D",$H27*MAX(0,MIN(Lists!L$21,N($J27)+$AO27)-MAX(Lists!L$22,N($J27)))/$AO27,IF($AP27="M",$H27/$AO27*(IF(Lists!L$21&lt;$J27,0,MIN($AO27,(((YEAR(Lists!L$21)-YEAR($J27))*12+MONTH(Lists!L$21)-MONTH($J27))-(EDATE($J27,((YEAR(Lists!L$21)-YEAR($J27))*12+MONTH(Lists!L$21)-MONTH($J27)))&gt;Lists!L$21)+1)))-IF(Lists!L$22&lt;$J27,0,MIN($AO27,(((YEAR(Lists!L$22)-YEAR($J27))*12+MONTH(Lists!L$22)-MONTH($J27))-(EDATE($J27,((YEAR(Lists!L$22)-YEAR($J27))*12+MONTH(Lists!L$22)-MONTH($J27)))&gt;Lists!L$22)+1)))),IF($AP27="F",IF(N($K27)&lt;=0,0,MIN(MAX(0,$H27),N($K27)*IF(Lists!L$21&lt;$J27,0,(((YEAR(Lists!L$21)-YEAR($J27))*12+MONTH(Lists!L$21)-MONTH($J27))-(EDATE($J27,((YEAR(Lists!L$21)-YEAR($J27))*12+MONTH(Lists!L$21)-MONTH($J27)))&gt;Lists!L$21)+1)))-MIN(MAX(0,$H27),N($K27)*IF(Lists!L$22&lt;$J27,0,(((YEAR(Lists!L$22)-YEAR($J27))*12+MONTH(Lists!L$22)-MONTH($J27))-(EDATE($J27,((YEAR(Lists!L$22)-YEAR($J27))*12+MONTH(Lists!L$22)-MONTH($J27)))&gt;Lists!L$22)+1)))),N($C27)*IF($AE27-$AD27&lt;1,($AD27&gt;Lists!L$22)*($AD27&lt;=Lists!L$21),MAX(0,MIN(Lists!L$21,$AE27)-MAX(Lists!L$22,$AD27))/($AE27-$AD27))+N($D27)*IF($AG27-$AF27&lt;1,($AF27&gt;Lists!L$22)*($AF27&lt;=Lists!L$21),MAX(0,MIN(Lists!L$21,$AG27)-MAX(Lists!L$22,$AF27))/($AG27-$AF27))+N($E27)*IF($AI27-$AH27&lt;1,($AH27&gt;Lists!L$22)*($AH27&lt;=Lists!L$21),MAX(0,MIN(Lists!L$21,$AI27)-MAX(Lists!L$22,$AH27))/($AI27-$AH27))+N($F27)*IF($AK27-$AJ27&lt;1,($AJ27&gt;Lists!L$22)*($AJ27&lt;=Lists!L$21),MAX(0,MIN(Lists!L$21,$AK27)-MAX(Lists!L$22,$AJ27))/($AK27-$AJ27))+N($G27)*IF($AM27-$AL27&lt;1,($AL27&gt;Lists!L$22)*($AL27&lt;=Lists!L$21),MAX(0,MIN(Lists!L$21,$AM27)-MAX(Lists!L$22,$AL27))/($AM27-$AL27))))))))</f>
        <v>0</v>
      </c>
      <c r="W27" s="53" t="n">
        <f aca="false">IF($H27=0,0,IF($AP27="X",0,IF($AP27="S",$H27/$AO27*(MIN($AO27,MAX(0,INT((Lists!M$21-N($J27))/7)+1))-MIN($AO27,MAX(0,INT((Lists!M$22-N($J27))/7)+1))),IF($AP27="D",$H27*MAX(0,MIN(Lists!M$21,N($J27)+$AO27)-MAX(Lists!M$22,N($J27)))/$AO27,IF($AP27="M",$H27/$AO27*(IF(Lists!M$21&lt;$J27,0,MIN($AO27,(((YEAR(Lists!M$21)-YEAR($J27))*12+MONTH(Lists!M$21)-MONTH($J27))-(EDATE($J27,((YEAR(Lists!M$21)-YEAR($J27))*12+MONTH(Lists!M$21)-MONTH($J27)))&gt;Lists!M$21)+1)))-IF(Lists!M$22&lt;$J27,0,MIN($AO27,(((YEAR(Lists!M$22)-YEAR($J27))*12+MONTH(Lists!M$22)-MONTH($J27))-(EDATE($J27,((YEAR(Lists!M$22)-YEAR($J27))*12+MONTH(Lists!M$22)-MONTH($J27)))&gt;Lists!M$22)+1)))),IF($AP27="F",IF(N($K27)&lt;=0,0,MIN(MAX(0,$H27),N($K27)*IF(Lists!M$21&lt;$J27,0,(((YEAR(Lists!M$21)-YEAR($J27))*12+MONTH(Lists!M$21)-MONTH($J27))-(EDATE($J27,((YEAR(Lists!M$21)-YEAR($J27))*12+MONTH(Lists!M$21)-MONTH($J27)))&gt;Lists!M$21)+1)))-MIN(MAX(0,$H27),N($K27)*IF(Lists!M$22&lt;$J27,0,(((YEAR(Lists!M$22)-YEAR($J27))*12+MONTH(Lists!M$22)-MONTH($J27))-(EDATE($J27,((YEAR(Lists!M$22)-YEAR($J27))*12+MONTH(Lists!M$22)-MONTH($J27)))&gt;Lists!M$22)+1)))),N($C27)*IF($AE27-$AD27&lt;1,($AD27&gt;Lists!M$22)*($AD27&lt;=Lists!M$21),MAX(0,MIN(Lists!M$21,$AE27)-MAX(Lists!M$22,$AD27))/($AE27-$AD27))+N($D27)*IF($AG27-$AF27&lt;1,($AF27&gt;Lists!M$22)*($AF27&lt;=Lists!M$21),MAX(0,MIN(Lists!M$21,$AG27)-MAX(Lists!M$22,$AF27))/($AG27-$AF27))+N($E27)*IF($AI27-$AH27&lt;1,($AH27&gt;Lists!M$22)*($AH27&lt;=Lists!M$21),MAX(0,MIN(Lists!M$21,$AI27)-MAX(Lists!M$22,$AH27))/($AI27-$AH27))+N($F27)*IF($AK27-$AJ27&lt;1,($AJ27&gt;Lists!M$22)*($AJ27&lt;=Lists!M$21),MAX(0,MIN(Lists!M$21,$AK27)-MAX(Lists!M$22,$AJ27))/($AK27-$AJ27))+N($G27)*IF($AM27-$AL27&lt;1,($AL27&gt;Lists!M$22)*($AL27&lt;=Lists!M$21),MAX(0,MIN(Lists!M$21,$AM27)-MAX(Lists!M$22,$AL27))/($AM27-$AL27))))))))</f>
        <v>0</v>
      </c>
      <c r="X27" s="53" t="n">
        <f aca="false">IF($H27=0,0,IF($AP27="X",0,IF($AP27="S",$H27/$AO27*(MIN($AO27,MAX(0,INT((Lists!N$21-N($J27))/7)+1))-MIN($AO27,MAX(0,INT((Lists!N$22-N($J27))/7)+1))),IF($AP27="D",$H27*MAX(0,MIN(Lists!N$21,N($J27)+$AO27)-MAX(Lists!N$22,N($J27)))/$AO27,IF($AP27="M",$H27/$AO27*(IF(Lists!N$21&lt;$J27,0,MIN($AO27,(((YEAR(Lists!N$21)-YEAR($J27))*12+MONTH(Lists!N$21)-MONTH($J27))-(EDATE($J27,((YEAR(Lists!N$21)-YEAR($J27))*12+MONTH(Lists!N$21)-MONTH($J27)))&gt;Lists!N$21)+1)))-IF(Lists!N$22&lt;$J27,0,MIN($AO27,(((YEAR(Lists!N$22)-YEAR($J27))*12+MONTH(Lists!N$22)-MONTH($J27))-(EDATE($J27,((YEAR(Lists!N$22)-YEAR($J27))*12+MONTH(Lists!N$22)-MONTH($J27)))&gt;Lists!N$22)+1)))),IF($AP27="F",IF(N($K27)&lt;=0,0,MIN(MAX(0,$H27),N($K27)*IF(Lists!N$21&lt;$J27,0,(((YEAR(Lists!N$21)-YEAR($J27))*12+MONTH(Lists!N$21)-MONTH($J27))-(EDATE($J27,((YEAR(Lists!N$21)-YEAR($J27))*12+MONTH(Lists!N$21)-MONTH($J27)))&gt;Lists!N$21)+1)))-MIN(MAX(0,$H27),N($K27)*IF(Lists!N$22&lt;$J27,0,(((YEAR(Lists!N$22)-YEAR($J27))*12+MONTH(Lists!N$22)-MONTH($J27))-(EDATE($J27,((YEAR(Lists!N$22)-YEAR($J27))*12+MONTH(Lists!N$22)-MONTH($J27)))&gt;Lists!N$22)+1)))),N($C27)*IF($AE27-$AD27&lt;1,($AD27&gt;Lists!N$22)*($AD27&lt;=Lists!N$21),MAX(0,MIN(Lists!N$21,$AE27)-MAX(Lists!N$22,$AD27))/($AE27-$AD27))+N($D27)*IF($AG27-$AF27&lt;1,($AF27&gt;Lists!N$22)*($AF27&lt;=Lists!N$21),MAX(0,MIN(Lists!N$21,$AG27)-MAX(Lists!N$22,$AF27))/($AG27-$AF27))+N($E27)*IF($AI27-$AH27&lt;1,($AH27&gt;Lists!N$22)*($AH27&lt;=Lists!N$21),MAX(0,MIN(Lists!N$21,$AI27)-MAX(Lists!N$22,$AH27))/($AI27-$AH27))+N($F27)*IF($AK27-$AJ27&lt;1,($AJ27&gt;Lists!N$22)*($AJ27&lt;=Lists!N$21),MAX(0,MIN(Lists!N$21,$AK27)-MAX(Lists!N$22,$AJ27))/($AK27-$AJ27))+N($G27)*IF($AM27-$AL27&lt;1,($AL27&gt;Lists!N$22)*($AL27&lt;=Lists!N$21),MAX(0,MIN(Lists!N$21,$AM27)-MAX(Lists!N$22,$AL27))/($AM27-$AL27))))))))</f>
        <v>0</v>
      </c>
      <c r="Y27" s="53" t="n">
        <f aca="false">IF($H27=0,0,IF($AP27="X",0,IF($AP27="S",$H27/$AO27*(MIN($AO27,MAX(0,INT((Lists!O$21-N($J27))/7)+1))-MIN($AO27,MAX(0,INT((Lists!O$22-N($J27))/7)+1))),IF($AP27="D",$H27*MAX(0,MIN(Lists!O$21,N($J27)+$AO27)-MAX(Lists!O$22,N($J27)))/$AO27,IF($AP27="M",$H27/$AO27*(IF(Lists!O$21&lt;$J27,0,MIN($AO27,(((YEAR(Lists!O$21)-YEAR($J27))*12+MONTH(Lists!O$21)-MONTH($J27))-(EDATE($J27,((YEAR(Lists!O$21)-YEAR($J27))*12+MONTH(Lists!O$21)-MONTH($J27)))&gt;Lists!O$21)+1)))-IF(Lists!O$22&lt;$J27,0,MIN($AO27,(((YEAR(Lists!O$22)-YEAR($J27))*12+MONTH(Lists!O$22)-MONTH($J27))-(EDATE($J27,((YEAR(Lists!O$22)-YEAR($J27))*12+MONTH(Lists!O$22)-MONTH($J27)))&gt;Lists!O$22)+1)))),IF($AP27="F",IF(N($K27)&lt;=0,0,MIN(MAX(0,$H27),N($K27)*IF(Lists!O$21&lt;$J27,0,(((YEAR(Lists!O$21)-YEAR($J27))*12+MONTH(Lists!O$21)-MONTH($J27))-(EDATE($J27,((YEAR(Lists!O$21)-YEAR($J27))*12+MONTH(Lists!O$21)-MONTH($J27)))&gt;Lists!O$21)+1)))-MIN(MAX(0,$H27),N($K27)*IF(Lists!O$22&lt;$J27,0,(((YEAR(Lists!O$22)-YEAR($J27))*12+MONTH(Lists!O$22)-MONTH($J27))-(EDATE($J27,((YEAR(Lists!O$22)-YEAR($J27))*12+MONTH(Lists!O$22)-MONTH($J27)))&gt;Lists!O$22)+1)))),N($C27)*IF($AE27-$AD27&lt;1,($AD27&gt;Lists!O$22)*($AD27&lt;=Lists!O$21),MAX(0,MIN(Lists!O$21,$AE27)-MAX(Lists!O$22,$AD27))/($AE27-$AD27))+N($D27)*IF($AG27-$AF27&lt;1,($AF27&gt;Lists!O$22)*($AF27&lt;=Lists!O$21),MAX(0,MIN(Lists!O$21,$AG27)-MAX(Lists!O$22,$AF27))/($AG27-$AF27))+N($E27)*IF($AI27-$AH27&lt;1,($AH27&gt;Lists!O$22)*($AH27&lt;=Lists!O$21),MAX(0,MIN(Lists!O$21,$AI27)-MAX(Lists!O$22,$AH27))/($AI27-$AH27))+N($F27)*IF($AK27-$AJ27&lt;1,($AJ27&gt;Lists!O$22)*($AJ27&lt;=Lists!O$21),MAX(0,MIN(Lists!O$21,$AK27)-MAX(Lists!O$22,$AJ27))/($AK27-$AJ27))+N($G27)*IF($AM27-$AL27&lt;1,($AL27&gt;Lists!O$22)*($AL27&lt;=Lists!O$21),MAX(0,MIN(Lists!O$21,$AM27)-MAX(Lists!O$22,$AL27))/($AM27-$AL27))))))))</f>
        <v>0</v>
      </c>
      <c r="Z27" s="46" t="n">
        <f aca="false">SUM(M27:Y27)</f>
        <v>0</v>
      </c>
      <c r="AA27" s="92" t="n">
        <f aca="false">H27-Z27</f>
        <v>0</v>
      </c>
      <c r="AB27" s="55"/>
      <c r="AC27" s="2"/>
      <c r="AD27" s="93" t="n">
        <f aca="false">Setup!$D$10+MAX(0,$AN27-30)</f>
        <v>46345</v>
      </c>
      <c r="AE27" s="93" t="n">
        <f aca="false">Setup!$D$10+IF($AN27-30&lt;0,MAX(Setup!$D$22,$AN27-0),$AN27-0)</f>
        <v>46375</v>
      </c>
      <c r="AF27" s="93" t="n">
        <f aca="false">Setup!$D$10+MAX(0,$AN27-60)</f>
        <v>46335</v>
      </c>
      <c r="AG27" s="93" t="n">
        <f aca="false">Setup!$D$10+IF($AN27-60&lt;0,MAX(Setup!$D$22,$AN27-31),$AN27-31)</f>
        <v>46363</v>
      </c>
      <c r="AH27" s="93" t="n">
        <f aca="false">Setup!$D$10+MAX(0,$AN27-90)</f>
        <v>46335</v>
      </c>
      <c r="AI27" s="93" t="n">
        <f aca="false">Setup!$D$10+IF($AN27-90&lt;0,MAX(Setup!$D$22,$AN27-61),$AN27-61)</f>
        <v>46363</v>
      </c>
      <c r="AJ27" s="93" t="n">
        <f aca="false">Setup!$D$10+MAX(0,$AN27-120)</f>
        <v>46335</v>
      </c>
      <c r="AK27" s="93" t="n">
        <f aca="false">Setup!$D$10+IF($AN27-120&lt;0,MAX(Setup!$D$22,$AN27-91),$AN27-91)</f>
        <v>46363</v>
      </c>
      <c r="AL27" s="93" t="n">
        <f aca="false">Setup!$D$10</f>
        <v>46335</v>
      </c>
      <c r="AM27" s="93" t="n">
        <f aca="false">IF(AL27=2958465,AL27,Setup!$D$10+Setup!$D$22)</f>
        <v>46363</v>
      </c>
      <c r="AN27" s="94" t="n">
        <f aca="false">IF(N(L27)=0,Setup!$D$21,L27)</f>
        <v>40</v>
      </c>
      <c r="AO27" s="94" t="n">
        <f aca="false">MAX(1,ROUND(N(K27),0))</f>
        <v>1</v>
      </c>
      <c r="AP27" s="95" t="str">
        <f aca="false">IF(I27="On hold","X",IF(N(J27)=0,"A",IF(I27="Specific date","S",IF(I27="Spread over days","D",IF(I27="Monthly on set day","M",IF(I27="Monthly fixed amount","F","A"))))))</f>
        <v>A</v>
      </c>
    </row>
    <row r="28" customFormat="false" ht="15" hidden="false" customHeight="false" outlineLevel="0" collapsed="false">
      <c r="A28" s="87" t="n">
        <v>20</v>
      </c>
      <c r="B28" s="55"/>
      <c r="C28" s="88"/>
      <c r="D28" s="88"/>
      <c r="E28" s="88"/>
      <c r="F28" s="88"/>
      <c r="G28" s="88"/>
      <c r="H28" s="89" t="n">
        <f aca="false">SUM(C28:G28)</f>
        <v>0</v>
      </c>
      <c r="I28" s="58"/>
      <c r="J28" s="90"/>
      <c r="K28" s="91"/>
      <c r="L28" s="80"/>
      <c r="M28" s="53" t="n">
        <f aca="false">IF($H28=0,0,IF($AP28="X",0,IF($AP28="S",$H28/$AO28*(MIN($AO28,MAX(0,INT((Lists!C$21-N($J28))/7)+1))-MIN($AO28,MAX(0,INT((Lists!C$22-N($J28))/7)+1))),IF($AP28="D",$H28*MAX(0,MIN(Lists!C$21,N($J28)+$AO28)-MAX(Lists!C$22,N($J28)))/$AO28,IF($AP28="M",$H28/$AO28*(IF(Lists!C$21&lt;$J28,0,MIN($AO28,(((YEAR(Lists!C$21)-YEAR($J28))*12+MONTH(Lists!C$21)-MONTH($J28))-(EDATE($J28,((YEAR(Lists!C$21)-YEAR($J28))*12+MONTH(Lists!C$21)-MONTH($J28)))&gt;Lists!C$21)+1)))-IF(Lists!C$22&lt;$J28,0,MIN($AO28,(((YEAR(Lists!C$22)-YEAR($J28))*12+MONTH(Lists!C$22)-MONTH($J28))-(EDATE($J28,((YEAR(Lists!C$22)-YEAR($J28))*12+MONTH(Lists!C$22)-MONTH($J28)))&gt;Lists!C$22)+1)))),IF($AP28="F",IF(N($K28)&lt;=0,0,MIN(MAX(0,$H28),N($K28)*IF(Lists!C$21&lt;$J28,0,(((YEAR(Lists!C$21)-YEAR($J28))*12+MONTH(Lists!C$21)-MONTH($J28))-(EDATE($J28,((YEAR(Lists!C$21)-YEAR($J28))*12+MONTH(Lists!C$21)-MONTH($J28)))&gt;Lists!C$21)+1)))-MIN(MAX(0,$H28),N($K28)*IF(Lists!C$22&lt;$J28,0,(((YEAR(Lists!C$22)-YEAR($J28))*12+MONTH(Lists!C$22)-MONTH($J28))-(EDATE($J28,((YEAR(Lists!C$22)-YEAR($J28))*12+MONTH(Lists!C$22)-MONTH($J28)))&gt;Lists!C$22)+1)))),N($C28)*IF($AE28-$AD28&lt;1,($AD28&gt;Lists!C$22)*($AD28&lt;=Lists!C$21),MAX(0,MIN(Lists!C$21,$AE28)-MAX(Lists!C$22,$AD28))/($AE28-$AD28))+N($D28)*IF($AG28-$AF28&lt;1,($AF28&gt;Lists!C$22)*($AF28&lt;=Lists!C$21),MAX(0,MIN(Lists!C$21,$AG28)-MAX(Lists!C$22,$AF28))/($AG28-$AF28))+N($E28)*IF($AI28-$AH28&lt;1,($AH28&gt;Lists!C$22)*($AH28&lt;=Lists!C$21),MAX(0,MIN(Lists!C$21,$AI28)-MAX(Lists!C$22,$AH28))/($AI28-$AH28))+N($F28)*IF($AK28-$AJ28&lt;1,($AJ28&gt;Lists!C$22)*($AJ28&lt;=Lists!C$21),MAX(0,MIN(Lists!C$21,$AK28)-MAX(Lists!C$22,$AJ28))/($AK28-$AJ28))+N($G28)*IF($AM28-$AL28&lt;1,($AL28&gt;Lists!C$22)*($AL28&lt;=Lists!C$21),MAX(0,MIN(Lists!C$21,$AM28)-MAX(Lists!C$22,$AL28))/($AM28-$AL28))))))))</f>
        <v>0</v>
      </c>
      <c r="N28" s="53" t="n">
        <f aca="false">IF($H28=0,0,IF($AP28="X",0,IF($AP28="S",$H28/$AO28*(MIN($AO28,MAX(0,INT((Lists!D$21-N($J28))/7)+1))-MIN($AO28,MAX(0,INT((Lists!D$22-N($J28))/7)+1))),IF($AP28="D",$H28*MAX(0,MIN(Lists!D$21,N($J28)+$AO28)-MAX(Lists!D$22,N($J28)))/$AO28,IF($AP28="M",$H28/$AO28*(IF(Lists!D$21&lt;$J28,0,MIN($AO28,(((YEAR(Lists!D$21)-YEAR($J28))*12+MONTH(Lists!D$21)-MONTH($J28))-(EDATE($J28,((YEAR(Lists!D$21)-YEAR($J28))*12+MONTH(Lists!D$21)-MONTH($J28)))&gt;Lists!D$21)+1)))-IF(Lists!D$22&lt;$J28,0,MIN($AO28,(((YEAR(Lists!D$22)-YEAR($J28))*12+MONTH(Lists!D$22)-MONTH($J28))-(EDATE($J28,((YEAR(Lists!D$22)-YEAR($J28))*12+MONTH(Lists!D$22)-MONTH($J28)))&gt;Lists!D$22)+1)))),IF($AP28="F",IF(N($K28)&lt;=0,0,MIN(MAX(0,$H28),N($K28)*IF(Lists!D$21&lt;$J28,0,(((YEAR(Lists!D$21)-YEAR($J28))*12+MONTH(Lists!D$21)-MONTH($J28))-(EDATE($J28,((YEAR(Lists!D$21)-YEAR($J28))*12+MONTH(Lists!D$21)-MONTH($J28)))&gt;Lists!D$21)+1)))-MIN(MAX(0,$H28),N($K28)*IF(Lists!D$22&lt;$J28,0,(((YEAR(Lists!D$22)-YEAR($J28))*12+MONTH(Lists!D$22)-MONTH($J28))-(EDATE($J28,((YEAR(Lists!D$22)-YEAR($J28))*12+MONTH(Lists!D$22)-MONTH($J28)))&gt;Lists!D$22)+1)))),N($C28)*IF($AE28-$AD28&lt;1,($AD28&gt;Lists!D$22)*($AD28&lt;=Lists!D$21),MAX(0,MIN(Lists!D$21,$AE28)-MAX(Lists!D$22,$AD28))/($AE28-$AD28))+N($D28)*IF($AG28-$AF28&lt;1,($AF28&gt;Lists!D$22)*($AF28&lt;=Lists!D$21),MAX(0,MIN(Lists!D$21,$AG28)-MAX(Lists!D$22,$AF28))/($AG28-$AF28))+N($E28)*IF($AI28-$AH28&lt;1,($AH28&gt;Lists!D$22)*($AH28&lt;=Lists!D$21),MAX(0,MIN(Lists!D$21,$AI28)-MAX(Lists!D$22,$AH28))/($AI28-$AH28))+N($F28)*IF($AK28-$AJ28&lt;1,($AJ28&gt;Lists!D$22)*($AJ28&lt;=Lists!D$21),MAX(0,MIN(Lists!D$21,$AK28)-MAX(Lists!D$22,$AJ28))/($AK28-$AJ28))+N($G28)*IF($AM28-$AL28&lt;1,($AL28&gt;Lists!D$22)*($AL28&lt;=Lists!D$21),MAX(0,MIN(Lists!D$21,$AM28)-MAX(Lists!D$22,$AL28))/($AM28-$AL28))))))))</f>
        <v>0</v>
      </c>
      <c r="O28" s="53" t="n">
        <f aca="false">IF($H28=0,0,IF($AP28="X",0,IF($AP28="S",$H28/$AO28*(MIN($AO28,MAX(0,INT((Lists!E$21-N($J28))/7)+1))-MIN($AO28,MAX(0,INT((Lists!E$22-N($J28))/7)+1))),IF($AP28="D",$H28*MAX(0,MIN(Lists!E$21,N($J28)+$AO28)-MAX(Lists!E$22,N($J28)))/$AO28,IF($AP28="M",$H28/$AO28*(IF(Lists!E$21&lt;$J28,0,MIN($AO28,(((YEAR(Lists!E$21)-YEAR($J28))*12+MONTH(Lists!E$21)-MONTH($J28))-(EDATE($J28,((YEAR(Lists!E$21)-YEAR($J28))*12+MONTH(Lists!E$21)-MONTH($J28)))&gt;Lists!E$21)+1)))-IF(Lists!E$22&lt;$J28,0,MIN($AO28,(((YEAR(Lists!E$22)-YEAR($J28))*12+MONTH(Lists!E$22)-MONTH($J28))-(EDATE($J28,((YEAR(Lists!E$22)-YEAR($J28))*12+MONTH(Lists!E$22)-MONTH($J28)))&gt;Lists!E$22)+1)))),IF($AP28="F",IF(N($K28)&lt;=0,0,MIN(MAX(0,$H28),N($K28)*IF(Lists!E$21&lt;$J28,0,(((YEAR(Lists!E$21)-YEAR($J28))*12+MONTH(Lists!E$21)-MONTH($J28))-(EDATE($J28,((YEAR(Lists!E$21)-YEAR($J28))*12+MONTH(Lists!E$21)-MONTH($J28)))&gt;Lists!E$21)+1)))-MIN(MAX(0,$H28),N($K28)*IF(Lists!E$22&lt;$J28,0,(((YEAR(Lists!E$22)-YEAR($J28))*12+MONTH(Lists!E$22)-MONTH($J28))-(EDATE($J28,((YEAR(Lists!E$22)-YEAR($J28))*12+MONTH(Lists!E$22)-MONTH($J28)))&gt;Lists!E$22)+1)))),N($C28)*IF($AE28-$AD28&lt;1,($AD28&gt;Lists!E$22)*($AD28&lt;=Lists!E$21),MAX(0,MIN(Lists!E$21,$AE28)-MAX(Lists!E$22,$AD28))/($AE28-$AD28))+N($D28)*IF($AG28-$AF28&lt;1,($AF28&gt;Lists!E$22)*($AF28&lt;=Lists!E$21),MAX(0,MIN(Lists!E$21,$AG28)-MAX(Lists!E$22,$AF28))/($AG28-$AF28))+N($E28)*IF($AI28-$AH28&lt;1,($AH28&gt;Lists!E$22)*($AH28&lt;=Lists!E$21),MAX(0,MIN(Lists!E$21,$AI28)-MAX(Lists!E$22,$AH28))/($AI28-$AH28))+N($F28)*IF($AK28-$AJ28&lt;1,($AJ28&gt;Lists!E$22)*($AJ28&lt;=Lists!E$21),MAX(0,MIN(Lists!E$21,$AK28)-MAX(Lists!E$22,$AJ28))/($AK28-$AJ28))+N($G28)*IF($AM28-$AL28&lt;1,($AL28&gt;Lists!E$22)*($AL28&lt;=Lists!E$21),MAX(0,MIN(Lists!E$21,$AM28)-MAX(Lists!E$22,$AL28))/($AM28-$AL28))))))))</f>
        <v>0</v>
      </c>
      <c r="P28" s="53" t="n">
        <f aca="false">IF($H28=0,0,IF($AP28="X",0,IF($AP28="S",$H28/$AO28*(MIN($AO28,MAX(0,INT((Lists!F$21-N($J28))/7)+1))-MIN($AO28,MAX(0,INT((Lists!F$22-N($J28))/7)+1))),IF($AP28="D",$H28*MAX(0,MIN(Lists!F$21,N($J28)+$AO28)-MAX(Lists!F$22,N($J28)))/$AO28,IF($AP28="M",$H28/$AO28*(IF(Lists!F$21&lt;$J28,0,MIN($AO28,(((YEAR(Lists!F$21)-YEAR($J28))*12+MONTH(Lists!F$21)-MONTH($J28))-(EDATE($J28,((YEAR(Lists!F$21)-YEAR($J28))*12+MONTH(Lists!F$21)-MONTH($J28)))&gt;Lists!F$21)+1)))-IF(Lists!F$22&lt;$J28,0,MIN($AO28,(((YEAR(Lists!F$22)-YEAR($J28))*12+MONTH(Lists!F$22)-MONTH($J28))-(EDATE($J28,((YEAR(Lists!F$22)-YEAR($J28))*12+MONTH(Lists!F$22)-MONTH($J28)))&gt;Lists!F$22)+1)))),IF($AP28="F",IF(N($K28)&lt;=0,0,MIN(MAX(0,$H28),N($K28)*IF(Lists!F$21&lt;$J28,0,(((YEAR(Lists!F$21)-YEAR($J28))*12+MONTH(Lists!F$21)-MONTH($J28))-(EDATE($J28,((YEAR(Lists!F$21)-YEAR($J28))*12+MONTH(Lists!F$21)-MONTH($J28)))&gt;Lists!F$21)+1)))-MIN(MAX(0,$H28),N($K28)*IF(Lists!F$22&lt;$J28,0,(((YEAR(Lists!F$22)-YEAR($J28))*12+MONTH(Lists!F$22)-MONTH($J28))-(EDATE($J28,((YEAR(Lists!F$22)-YEAR($J28))*12+MONTH(Lists!F$22)-MONTH($J28)))&gt;Lists!F$22)+1)))),N($C28)*IF($AE28-$AD28&lt;1,($AD28&gt;Lists!F$22)*($AD28&lt;=Lists!F$21),MAX(0,MIN(Lists!F$21,$AE28)-MAX(Lists!F$22,$AD28))/($AE28-$AD28))+N($D28)*IF($AG28-$AF28&lt;1,($AF28&gt;Lists!F$22)*($AF28&lt;=Lists!F$21),MAX(0,MIN(Lists!F$21,$AG28)-MAX(Lists!F$22,$AF28))/($AG28-$AF28))+N($E28)*IF($AI28-$AH28&lt;1,($AH28&gt;Lists!F$22)*($AH28&lt;=Lists!F$21),MAX(0,MIN(Lists!F$21,$AI28)-MAX(Lists!F$22,$AH28))/($AI28-$AH28))+N($F28)*IF($AK28-$AJ28&lt;1,($AJ28&gt;Lists!F$22)*($AJ28&lt;=Lists!F$21),MAX(0,MIN(Lists!F$21,$AK28)-MAX(Lists!F$22,$AJ28))/($AK28-$AJ28))+N($G28)*IF($AM28-$AL28&lt;1,($AL28&gt;Lists!F$22)*($AL28&lt;=Lists!F$21),MAX(0,MIN(Lists!F$21,$AM28)-MAX(Lists!F$22,$AL28))/($AM28-$AL28))))))))</f>
        <v>0</v>
      </c>
      <c r="Q28" s="53" t="n">
        <f aca="false">IF($H28=0,0,IF($AP28="X",0,IF($AP28="S",$H28/$AO28*(MIN($AO28,MAX(0,INT((Lists!G$21-N($J28))/7)+1))-MIN($AO28,MAX(0,INT((Lists!G$22-N($J28))/7)+1))),IF($AP28="D",$H28*MAX(0,MIN(Lists!G$21,N($J28)+$AO28)-MAX(Lists!G$22,N($J28)))/$AO28,IF($AP28="M",$H28/$AO28*(IF(Lists!G$21&lt;$J28,0,MIN($AO28,(((YEAR(Lists!G$21)-YEAR($J28))*12+MONTH(Lists!G$21)-MONTH($J28))-(EDATE($J28,((YEAR(Lists!G$21)-YEAR($J28))*12+MONTH(Lists!G$21)-MONTH($J28)))&gt;Lists!G$21)+1)))-IF(Lists!G$22&lt;$J28,0,MIN($AO28,(((YEAR(Lists!G$22)-YEAR($J28))*12+MONTH(Lists!G$22)-MONTH($J28))-(EDATE($J28,((YEAR(Lists!G$22)-YEAR($J28))*12+MONTH(Lists!G$22)-MONTH($J28)))&gt;Lists!G$22)+1)))),IF($AP28="F",IF(N($K28)&lt;=0,0,MIN(MAX(0,$H28),N($K28)*IF(Lists!G$21&lt;$J28,0,(((YEAR(Lists!G$21)-YEAR($J28))*12+MONTH(Lists!G$21)-MONTH($J28))-(EDATE($J28,((YEAR(Lists!G$21)-YEAR($J28))*12+MONTH(Lists!G$21)-MONTH($J28)))&gt;Lists!G$21)+1)))-MIN(MAX(0,$H28),N($K28)*IF(Lists!G$22&lt;$J28,0,(((YEAR(Lists!G$22)-YEAR($J28))*12+MONTH(Lists!G$22)-MONTH($J28))-(EDATE($J28,((YEAR(Lists!G$22)-YEAR($J28))*12+MONTH(Lists!G$22)-MONTH($J28)))&gt;Lists!G$22)+1)))),N($C28)*IF($AE28-$AD28&lt;1,($AD28&gt;Lists!G$22)*($AD28&lt;=Lists!G$21),MAX(0,MIN(Lists!G$21,$AE28)-MAX(Lists!G$22,$AD28))/($AE28-$AD28))+N($D28)*IF($AG28-$AF28&lt;1,($AF28&gt;Lists!G$22)*($AF28&lt;=Lists!G$21),MAX(0,MIN(Lists!G$21,$AG28)-MAX(Lists!G$22,$AF28))/($AG28-$AF28))+N($E28)*IF($AI28-$AH28&lt;1,($AH28&gt;Lists!G$22)*($AH28&lt;=Lists!G$21),MAX(0,MIN(Lists!G$21,$AI28)-MAX(Lists!G$22,$AH28))/($AI28-$AH28))+N($F28)*IF($AK28-$AJ28&lt;1,($AJ28&gt;Lists!G$22)*($AJ28&lt;=Lists!G$21),MAX(0,MIN(Lists!G$21,$AK28)-MAX(Lists!G$22,$AJ28))/($AK28-$AJ28))+N($G28)*IF($AM28-$AL28&lt;1,($AL28&gt;Lists!G$22)*($AL28&lt;=Lists!G$21),MAX(0,MIN(Lists!G$21,$AM28)-MAX(Lists!G$22,$AL28))/($AM28-$AL28))))))))</f>
        <v>0</v>
      </c>
      <c r="R28" s="53" t="n">
        <f aca="false">IF($H28=0,0,IF($AP28="X",0,IF($AP28="S",$H28/$AO28*(MIN($AO28,MAX(0,INT((Lists!H$21-N($J28))/7)+1))-MIN($AO28,MAX(0,INT((Lists!H$22-N($J28))/7)+1))),IF($AP28="D",$H28*MAX(0,MIN(Lists!H$21,N($J28)+$AO28)-MAX(Lists!H$22,N($J28)))/$AO28,IF($AP28="M",$H28/$AO28*(IF(Lists!H$21&lt;$J28,0,MIN($AO28,(((YEAR(Lists!H$21)-YEAR($J28))*12+MONTH(Lists!H$21)-MONTH($J28))-(EDATE($J28,((YEAR(Lists!H$21)-YEAR($J28))*12+MONTH(Lists!H$21)-MONTH($J28)))&gt;Lists!H$21)+1)))-IF(Lists!H$22&lt;$J28,0,MIN($AO28,(((YEAR(Lists!H$22)-YEAR($J28))*12+MONTH(Lists!H$22)-MONTH($J28))-(EDATE($J28,((YEAR(Lists!H$22)-YEAR($J28))*12+MONTH(Lists!H$22)-MONTH($J28)))&gt;Lists!H$22)+1)))),IF($AP28="F",IF(N($K28)&lt;=0,0,MIN(MAX(0,$H28),N($K28)*IF(Lists!H$21&lt;$J28,0,(((YEAR(Lists!H$21)-YEAR($J28))*12+MONTH(Lists!H$21)-MONTH($J28))-(EDATE($J28,((YEAR(Lists!H$21)-YEAR($J28))*12+MONTH(Lists!H$21)-MONTH($J28)))&gt;Lists!H$21)+1)))-MIN(MAX(0,$H28),N($K28)*IF(Lists!H$22&lt;$J28,0,(((YEAR(Lists!H$22)-YEAR($J28))*12+MONTH(Lists!H$22)-MONTH($J28))-(EDATE($J28,((YEAR(Lists!H$22)-YEAR($J28))*12+MONTH(Lists!H$22)-MONTH($J28)))&gt;Lists!H$22)+1)))),N($C28)*IF($AE28-$AD28&lt;1,($AD28&gt;Lists!H$22)*($AD28&lt;=Lists!H$21),MAX(0,MIN(Lists!H$21,$AE28)-MAX(Lists!H$22,$AD28))/($AE28-$AD28))+N($D28)*IF($AG28-$AF28&lt;1,($AF28&gt;Lists!H$22)*($AF28&lt;=Lists!H$21),MAX(0,MIN(Lists!H$21,$AG28)-MAX(Lists!H$22,$AF28))/($AG28-$AF28))+N($E28)*IF($AI28-$AH28&lt;1,($AH28&gt;Lists!H$22)*($AH28&lt;=Lists!H$21),MAX(0,MIN(Lists!H$21,$AI28)-MAX(Lists!H$22,$AH28))/($AI28-$AH28))+N($F28)*IF($AK28-$AJ28&lt;1,($AJ28&gt;Lists!H$22)*($AJ28&lt;=Lists!H$21),MAX(0,MIN(Lists!H$21,$AK28)-MAX(Lists!H$22,$AJ28))/($AK28-$AJ28))+N($G28)*IF($AM28-$AL28&lt;1,($AL28&gt;Lists!H$22)*($AL28&lt;=Lists!H$21),MAX(0,MIN(Lists!H$21,$AM28)-MAX(Lists!H$22,$AL28))/($AM28-$AL28))))))))</f>
        <v>0</v>
      </c>
      <c r="S28" s="53" t="n">
        <f aca="false">IF($H28=0,0,IF($AP28="X",0,IF($AP28="S",$H28/$AO28*(MIN($AO28,MAX(0,INT((Lists!I$21-N($J28))/7)+1))-MIN($AO28,MAX(0,INT((Lists!I$22-N($J28))/7)+1))),IF($AP28="D",$H28*MAX(0,MIN(Lists!I$21,N($J28)+$AO28)-MAX(Lists!I$22,N($J28)))/$AO28,IF($AP28="M",$H28/$AO28*(IF(Lists!I$21&lt;$J28,0,MIN($AO28,(((YEAR(Lists!I$21)-YEAR($J28))*12+MONTH(Lists!I$21)-MONTH($J28))-(EDATE($J28,((YEAR(Lists!I$21)-YEAR($J28))*12+MONTH(Lists!I$21)-MONTH($J28)))&gt;Lists!I$21)+1)))-IF(Lists!I$22&lt;$J28,0,MIN($AO28,(((YEAR(Lists!I$22)-YEAR($J28))*12+MONTH(Lists!I$22)-MONTH($J28))-(EDATE($J28,((YEAR(Lists!I$22)-YEAR($J28))*12+MONTH(Lists!I$22)-MONTH($J28)))&gt;Lists!I$22)+1)))),IF($AP28="F",IF(N($K28)&lt;=0,0,MIN(MAX(0,$H28),N($K28)*IF(Lists!I$21&lt;$J28,0,(((YEAR(Lists!I$21)-YEAR($J28))*12+MONTH(Lists!I$21)-MONTH($J28))-(EDATE($J28,((YEAR(Lists!I$21)-YEAR($J28))*12+MONTH(Lists!I$21)-MONTH($J28)))&gt;Lists!I$21)+1)))-MIN(MAX(0,$H28),N($K28)*IF(Lists!I$22&lt;$J28,0,(((YEAR(Lists!I$22)-YEAR($J28))*12+MONTH(Lists!I$22)-MONTH($J28))-(EDATE($J28,((YEAR(Lists!I$22)-YEAR($J28))*12+MONTH(Lists!I$22)-MONTH($J28)))&gt;Lists!I$22)+1)))),N($C28)*IF($AE28-$AD28&lt;1,($AD28&gt;Lists!I$22)*($AD28&lt;=Lists!I$21),MAX(0,MIN(Lists!I$21,$AE28)-MAX(Lists!I$22,$AD28))/($AE28-$AD28))+N($D28)*IF($AG28-$AF28&lt;1,($AF28&gt;Lists!I$22)*($AF28&lt;=Lists!I$21),MAX(0,MIN(Lists!I$21,$AG28)-MAX(Lists!I$22,$AF28))/($AG28-$AF28))+N($E28)*IF($AI28-$AH28&lt;1,($AH28&gt;Lists!I$22)*($AH28&lt;=Lists!I$21),MAX(0,MIN(Lists!I$21,$AI28)-MAX(Lists!I$22,$AH28))/($AI28-$AH28))+N($F28)*IF($AK28-$AJ28&lt;1,($AJ28&gt;Lists!I$22)*($AJ28&lt;=Lists!I$21),MAX(0,MIN(Lists!I$21,$AK28)-MAX(Lists!I$22,$AJ28))/($AK28-$AJ28))+N($G28)*IF($AM28-$AL28&lt;1,($AL28&gt;Lists!I$22)*($AL28&lt;=Lists!I$21),MAX(0,MIN(Lists!I$21,$AM28)-MAX(Lists!I$22,$AL28))/($AM28-$AL28))))))))</f>
        <v>0</v>
      </c>
      <c r="T28" s="53" t="n">
        <f aca="false">IF($H28=0,0,IF($AP28="X",0,IF($AP28="S",$H28/$AO28*(MIN($AO28,MAX(0,INT((Lists!J$21-N($J28))/7)+1))-MIN($AO28,MAX(0,INT((Lists!J$22-N($J28))/7)+1))),IF($AP28="D",$H28*MAX(0,MIN(Lists!J$21,N($J28)+$AO28)-MAX(Lists!J$22,N($J28)))/$AO28,IF($AP28="M",$H28/$AO28*(IF(Lists!J$21&lt;$J28,0,MIN($AO28,(((YEAR(Lists!J$21)-YEAR($J28))*12+MONTH(Lists!J$21)-MONTH($J28))-(EDATE($J28,((YEAR(Lists!J$21)-YEAR($J28))*12+MONTH(Lists!J$21)-MONTH($J28)))&gt;Lists!J$21)+1)))-IF(Lists!J$22&lt;$J28,0,MIN($AO28,(((YEAR(Lists!J$22)-YEAR($J28))*12+MONTH(Lists!J$22)-MONTH($J28))-(EDATE($J28,((YEAR(Lists!J$22)-YEAR($J28))*12+MONTH(Lists!J$22)-MONTH($J28)))&gt;Lists!J$22)+1)))),IF($AP28="F",IF(N($K28)&lt;=0,0,MIN(MAX(0,$H28),N($K28)*IF(Lists!J$21&lt;$J28,0,(((YEAR(Lists!J$21)-YEAR($J28))*12+MONTH(Lists!J$21)-MONTH($J28))-(EDATE($J28,((YEAR(Lists!J$21)-YEAR($J28))*12+MONTH(Lists!J$21)-MONTH($J28)))&gt;Lists!J$21)+1)))-MIN(MAX(0,$H28),N($K28)*IF(Lists!J$22&lt;$J28,0,(((YEAR(Lists!J$22)-YEAR($J28))*12+MONTH(Lists!J$22)-MONTH($J28))-(EDATE($J28,((YEAR(Lists!J$22)-YEAR($J28))*12+MONTH(Lists!J$22)-MONTH($J28)))&gt;Lists!J$22)+1)))),N($C28)*IF($AE28-$AD28&lt;1,($AD28&gt;Lists!J$22)*($AD28&lt;=Lists!J$21),MAX(0,MIN(Lists!J$21,$AE28)-MAX(Lists!J$22,$AD28))/($AE28-$AD28))+N($D28)*IF($AG28-$AF28&lt;1,($AF28&gt;Lists!J$22)*($AF28&lt;=Lists!J$21),MAX(0,MIN(Lists!J$21,$AG28)-MAX(Lists!J$22,$AF28))/($AG28-$AF28))+N($E28)*IF($AI28-$AH28&lt;1,($AH28&gt;Lists!J$22)*($AH28&lt;=Lists!J$21),MAX(0,MIN(Lists!J$21,$AI28)-MAX(Lists!J$22,$AH28))/($AI28-$AH28))+N($F28)*IF($AK28-$AJ28&lt;1,($AJ28&gt;Lists!J$22)*($AJ28&lt;=Lists!J$21),MAX(0,MIN(Lists!J$21,$AK28)-MAX(Lists!J$22,$AJ28))/($AK28-$AJ28))+N($G28)*IF($AM28-$AL28&lt;1,($AL28&gt;Lists!J$22)*($AL28&lt;=Lists!J$21),MAX(0,MIN(Lists!J$21,$AM28)-MAX(Lists!J$22,$AL28))/($AM28-$AL28))))))))</f>
        <v>0</v>
      </c>
      <c r="U28" s="53" t="n">
        <f aca="false">IF($H28=0,0,IF($AP28="X",0,IF($AP28="S",$H28/$AO28*(MIN($AO28,MAX(0,INT((Lists!K$21-N($J28))/7)+1))-MIN($AO28,MAX(0,INT((Lists!K$22-N($J28))/7)+1))),IF($AP28="D",$H28*MAX(0,MIN(Lists!K$21,N($J28)+$AO28)-MAX(Lists!K$22,N($J28)))/$AO28,IF($AP28="M",$H28/$AO28*(IF(Lists!K$21&lt;$J28,0,MIN($AO28,(((YEAR(Lists!K$21)-YEAR($J28))*12+MONTH(Lists!K$21)-MONTH($J28))-(EDATE($J28,((YEAR(Lists!K$21)-YEAR($J28))*12+MONTH(Lists!K$21)-MONTH($J28)))&gt;Lists!K$21)+1)))-IF(Lists!K$22&lt;$J28,0,MIN($AO28,(((YEAR(Lists!K$22)-YEAR($J28))*12+MONTH(Lists!K$22)-MONTH($J28))-(EDATE($J28,((YEAR(Lists!K$22)-YEAR($J28))*12+MONTH(Lists!K$22)-MONTH($J28)))&gt;Lists!K$22)+1)))),IF($AP28="F",IF(N($K28)&lt;=0,0,MIN(MAX(0,$H28),N($K28)*IF(Lists!K$21&lt;$J28,0,(((YEAR(Lists!K$21)-YEAR($J28))*12+MONTH(Lists!K$21)-MONTH($J28))-(EDATE($J28,((YEAR(Lists!K$21)-YEAR($J28))*12+MONTH(Lists!K$21)-MONTH($J28)))&gt;Lists!K$21)+1)))-MIN(MAX(0,$H28),N($K28)*IF(Lists!K$22&lt;$J28,0,(((YEAR(Lists!K$22)-YEAR($J28))*12+MONTH(Lists!K$22)-MONTH($J28))-(EDATE($J28,((YEAR(Lists!K$22)-YEAR($J28))*12+MONTH(Lists!K$22)-MONTH($J28)))&gt;Lists!K$22)+1)))),N($C28)*IF($AE28-$AD28&lt;1,($AD28&gt;Lists!K$22)*($AD28&lt;=Lists!K$21),MAX(0,MIN(Lists!K$21,$AE28)-MAX(Lists!K$22,$AD28))/($AE28-$AD28))+N($D28)*IF($AG28-$AF28&lt;1,($AF28&gt;Lists!K$22)*($AF28&lt;=Lists!K$21),MAX(0,MIN(Lists!K$21,$AG28)-MAX(Lists!K$22,$AF28))/($AG28-$AF28))+N($E28)*IF($AI28-$AH28&lt;1,($AH28&gt;Lists!K$22)*($AH28&lt;=Lists!K$21),MAX(0,MIN(Lists!K$21,$AI28)-MAX(Lists!K$22,$AH28))/($AI28-$AH28))+N($F28)*IF($AK28-$AJ28&lt;1,($AJ28&gt;Lists!K$22)*($AJ28&lt;=Lists!K$21),MAX(0,MIN(Lists!K$21,$AK28)-MAX(Lists!K$22,$AJ28))/($AK28-$AJ28))+N($G28)*IF($AM28-$AL28&lt;1,($AL28&gt;Lists!K$22)*($AL28&lt;=Lists!K$21),MAX(0,MIN(Lists!K$21,$AM28)-MAX(Lists!K$22,$AL28))/($AM28-$AL28))))))))</f>
        <v>0</v>
      </c>
      <c r="V28" s="53" t="n">
        <f aca="false">IF($H28=0,0,IF($AP28="X",0,IF($AP28="S",$H28/$AO28*(MIN($AO28,MAX(0,INT((Lists!L$21-N($J28))/7)+1))-MIN($AO28,MAX(0,INT((Lists!L$22-N($J28))/7)+1))),IF($AP28="D",$H28*MAX(0,MIN(Lists!L$21,N($J28)+$AO28)-MAX(Lists!L$22,N($J28)))/$AO28,IF($AP28="M",$H28/$AO28*(IF(Lists!L$21&lt;$J28,0,MIN($AO28,(((YEAR(Lists!L$21)-YEAR($J28))*12+MONTH(Lists!L$21)-MONTH($J28))-(EDATE($J28,((YEAR(Lists!L$21)-YEAR($J28))*12+MONTH(Lists!L$21)-MONTH($J28)))&gt;Lists!L$21)+1)))-IF(Lists!L$22&lt;$J28,0,MIN($AO28,(((YEAR(Lists!L$22)-YEAR($J28))*12+MONTH(Lists!L$22)-MONTH($J28))-(EDATE($J28,((YEAR(Lists!L$22)-YEAR($J28))*12+MONTH(Lists!L$22)-MONTH($J28)))&gt;Lists!L$22)+1)))),IF($AP28="F",IF(N($K28)&lt;=0,0,MIN(MAX(0,$H28),N($K28)*IF(Lists!L$21&lt;$J28,0,(((YEAR(Lists!L$21)-YEAR($J28))*12+MONTH(Lists!L$21)-MONTH($J28))-(EDATE($J28,((YEAR(Lists!L$21)-YEAR($J28))*12+MONTH(Lists!L$21)-MONTH($J28)))&gt;Lists!L$21)+1)))-MIN(MAX(0,$H28),N($K28)*IF(Lists!L$22&lt;$J28,0,(((YEAR(Lists!L$22)-YEAR($J28))*12+MONTH(Lists!L$22)-MONTH($J28))-(EDATE($J28,((YEAR(Lists!L$22)-YEAR($J28))*12+MONTH(Lists!L$22)-MONTH($J28)))&gt;Lists!L$22)+1)))),N($C28)*IF($AE28-$AD28&lt;1,($AD28&gt;Lists!L$22)*($AD28&lt;=Lists!L$21),MAX(0,MIN(Lists!L$21,$AE28)-MAX(Lists!L$22,$AD28))/($AE28-$AD28))+N($D28)*IF($AG28-$AF28&lt;1,($AF28&gt;Lists!L$22)*($AF28&lt;=Lists!L$21),MAX(0,MIN(Lists!L$21,$AG28)-MAX(Lists!L$22,$AF28))/($AG28-$AF28))+N($E28)*IF($AI28-$AH28&lt;1,($AH28&gt;Lists!L$22)*($AH28&lt;=Lists!L$21),MAX(0,MIN(Lists!L$21,$AI28)-MAX(Lists!L$22,$AH28))/($AI28-$AH28))+N($F28)*IF($AK28-$AJ28&lt;1,($AJ28&gt;Lists!L$22)*($AJ28&lt;=Lists!L$21),MAX(0,MIN(Lists!L$21,$AK28)-MAX(Lists!L$22,$AJ28))/($AK28-$AJ28))+N($G28)*IF($AM28-$AL28&lt;1,($AL28&gt;Lists!L$22)*($AL28&lt;=Lists!L$21),MAX(0,MIN(Lists!L$21,$AM28)-MAX(Lists!L$22,$AL28))/($AM28-$AL28))))))))</f>
        <v>0</v>
      </c>
      <c r="W28" s="53" t="n">
        <f aca="false">IF($H28=0,0,IF($AP28="X",0,IF($AP28="S",$H28/$AO28*(MIN($AO28,MAX(0,INT((Lists!M$21-N($J28))/7)+1))-MIN($AO28,MAX(0,INT((Lists!M$22-N($J28))/7)+1))),IF($AP28="D",$H28*MAX(0,MIN(Lists!M$21,N($J28)+$AO28)-MAX(Lists!M$22,N($J28)))/$AO28,IF($AP28="M",$H28/$AO28*(IF(Lists!M$21&lt;$J28,0,MIN($AO28,(((YEAR(Lists!M$21)-YEAR($J28))*12+MONTH(Lists!M$21)-MONTH($J28))-(EDATE($J28,((YEAR(Lists!M$21)-YEAR($J28))*12+MONTH(Lists!M$21)-MONTH($J28)))&gt;Lists!M$21)+1)))-IF(Lists!M$22&lt;$J28,0,MIN($AO28,(((YEAR(Lists!M$22)-YEAR($J28))*12+MONTH(Lists!M$22)-MONTH($J28))-(EDATE($J28,((YEAR(Lists!M$22)-YEAR($J28))*12+MONTH(Lists!M$22)-MONTH($J28)))&gt;Lists!M$22)+1)))),IF($AP28="F",IF(N($K28)&lt;=0,0,MIN(MAX(0,$H28),N($K28)*IF(Lists!M$21&lt;$J28,0,(((YEAR(Lists!M$21)-YEAR($J28))*12+MONTH(Lists!M$21)-MONTH($J28))-(EDATE($J28,((YEAR(Lists!M$21)-YEAR($J28))*12+MONTH(Lists!M$21)-MONTH($J28)))&gt;Lists!M$21)+1)))-MIN(MAX(0,$H28),N($K28)*IF(Lists!M$22&lt;$J28,0,(((YEAR(Lists!M$22)-YEAR($J28))*12+MONTH(Lists!M$22)-MONTH($J28))-(EDATE($J28,((YEAR(Lists!M$22)-YEAR($J28))*12+MONTH(Lists!M$22)-MONTH($J28)))&gt;Lists!M$22)+1)))),N($C28)*IF($AE28-$AD28&lt;1,($AD28&gt;Lists!M$22)*($AD28&lt;=Lists!M$21),MAX(0,MIN(Lists!M$21,$AE28)-MAX(Lists!M$22,$AD28))/($AE28-$AD28))+N($D28)*IF($AG28-$AF28&lt;1,($AF28&gt;Lists!M$22)*($AF28&lt;=Lists!M$21),MAX(0,MIN(Lists!M$21,$AG28)-MAX(Lists!M$22,$AF28))/($AG28-$AF28))+N($E28)*IF($AI28-$AH28&lt;1,($AH28&gt;Lists!M$22)*($AH28&lt;=Lists!M$21),MAX(0,MIN(Lists!M$21,$AI28)-MAX(Lists!M$22,$AH28))/($AI28-$AH28))+N($F28)*IF($AK28-$AJ28&lt;1,($AJ28&gt;Lists!M$22)*($AJ28&lt;=Lists!M$21),MAX(0,MIN(Lists!M$21,$AK28)-MAX(Lists!M$22,$AJ28))/($AK28-$AJ28))+N($G28)*IF($AM28-$AL28&lt;1,($AL28&gt;Lists!M$22)*($AL28&lt;=Lists!M$21),MAX(0,MIN(Lists!M$21,$AM28)-MAX(Lists!M$22,$AL28))/($AM28-$AL28))))))))</f>
        <v>0</v>
      </c>
      <c r="X28" s="53" t="n">
        <f aca="false">IF($H28=0,0,IF($AP28="X",0,IF($AP28="S",$H28/$AO28*(MIN($AO28,MAX(0,INT((Lists!N$21-N($J28))/7)+1))-MIN($AO28,MAX(0,INT((Lists!N$22-N($J28))/7)+1))),IF($AP28="D",$H28*MAX(0,MIN(Lists!N$21,N($J28)+$AO28)-MAX(Lists!N$22,N($J28)))/$AO28,IF($AP28="M",$H28/$AO28*(IF(Lists!N$21&lt;$J28,0,MIN($AO28,(((YEAR(Lists!N$21)-YEAR($J28))*12+MONTH(Lists!N$21)-MONTH($J28))-(EDATE($J28,((YEAR(Lists!N$21)-YEAR($J28))*12+MONTH(Lists!N$21)-MONTH($J28)))&gt;Lists!N$21)+1)))-IF(Lists!N$22&lt;$J28,0,MIN($AO28,(((YEAR(Lists!N$22)-YEAR($J28))*12+MONTH(Lists!N$22)-MONTH($J28))-(EDATE($J28,((YEAR(Lists!N$22)-YEAR($J28))*12+MONTH(Lists!N$22)-MONTH($J28)))&gt;Lists!N$22)+1)))),IF($AP28="F",IF(N($K28)&lt;=0,0,MIN(MAX(0,$H28),N($K28)*IF(Lists!N$21&lt;$J28,0,(((YEAR(Lists!N$21)-YEAR($J28))*12+MONTH(Lists!N$21)-MONTH($J28))-(EDATE($J28,((YEAR(Lists!N$21)-YEAR($J28))*12+MONTH(Lists!N$21)-MONTH($J28)))&gt;Lists!N$21)+1)))-MIN(MAX(0,$H28),N($K28)*IF(Lists!N$22&lt;$J28,0,(((YEAR(Lists!N$22)-YEAR($J28))*12+MONTH(Lists!N$22)-MONTH($J28))-(EDATE($J28,((YEAR(Lists!N$22)-YEAR($J28))*12+MONTH(Lists!N$22)-MONTH($J28)))&gt;Lists!N$22)+1)))),N($C28)*IF($AE28-$AD28&lt;1,($AD28&gt;Lists!N$22)*($AD28&lt;=Lists!N$21),MAX(0,MIN(Lists!N$21,$AE28)-MAX(Lists!N$22,$AD28))/($AE28-$AD28))+N($D28)*IF($AG28-$AF28&lt;1,($AF28&gt;Lists!N$22)*($AF28&lt;=Lists!N$21),MAX(0,MIN(Lists!N$21,$AG28)-MAX(Lists!N$22,$AF28))/($AG28-$AF28))+N($E28)*IF($AI28-$AH28&lt;1,($AH28&gt;Lists!N$22)*($AH28&lt;=Lists!N$21),MAX(0,MIN(Lists!N$21,$AI28)-MAX(Lists!N$22,$AH28))/($AI28-$AH28))+N($F28)*IF($AK28-$AJ28&lt;1,($AJ28&gt;Lists!N$22)*($AJ28&lt;=Lists!N$21),MAX(0,MIN(Lists!N$21,$AK28)-MAX(Lists!N$22,$AJ28))/($AK28-$AJ28))+N($G28)*IF($AM28-$AL28&lt;1,($AL28&gt;Lists!N$22)*($AL28&lt;=Lists!N$21),MAX(0,MIN(Lists!N$21,$AM28)-MAX(Lists!N$22,$AL28))/($AM28-$AL28))))))))</f>
        <v>0</v>
      </c>
      <c r="Y28" s="53" t="n">
        <f aca="false">IF($H28=0,0,IF($AP28="X",0,IF($AP28="S",$H28/$AO28*(MIN($AO28,MAX(0,INT((Lists!O$21-N($J28))/7)+1))-MIN($AO28,MAX(0,INT((Lists!O$22-N($J28))/7)+1))),IF($AP28="D",$H28*MAX(0,MIN(Lists!O$21,N($J28)+$AO28)-MAX(Lists!O$22,N($J28)))/$AO28,IF($AP28="M",$H28/$AO28*(IF(Lists!O$21&lt;$J28,0,MIN($AO28,(((YEAR(Lists!O$21)-YEAR($J28))*12+MONTH(Lists!O$21)-MONTH($J28))-(EDATE($J28,((YEAR(Lists!O$21)-YEAR($J28))*12+MONTH(Lists!O$21)-MONTH($J28)))&gt;Lists!O$21)+1)))-IF(Lists!O$22&lt;$J28,0,MIN($AO28,(((YEAR(Lists!O$22)-YEAR($J28))*12+MONTH(Lists!O$22)-MONTH($J28))-(EDATE($J28,((YEAR(Lists!O$22)-YEAR($J28))*12+MONTH(Lists!O$22)-MONTH($J28)))&gt;Lists!O$22)+1)))),IF($AP28="F",IF(N($K28)&lt;=0,0,MIN(MAX(0,$H28),N($K28)*IF(Lists!O$21&lt;$J28,0,(((YEAR(Lists!O$21)-YEAR($J28))*12+MONTH(Lists!O$21)-MONTH($J28))-(EDATE($J28,((YEAR(Lists!O$21)-YEAR($J28))*12+MONTH(Lists!O$21)-MONTH($J28)))&gt;Lists!O$21)+1)))-MIN(MAX(0,$H28),N($K28)*IF(Lists!O$22&lt;$J28,0,(((YEAR(Lists!O$22)-YEAR($J28))*12+MONTH(Lists!O$22)-MONTH($J28))-(EDATE($J28,((YEAR(Lists!O$22)-YEAR($J28))*12+MONTH(Lists!O$22)-MONTH($J28)))&gt;Lists!O$22)+1)))),N($C28)*IF($AE28-$AD28&lt;1,($AD28&gt;Lists!O$22)*($AD28&lt;=Lists!O$21),MAX(0,MIN(Lists!O$21,$AE28)-MAX(Lists!O$22,$AD28))/($AE28-$AD28))+N($D28)*IF($AG28-$AF28&lt;1,($AF28&gt;Lists!O$22)*($AF28&lt;=Lists!O$21),MAX(0,MIN(Lists!O$21,$AG28)-MAX(Lists!O$22,$AF28))/($AG28-$AF28))+N($E28)*IF($AI28-$AH28&lt;1,($AH28&gt;Lists!O$22)*($AH28&lt;=Lists!O$21),MAX(0,MIN(Lists!O$21,$AI28)-MAX(Lists!O$22,$AH28))/($AI28-$AH28))+N($F28)*IF($AK28-$AJ28&lt;1,($AJ28&gt;Lists!O$22)*($AJ28&lt;=Lists!O$21),MAX(0,MIN(Lists!O$21,$AK28)-MAX(Lists!O$22,$AJ28))/($AK28-$AJ28))+N($G28)*IF($AM28-$AL28&lt;1,($AL28&gt;Lists!O$22)*($AL28&lt;=Lists!O$21),MAX(0,MIN(Lists!O$21,$AM28)-MAX(Lists!O$22,$AL28))/($AM28-$AL28))))))))</f>
        <v>0</v>
      </c>
      <c r="Z28" s="46" t="n">
        <f aca="false">SUM(M28:Y28)</f>
        <v>0</v>
      </c>
      <c r="AA28" s="92" t="n">
        <f aca="false">H28-Z28</f>
        <v>0</v>
      </c>
      <c r="AB28" s="55"/>
      <c r="AC28" s="2"/>
      <c r="AD28" s="93" t="n">
        <f aca="false">Setup!$D$10+MAX(0,$AN28-30)</f>
        <v>46345</v>
      </c>
      <c r="AE28" s="93" t="n">
        <f aca="false">Setup!$D$10+IF($AN28-30&lt;0,MAX(Setup!$D$22,$AN28-0),$AN28-0)</f>
        <v>46375</v>
      </c>
      <c r="AF28" s="93" t="n">
        <f aca="false">Setup!$D$10+MAX(0,$AN28-60)</f>
        <v>46335</v>
      </c>
      <c r="AG28" s="93" t="n">
        <f aca="false">Setup!$D$10+IF($AN28-60&lt;0,MAX(Setup!$D$22,$AN28-31),$AN28-31)</f>
        <v>46363</v>
      </c>
      <c r="AH28" s="93" t="n">
        <f aca="false">Setup!$D$10+MAX(0,$AN28-90)</f>
        <v>46335</v>
      </c>
      <c r="AI28" s="93" t="n">
        <f aca="false">Setup!$D$10+IF($AN28-90&lt;0,MAX(Setup!$D$22,$AN28-61),$AN28-61)</f>
        <v>46363</v>
      </c>
      <c r="AJ28" s="93" t="n">
        <f aca="false">Setup!$D$10+MAX(0,$AN28-120)</f>
        <v>46335</v>
      </c>
      <c r="AK28" s="93" t="n">
        <f aca="false">Setup!$D$10+IF($AN28-120&lt;0,MAX(Setup!$D$22,$AN28-91),$AN28-91)</f>
        <v>46363</v>
      </c>
      <c r="AL28" s="93" t="n">
        <f aca="false">Setup!$D$10</f>
        <v>46335</v>
      </c>
      <c r="AM28" s="93" t="n">
        <f aca="false">IF(AL28=2958465,AL28,Setup!$D$10+Setup!$D$22)</f>
        <v>46363</v>
      </c>
      <c r="AN28" s="94" t="n">
        <f aca="false">IF(N(L28)=0,Setup!$D$21,L28)</f>
        <v>40</v>
      </c>
      <c r="AO28" s="94" t="n">
        <f aca="false">MAX(1,ROUND(N(K28),0))</f>
        <v>1</v>
      </c>
      <c r="AP28" s="95" t="str">
        <f aca="false">IF(I28="On hold","X",IF(N(J28)=0,"A",IF(I28="Specific date","S",IF(I28="Spread over days","D",IF(I28="Monthly on set day","M",IF(I28="Monthly fixed amount","F","A"))))))</f>
        <v>A</v>
      </c>
    </row>
    <row r="29" customFormat="false" ht="15" hidden="false" customHeight="false" outlineLevel="0" collapsed="false">
      <c r="A29" s="87" t="n">
        <v>21</v>
      </c>
      <c r="B29" s="55"/>
      <c r="C29" s="88"/>
      <c r="D29" s="88"/>
      <c r="E29" s="88"/>
      <c r="F29" s="88"/>
      <c r="G29" s="88"/>
      <c r="H29" s="89" t="n">
        <f aca="false">SUM(C29:G29)</f>
        <v>0</v>
      </c>
      <c r="I29" s="58"/>
      <c r="J29" s="90"/>
      <c r="K29" s="91"/>
      <c r="L29" s="80"/>
      <c r="M29" s="53" t="n">
        <f aca="false">IF($H29=0,0,IF($AP29="X",0,IF($AP29="S",$H29/$AO29*(MIN($AO29,MAX(0,INT((Lists!C$21-N($J29))/7)+1))-MIN($AO29,MAX(0,INT((Lists!C$22-N($J29))/7)+1))),IF($AP29="D",$H29*MAX(0,MIN(Lists!C$21,N($J29)+$AO29)-MAX(Lists!C$22,N($J29)))/$AO29,IF($AP29="M",$H29/$AO29*(IF(Lists!C$21&lt;$J29,0,MIN($AO29,(((YEAR(Lists!C$21)-YEAR($J29))*12+MONTH(Lists!C$21)-MONTH($J29))-(EDATE($J29,((YEAR(Lists!C$21)-YEAR($J29))*12+MONTH(Lists!C$21)-MONTH($J29)))&gt;Lists!C$21)+1)))-IF(Lists!C$22&lt;$J29,0,MIN($AO29,(((YEAR(Lists!C$22)-YEAR($J29))*12+MONTH(Lists!C$22)-MONTH($J29))-(EDATE($J29,((YEAR(Lists!C$22)-YEAR($J29))*12+MONTH(Lists!C$22)-MONTH($J29)))&gt;Lists!C$22)+1)))),IF($AP29="F",IF(N($K29)&lt;=0,0,MIN(MAX(0,$H29),N($K29)*IF(Lists!C$21&lt;$J29,0,(((YEAR(Lists!C$21)-YEAR($J29))*12+MONTH(Lists!C$21)-MONTH($J29))-(EDATE($J29,((YEAR(Lists!C$21)-YEAR($J29))*12+MONTH(Lists!C$21)-MONTH($J29)))&gt;Lists!C$21)+1)))-MIN(MAX(0,$H29),N($K29)*IF(Lists!C$22&lt;$J29,0,(((YEAR(Lists!C$22)-YEAR($J29))*12+MONTH(Lists!C$22)-MONTH($J29))-(EDATE($J29,((YEAR(Lists!C$22)-YEAR($J29))*12+MONTH(Lists!C$22)-MONTH($J29)))&gt;Lists!C$22)+1)))),N($C29)*IF($AE29-$AD29&lt;1,($AD29&gt;Lists!C$22)*($AD29&lt;=Lists!C$21),MAX(0,MIN(Lists!C$21,$AE29)-MAX(Lists!C$22,$AD29))/($AE29-$AD29))+N($D29)*IF($AG29-$AF29&lt;1,($AF29&gt;Lists!C$22)*($AF29&lt;=Lists!C$21),MAX(0,MIN(Lists!C$21,$AG29)-MAX(Lists!C$22,$AF29))/($AG29-$AF29))+N($E29)*IF($AI29-$AH29&lt;1,($AH29&gt;Lists!C$22)*($AH29&lt;=Lists!C$21),MAX(0,MIN(Lists!C$21,$AI29)-MAX(Lists!C$22,$AH29))/($AI29-$AH29))+N($F29)*IF($AK29-$AJ29&lt;1,($AJ29&gt;Lists!C$22)*($AJ29&lt;=Lists!C$21),MAX(0,MIN(Lists!C$21,$AK29)-MAX(Lists!C$22,$AJ29))/($AK29-$AJ29))+N($G29)*IF($AM29-$AL29&lt;1,($AL29&gt;Lists!C$22)*($AL29&lt;=Lists!C$21),MAX(0,MIN(Lists!C$21,$AM29)-MAX(Lists!C$22,$AL29))/($AM29-$AL29))))))))</f>
        <v>0</v>
      </c>
      <c r="N29" s="53" t="n">
        <f aca="false">IF($H29=0,0,IF($AP29="X",0,IF($AP29="S",$H29/$AO29*(MIN($AO29,MAX(0,INT((Lists!D$21-N($J29))/7)+1))-MIN($AO29,MAX(0,INT((Lists!D$22-N($J29))/7)+1))),IF($AP29="D",$H29*MAX(0,MIN(Lists!D$21,N($J29)+$AO29)-MAX(Lists!D$22,N($J29)))/$AO29,IF($AP29="M",$H29/$AO29*(IF(Lists!D$21&lt;$J29,0,MIN($AO29,(((YEAR(Lists!D$21)-YEAR($J29))*12+MONTH(Lists!D$21)-MONTH($J29))-(EDATE($J29,((YEAR(Lists!D$21)-YEAR($J29))*12+MONTH(Lists!D$21)-MONTH($J29)))&gt;Lists!D$21)+1)))-IF(Lists!D$22&lt;$J29,0,MIN($AO29,(((YEAR(Lists!D$22)-YEAR($J29))*12+MONTH(Lists!D$22)-MONTH($J29))-(EDATE($J29,((YEAR(Lists!D$22)-YEAR($J29))*12+MONTH(Lists!D$22)-MONTH($J29)))&gt;Lists!D$22)+1)))),IF($AP29="F",IF(N($K29)&lt;=0,0,MIN(MAX(0,$H29),N($K29)*IF(Lists!D$21&lt;$J29,0,(((YEAR(Lists!D$21)-YEAR($J29))*12+MONTH(Lists!D$21)-MONTH($J29))-(EDATE($J29,((YEAR(Lists!D$21)-YEAR($J29))*12+MONTH(Lists!D$21)-MONTH($J29)))&gt;Lists!D$21)+1)))-MIN(MAX(0,$H29),N($K29)*IF(Lists!D$22&lt;$J29,0,(((YEAR(Lists!D$22)-YEAR($J29))*12+MONTH(Lists!D$22)-MONTH($J29))-(EDATE($J29,((YEAR(Lists!D$22)-YEAR($J29))*12+MONTH(Lists!D$22)-MONTH($J29)))&gt;Lists!D$22)+1)))),N($C29)*IF($AE29-$AD29&lt;1,($AD29&gt;Lists!D$22)*($AD29&lt;=Lists!D$21),MAX(0,MIN(Lists!D$21,$AE29)-MAX(Lists!D$22,$AD29))/($AE29-$AD29))+N($D29)*IF($AG29-$AF29&lt;1,($AF29&gt;Lists!D$22)*($AF29&lt;=Lists!D$21),MAX(0,MIN(Lists!D$21,$AG29)-MAX(Lists!D$22,$AF29))/($AG29-$AF29))+N($E29)*IF($AI29-$AH29&lt;1,($AH29&gt;Lists!D$22)*($AH29&lt;=Lists!D$21),MAX(0,MIN(Lists!D$21,$AI29)-MAX(Lists!D$22,$AH29))/($AI29-$AH29))+N($F29)*IF($AK29-$AJ29&lt;1,($AJ29&gt;Lists!D$22)*($AJ29&lt;=Lists!D$21),MAX(0,MIN(Lists!D$21,$AK29)-MAX(Lists!D$22,$AJ29))/($AK29-$AJ29))+N($G29)*IF($AM29-$AL29&lt;1,($AL29&gt;Lists!D$22)*($AL29&lt;=Lists!D$21),MAX(0,MIN(Lists!D$21,$AM29)-MAX(Lists!D$22,$AL29))/($AM29-$AL29))))))))</f>
        <v>0</v>
      </c>
      <c r="O29" s="53" t="n">
        <f aca="false">IF($H29=0,0,IF($AP29="X",0,IF($AP29="S",$H29/$AO29*(MIN($AO29,MAX(0,INT((Lists!E$21-N($J29))/7)+1))-MIN($AO29,MAX(0,INT((Lists!E$22-N($J29))/7)+1))),IF($AP29="D",$H29*MAX(0,MIN(Lists!E$21,N($J29)+$AO29)-MAX(Lists!E$22,N($J29)))/$AO29,IF($AP29="M",$H29/$AO29*(IF(Lists!E$21&lt;$J29,0,MIN($AO29,(((YEAR(Lists!E$21)-YEAR($J29))*12+MONTH(Lists!E$21)-MONTH($J29))-(EDATE($J29,((YEAR(Lists!E$21)-YEAR($J29))*12+MONTH(Lists!E$21)-MONTH($J29)))&gt;Lists!E$21)+1)))-IF(Lists!E$22&lt;$J29,0,MIN($AO29,(((YEAR(Lists!E$22)-YEAR($J29))*12+MONTH(Lists!E$22)-MONTH($J29))-(EDATE($J29,((YEAR(Lists!E$22)-YEAR($J29))*12+MONTH(Lists!E$22)-MONTH($J29)))&gt;Lists!E$22)+1)))),IF($AP29="F",IF(N($K29)&lt;=0,0,MIN(MAX(0,$H29),N($K29)*IF(Lists!E$21&lt;$J29,0,(((YEAR(Lists!E$21)-YEAR($J29))*12+MONTH(Lists!E$21)-MONTH($J29))-(EDATE($J29,((YEAR(Lists!E$21)-YEAR($J29))*12+MONTH(Lists!E$21)-MONTH($J29)))&gt;Lists!E$21)+1)))-MIN(MAX(0,$H29),N($K29)*IF(Lists!E$22&lt;$J29,0,(((YEAR(Lists!E$22)-YEAR($J29))*12+MONTH(Lists!E$22)-MONTH($J29))-(EDATE($J29,((YEAR(Lists!E$22)-YEAR($J29))*12+MONTH(Lists!E$22)-MONTH($J29)))&gt;Lists!E$22)+1)))),N($C29)*IF($AE29-$AD29&lt;1,($AD29&gt;Lists!E$22)*($AD29&lt;=Lists!E$21),MAX(0,MIN(Lists!E$21,$AE29)-MAX(Lists!E$22,$AD29))/($AE29-$AD29))+N($D29)*IF($AG29-$AF29&lt;1,($AF29&gt;Lists!E$22)*($AF29&lt;=Lists!E$21),MAX(0,MIN(Lists!E$21,$AG29)-MAX(Lists!E$22,$AF29))/($AG29-$AF29))+N($E29)*IF($AI29-$AH29&lt;1,($AH29&gt;Lists!E$22)*($AH29&lt;=Lists!E$21),MAX(0,MIN(Lists!E$21,$AI29)-MAX(Lists!E$22,$AH29))/($AI29-$AH29))+N($F29)*IF($AK29-$AJ29&lt;1,($AJ29&gt;Lists!E$22)*($AJ29&lt;=Lists!E$21),MAX(0,MIN(Lists!E$21,$AK29)-MAX(Lists!E$22,$AJ29))/($AK29-$AJ29))+N($G29)*IF($AM29-$AL29&lt;1,($AL29&gt;Lists!E$22)*($AL29&lt;=Lists!E$21),MAX(0,MIN(Lists!E$21,$AM29)-MAX(Lists!E$22,$AL29))/($AM29-$AL29))))))))</f>
        <v>0</v>
      </c>
      <c r="P29" s="53" t="n">
        <f aca="false">IF($H29=0,0,IF($AP29="X",0,IF($AP29="S",$H29/$AO29*(MIN($AO29,MAX(0,INT((Lists!F$21-N($J29))/7)+1))-MIN($AO29,MAX(0,INT((Lists!F$22-N($J29))/7)+1))),IF($AP29="D",$H29*MAX(0,MIN(Lists!F$21,N($J29)+$AO29)-MAX(Lists!F$22,N($J29)))/$AO29,IF($AP29="M",$H29/$AO29*(IF(Lists!F$21&lt;$J29,0,MIN($AO29,(((YEAR(Lists!F$21)-YEAR($J29))*12+MONTH(Lists!F$21)-MONTH($J29))-(EDATE($J29,((YEAR(Lists!F$21)-YEAR($J29))*12+MONTH(Lists!F$21)-MONTH($J29)))&gt;Lists!F$21)+1)))-IF(Lists!F$22&lt;$J29,0,MIN($AO29,(((YEAR(Lists!F$22)-YEAR($J29))*12+MONTH(Lists!F$22)-MONTH($J29))-(EDATE($J29,((YEAR(Lists!F$22)-YEAR($J29))*12+MONTH(Lists!F$22)-MONTH($J29)))&gt;Lists!F$22)+1)))),IF($AP29="F",IF(N($K29)&lt;=0,0,MIN(MAX(0,$H29),N($K29)*IF(Lists!F$21&lt;$J29,0,(((YEAR(Lists!F$21)-YEAR($J29))*12+MONTH(Lists!F$21)-MONTH($J29))-(EDATE($J29,((YEAR(Lists!F$21)-YEAR($J29))*12+MONTH(Lists!F$21)-MONTH($J29)))&gt;Lists!F$21)+1)))-MIN(MAX(0,$H29),N($K29)*IF(Lists!F$22&lt;$J29,0,(((YEAR(Lists!F$22)-YEAR($J29))*12+MONTH(Lists!F$22)-MONTH($J29))-(EDATE($J29,((YEAR(Lists!F$22)-YEAR($J29))*12+MONTH(Lists!F$22)-MONTH($J29)))&gt;Lists!F$22)+1)))),N($C29)*IF($AE29-$AD29&lt;1,($AD29&gt;Lists!F$22)*($AD29&lt;=Lists!F$21),MAX(0,MIN(Lists!F$21,$AE29)-MAX(Lists!F$22,$AD29))/($AE29-$AD29))+N($D29)*IF($AG29-$AF29&lt;1,($AF29&gt;Lists!F$22)*($AF29&lt;=Lists!F$21),MAX(0,MIN(Lists!F$21,$AG29)-MAX(Lists!F$22,$AF29))/($AG29-$AF29))+N($E29)*IF($AI29-$AH29&lt;1,($AH29&gt;Lists!F$22)*($AH29&lt;=Lists!F$21),MAX(0,MIN(Lists!F$21,$AI29)-MAX(Lists!F$22,$AH29))/($AI29-$AH29))+N($F29)*IF($AK29-$AJ29&lt;1,($AJ29&gt;Lists!F$22)*($AJ29&lt;=Lists!F$21),MAX(0,MIN(Lists!F$21,$AK29)-MAX(Lists!F$22,$AJ29))/($AK29-$AJ29))+N($G29)*IF($AM29-$AL29&lt;1,($AL29&gt;Lists!F$22)*($AL29&lt;=Lists!F$21),MAX(0,MIN(Lists!F$21,$AM29)-MAX(Lists!F$22,$AL29))/($AM29-$AL29))))))))</f>
        <v>0</v>
      </c>
      <c r="Q29" s="53" t="n">
        <f aca="false">IF($H29=0,0,IF($AP29="X",0,IF($AP29="S",$H29/$AO29*(MIN($AO29,MAX(0,INT((Lists!G$21-N($J29))/7)+1))-MIN($AO29,MAX(0,INT((Lists!G$22-N($J29))/7)+1))),IF($AP29="D",$H29*MAX(0,MIN(Lists!G$21,N($J29)+$AO29)-MAX(Lists!G$22,N($J29)))/$AO29,IF($AP29="M",$H29/$AO29*(IF(Lists!G$21&lt;$J29,0,MIN($AO29,(((YEAR(Lists!G$21)-YEAR($J29))*12+MONTH(Lists!G$21)-MONTH($J29))-(EDATE($J29,((YEAR(Lists!G$21)-YEAR($J29))*12+MONTH(Lists!G$21)-MONTH($J29)))&gt;Lists!G$21)+1)))-IF(Lists!G$22&lt;$J29,0,MIN($AO29,(((YEAR(Lists!G$22)-YEAR($J29))*12+MONTH(Lists!G$22)-MONTH($J29))-(EDATE($J29,((YEAR(Lists!G$22)-YEAR($J29))*12+MONTH(Lists!G$22)-MONTH($J29)))&gt;Lists!G$22)+1)))),IF($AP29="F",IF(N($K29)&lt;=0,0,MIN(MAX(0,$H29),N($K29)*IF(Lists!G$21&lt;$J29,0,(((YEAR(Lists!G$21)-YEAR($J29))*12+MONTH(Lists!G$21)-MONTH($J29))-(EDATE($J29,((YEAR(Lists!G$21)-YEAR($J29))*12+MONTH(Lists!G$21)-MONTH($J29)))&gt;Lists!G$21)+1)))-MIN(MAX(0,$H29),N($K29)*IF(Lists!G$22&lt;$J29,0,(((YEAR(Lists!G$22)-YEAR($J29))*12+MONTH(Lists!G$22)-MONTH($J29))-(EDATE($J29,((YEAR(Lists!G$22)-YEAR($J29))*12+MONTH(Lists!G$22)-MONTH($J29)))&gt;Lists!G$22)+1)))),N($C29)*IF($AE29-$AD29&lt;1,($AD29&gt;Lists!G$22)*($AD29&lt;=Lists!G$21),MAX(0,MIN(Lists!G$21,$AE29)-MAX(Lists!G$22,$AD29))/($AE29-$AD29))+N($D29)*IF($AG29-$AF29&lt;1,($AF29&gt;Lists!G$22)*($AF29&lt;=Lists!G$21),MAX(0,MIN(Lists!G$21,$AG29)-MAX(Lists!G$22,$AF29))/($AG29-$AF29))+N($E29)*IF($AI29-$AH29&lt;1,($AH29&gt;Lists!G$22)*($AH29&lt;=Lists!G$21),MAX(0,MIN(Lists!G$21,$AI29)-MAX(Lists!G$22,$AH29))/($AI29-$AH29))+N($F29)*IF($AK29-$AJ29&lt;1,($AJ29&gt;Lists!G$22)*($AJ29&lt;=Lists!G$21),MAX(0,MIN(Lists!G$21,$AK29)-MAX(Lists!G$22,$AJ29))/($AK29-$AJ29))+N($G29)*IF($AM29-$AL29&lt;1,($AL29&gt;Lists!G$22)*($AL29&lt;=Lists!G$21),MAX(0,MIN(Lists!G$21,$AM29)-MAX(Lists!G$22,$AL29))/($AM29-$AL29))))))))</f>
        <v>0</v>
      </c>
      <c r="R29" s="53" t="n">
        <f aca="false">IF($H29=0,0,IF($AP29="X",0,IF($AP29="S",$H29/$AO29*(MIN($AO29,MAX(0,INT((Lists!H$21-N($J29))/7)+1))-MIN($AO29,MAX(0,INT((Lists!H$22-N($J29))/7)+1))),IF($AP29="D",$H29*MAX(0,MIN(Lists!H$21,N($J29)+$AO29)-MAX(Lists!H$22,N($J29)))/$AO29,IF($AP29="M",$H29/$AO29*(IF(Lists!H$21&lt;$J29,0,MIN($AO29,(((YEAR(Lists!H$21)-YEAR($J29))*12+MONTH(Lists!H$21)-MONTH($J29))-(EDATE($J29,((YEAR(Lists!H$21)-YEAR($J29))*12+MONTH(Lists!H$21)-MONTH($J29)))&gt;Lists!H$21)+1)))-IF(Lists!H$22&lt;$J29,0,MIN($AO29,(((YEAR(Lists!H$22)-YEAR($J29))*12+MONTH(Lists!H$22)-MONTH($J29))-(EDATE($J29,((YEAR(Lists!H$22)-YEAR($J29))*12+MONTH(Lists!H$22)-MONTH($J29)))&gt;Lists!H$22)+1)))),IF($AP29="F",IF(N($K29)&lt;=0,0,MIN(MAX(0,$H29),N($K29)*IF(Lists!H$21&lt;$J29,0,(((YEAR(Lists!H$21)-YEAR($J29))*12+MONTH(Lists!H$21)-MONTH($J29))-(EDATE($J29,((YEAR(Lists!H$21)-YEAR($J29))*12+MONTH(Lists!H$21)-MONTH($J29)))&gt;Lists!H$21)+1)))-MIN(MAX(0,$H29),N($K29)*IF(Lists!H$22&lt;$J29,0,(((YEAR(Lists!H$22)-YEAR($J29))*12+MONTH(Lists!H$22)-MONTH($J29))-(EDATE($J29,((YEAR(Lists!H$22)-YEAR($J29))*12+MONTH(Lists!H$22)-MONTH($J29)))&gt;Lists!H$22)+1)))),N($C29)*IF($AE29-$AD29&lt;1,($AD29&gt;Lists!H$22)*($AD29&lt;=Lists!H$21),MAX(0,MIN(Lists!H$21,$AE29)-MAX(Lists!H$22,$AD29))/($AE29-$AD29))+N($D29)*IF($AG29-$AF29&lt;1,($AF29&gt;Lists!H$22)*($AF29&lt;=Lists!H$21),MAX(0,MIN(Lists!H$21,$AG29)-MAX(Lists!H$22,$AF29))/($AG29-$AF29))+N($E29)*IF($AI29-$AH29&lt;1,($AH29&gt;Lists!H$22)*($AH29&lt;=Lists!H$21),MAX(0,MIN(Lists!H$21,$AI29)-MAX(Lists!H$22,$AH29))/($AI29-$AH29))+N($F29)*IF($AK29-$AJ29&lt;1,($AJ29&gt;Lists!H$22)*($AJ29&lt;=Lists!H$21),MAX(0,MIN(Lists!H$21,$AK29)-MAX(Lists!H$22,$AJ29))/($AK29-$AJ29))+N($G29)*IF($AM29-$AL29&lt;1,($AL29&gt;Lists!H$22)*($AL29&lt;=Lists!H$21),MAX(0,MIN(Lists!H$21,$AM29)-MAX(Lists!H$22,$AL29))/($AM29-$AL29))))))))</f>
        <v>0</v>
      </c>
      <c r="S29" s="53" t="n">
        <f aca="false">IF($H29=0,0,IF($AP29="X",0,IF($AP29="S",$H29/$AO29*(MIN($AO29,MAX(0,INT((Lists!I$21-N($J29))/7)+1))-MIN($AO29,MAX(0,INT((Lists!I$22-N($J29))/7)+1))),IF($AP29="D",$H29*MAX(0,MIN(Lists!I$21,N($J29)+$AO29)-MAX(Lists!I$22,N($J29)))/$AO29,IF($AP29="M",$H29/$AO29*(IF(Lists!I$21&lt;$J29,0,MIN($AO29,(((YEAR(Lists!I$21)-YEAR($J29))*12+MONTH(Lists!I$21)-MONTH($J29))-(EDATE($J29,((YEAR(Lists!I$21)-YEAR($J29))*12+MONTH(Lists!I$21)-MONTH($J29)))&gt;Lists!I$21)+1)))-IF(Lists!I$22&lt;$J29,0,MIN($AO29,(((YEAR(Lists!I$22)-YEAR($J29))*12+MONTH(Lists!I$22)-MONTH($J29))-(EDATE($J29,((YEAR(Lists!I$22)-YEAR($J29))*12+MONTH(Lists!I$22)-MONTH($J29)))&gt;Lists!I$22)+1)))),IF($AP29="F",IF(N($K29)&lt;=0,0,MIN(MAX(0,$H29),N($K29)*IF(Lists!I$21&lt;$J29,0,(((YEAR(Lists!I$21)-YEAR($J29))*12+MONTH(Lists!I$21)-MONTH($J29))-(EDATE($J29,((YEAR(Lists!I$21)-YEAR($J29))*12+MONTH(Lists!I$21)-MONTH($J29)))&gt;Lists!I$21)+1)))-MIN(MAX(0,$H29),N($K29)*IF(Lists!I$22&lt;$J29,0,(((YEAR(Lists!I$22)-YEAR($J29))*12+MONTH(Lists!I$22)-MONTH($J29))-(EDATE($J29,((YEAR(Lists!I$22)-YEAR($J29))*12+MONTH(Lists!I$22)-MONTH($J29)))&gt;Lists!I$22)+1)))),N($C29)*IF($AE29-$AD29&lt;1,($AD29&gt;Lists!I$22)*($AD29&lt;=Lists!I$21),MAX(0,MIN(Lists!I$21,$AE29)-MAX(Lists!I$22,$AD29))/($AE29-$AD29))+N($D29)*IF($AG29-$AF29&lt;1,($AF29&gt;Lists!I$22)*($AF29&lt;=Lists!I$21),MAX(0,MIN(Lists!I$21,$AG29)-MAX(Lists!I$22,$AF29))/($AG29-$AF29))+N($E29)*IF($AI29-$AH29&lt;1,($AH29&gt;Lists!I$22)*($AH29&lt;=Lists!I$21),MAX(0,MIN(Lists!I$21,$AI29)-MAX(Lists!I$22,$AH29))/($AI29-$AH29))+N($F29)*IF($AK29-$AJ29&lt;1,($AJ29&gt;Lists!I$22)*($AJ29&lt;=Lists!I$21),MAX(0,MIN(Lists!I$21,$AK29)-MAX(Lists!I$22,$AJ29))/($AK29-$AJ29))+N($G29)*IF($AM29-$AL29&lt;1,($AL29&gt;Lists!I$22)*($AL29&lt;=Lists!I$21),MAX(0,MIN(Lists!I$21,$AM29)-MAX(Lists!I$22,$AL29))/($AM29-$AL29))))))))</f>
        <v>0</v>
      </c>
      <c r="T29" s="53" t="n">
        <f aca="false">IF($H29=0,0,IF($AP29="X",0,IF($AP29="S",$H29/$AO29*(MIN($AO29,MAX(0,INT((Lists!J$21-N($J29))/7)+1))-MIN($AO29,MAX(0,INT((Lists!J$22-N($J29))/7)+1))),IF($AP29="D",$H29*MAX(0,MIN(Lists!J$21,N($J29)+$AO29)-MAX(Lists!J$22,N($J29)))/$AO29,IF($AP29="M",$H29/$AO29*(IF(Lists!J$21&lt;$J29,0,MIN($AO29,(((YEAR(Lists!J$21)-YEAR($J29))*12+MONTH(Lists!J$21)-MONTH($J29))-(EDATE($J29,((YEAR(Lists!J$21)-YEAR($J29))*12+MONTH(Lists!J$21)-MONTH($J29)))&gt;Lists!J$21)+1)))-IF(Lists!J$22&lt;$J29,0,MIN($AO29,(((YEAR(Lists!J$22)-YEAR($J29))*12+MONTH(Lists!J$22)-MONTH($J29))-(EDATE($J29,((YEAR(Lists!J$22)-YEAR($J29))*12+MONTH(Lists!J$22)-MONTH($J29)))&gt;Lists!J$22)+1)))),IF($AP29="F",IF(N($K29)&lt;=0,0,MIN(MAX(0,$H29),N($K29)*IF(Lists!J$21&lt;$J29,0,(((YEAR(Lists!J$21)-YEAR($J29))*12+MONTH(Lists!J$21)-MONTH($J29))-(EDATE($J29,((YEAR(Lists!J$21)-YEAR($J29))*12+MONTH(Lists!J$21)-MONTH($J29)))&gt;Lists!J$21)+1)))-MIN(MAX(0,$H29),N($K29)*IF(Lists!J$22&lt;$J29,0,(((YEAR(Lists!J$22)-YEAR($J29))*12+MONTH(Lists!J$22)-MONTH($J29))-(EDATE($J29,((YEAR(Lists!J$22)-YEAR($J29))*12+MONTH(Lists!J$22)-MONTH($J29)))&gt;Lists!J$22)+1)))),N($C29)*IF($AE29-$AD29&lt;1,($AD29&gt;Lists!J$22)*($AD29&lt;=Lists!J$21),MAX(0,MIN(Lists!J$21,$AE29)-MAX(Lists!J$22,$AD29))/($AE29-$AD29))+N($D29)*IF($AG29-$AF29&lt;1,($AF29&gt;Lists!J$22)*($AF29&lt;=Lists!J$21),MAX(0,MIN(Lists!J$21,$AG29)-MAX(Lists!J$22,$AF29))/($AG29-$AF29))+N($E29)*IF($AI29-$AH29&lt;1,($AH29&gt;Lists!J$22)*($AH29&lt;=Lists!J$21),MAX(0,MIN(Lists!J$21,$AI29)-MAX(Lists!J$22,$AH29))/($AI29-$AH29))+N($F29)*IF($AK29-$AJ29&lt;1,($AJ29&gt;Lists!J$22)*($AJ29&lt;=Lists!J$21),MAX(0,MIN(Lists!J$21,$AK29)-MAX(Lists!J$22,$AJ29))/($AK29-$AJ29))+N($G29)*IF($AM29-$AL29&lt;1,($AL29&gt;Lists!J$22)*($AL29&lt;=Lists!J$21),MAX(0,MIN(Lists!J$21,$AM29)-MAX(Lists!J$22,$AL29))/($AM29-$AL29))))))))</f>
        <v>0</v>
      </c>
      <c r="U29" s="53" t="n">
        <f aca="false">IF($H29=0,0,IF($AP29="X",0,IF($AP29="S",$H29/$AO29*(MIN($AO29,MAX(0,INT((Lists!K$21-N($J29))/7)+1))-MIN($AO29,MAX(0,INT((Lists!K$22-N($J29))/7)+1))),IF($AP29="D",$H29*MAX(0,MIN(Lists!K$21,N($J29)+$AO29)-MAX(Lists!K$22,N($J29)))/$AO29,IF($AP29="M",$H29/$AO29*(IF(Lists!K$21&lt;$J29,0,MIN($AO29,(((YEAR(Lists!K$21)-YEAR($J29))*12+MONTH(Lists!K$21)-MONTH($J29))-(EDATE($J29,((YEAR(Lists!K$21)-YEAR($J29))*12+MONTH(Lists!K$21)-MONTH($J29)))&gt;Lists!K$21)+1)))-IF(Lists!K$22&lt;$J29,0,MIN($AO29,(((YEAR(Lists!K$22)-YEAR($J29))*12+MONTH(Lists!K$22)-MONTH($J29))-(EDATE($J29,((YEAR(Lists!K$22)-YEAR($J29))*12+MONTH(Lists!K$22)-MONTH($J29)))&gt;Lists!K$22)+1)))),IF($AP29="F",IF(N($K29)&lt;=0,0,MIN(MAX(0,$H29),N($K29)*IF(Lists!K$21&lt;$J29,0,(((YEAR(Lists!K$21)-YEAR($J29))*12+MONTH(Lists!K$21)-MONTH($J29))-(EDATE($J29,((YEAR(Lists!K$21)-YEAR($J29))*12+MONTH(Lists!K$21)-MONTH($J29)))&gt;Lists!K$21)+1)))-MIN(MAX(0,$H29),N($K29)*IF(Lists!K$22&lt;$J29,0,(((YEAR(Lists!K$22)-YEAR($J29))*12+MONTH(Lists!K$22)-MONTH($J29))-(EDATE($J29,((YEAR(Lists!K$22)-YEAR($J29))*12+MONTH(Lists!K$22)-MONTH($J29)))&gt;Lists!K$22)+1)))),N($C29)*IF($AE29-$AD29&lt;1,($AD29&gt;Lists!K$22)*($AD29&lt;=Lists!K$21),MAX(0,MIN(Lists!K$21,$AE29)-MAX(Lists!K$22,$AD29))/($AE29-$AD29))+N($D29)*IF($AG29-$AF29&lt;1,($AF29&gt;Lists!K$22)*($AF29&lt;=Lists!K$21),MAX(0,MIN(Lists!K$21,$AG29)-MAX(Lists!K$22,$AF29))/($AG29-$AF29))+N($E29)*IF($AI29-$AH29&lt;1,($AH29&gt;Lists!K$22)*($AH29&lt;=Lists!K$21),MAX(0,MIN(Lists!K$21,$AI29)-MAX(Lists!K$22,$AH29))/($AI29-$AH29))+N($F29)*IF($AK29-$AJ29&lt;1,($AJ29&gt;Lists!K$22)*($AJ29&lt;=Lists!K$21),MAX(0,MIN(Lists!K$21,$AK29)-MAX(Lists!K$22,$AJ29))/($AK29-$AJ29))+N($G29)*IF($AM29-$AL29&lt;1,($AL29&gt;Lists!K$22)*($AL29&lt;=Lists!K$21),MAX(0,MIN(Lists!K$21,$AM29)-MAX(Lists!K$22,$AL29))/($AM29-$AL29))))))))</f>
        <v>0</v>
      </c>
      <c r="V29" s="53" t="n">
        <f aca="false">IF($H29=0,0,IF($AP29="X",0,IF($AP29="S",$H29/$AO29*(MIN($AO29,MAX(0,INT((Lists!L$21-N($J29))/7)+1))-MIN($AO29,MAX(0,INT((Lists!L$22-N($J29))/7)+1))),IF($AP29="D",$H29*MAX(0,MIN(Lists!L$21,N($J29)+$AO29)-MAX(Lists!L$22,N($J29)))/$AO29,IF($AP29="M",$H29/$AO29*(IF(Lists!L$21&lt;$J29,0,MIN($AO29,(((YEAR(Lists!L$21)-YEAR($J29))*12+MONTH(Lists!L$21)-MONTH($J29))-(EDATE($J29,((YEAR(Lists!L$21)-YEAR($J29))*12+MONTH(Lists!L$21)-MONTH($J29)))&gt;Lists!L$21)+1)))-IF(Lists!L$22&lt;$J29,0,MIN($AO29,(((YEAR(Lists!L$22)-YEAR($J29))*12+MONTH(Lists!L$22)-MONTH($J29))-(EDATE($J29,((YEAR(Lists!L$22)-YEAR($J29))*12+MONTH(Lists!L$22)-MONTH($J29)))&gt;Lists!L$22)+1)))),IF($AP29="F",IF(N($K29)&lt;=0,0,MIN(MAX(0,$H29),N($K29)*IF(Lists!L$21&lt;$J29,0,(((YEAR(Lists!L$21)-YEAR($J29))*12+MONTH(Lists!L$21)-MONTH($J29))-(EDATE($J29,((YEAR(Lists!L$21)-YEAR($J29))*12+MONTH(Lists!L$21)-MONTH($J29)))&gt;Lists!L$21)+1)))-MIN(MAX(0,$H29),N($K29)*IF(Lists!L$22&lt;$J29,0,(((YEAR(Lists!L$22)-YEAR($J29))*12+MONTH(Lists!L$22)-MONTH($J29))-(EDATE($J29,((YEAR(Lists!L$22)-YEAR($J29))*12+MONTH(Lists!L$22)-MONTH($J29)))&gt;Lists!L$22)+1)))),N($C29)*IF($AE29-$AD29&lt;1,($AD29&gt;Lists!L$22)*($AD29&lt;=Lists!L$21),MAX(0,MIN(Lists!L$21,$AE29)-MAX(Lists!L$22,$AD29))/($AE29-$AD29))+N($D29)*IF($AG29-$AF29&lt;1,($AF29&gt;Lists!L$22)*($AF29&lt;=Lists!L$21),MAX(0,MIN(Lists!L$21,$AG29)-MAX(Lists!L$22,$AF29))/($AG29-$AF29))+N($E29)*IF($AI29-$AH29&lt;1,($AH29&gt;Lists!L$22)*($AH29&lt;=Lists!L$21),MAX(0,MIN(Lists!L$21,$AI29)-MAX(Lists!L$22,$AH29))/($AI29-$AH29))+N($F29)*IF($AK29-$AJ29&lt;1,($AJ29&gt;Lists!L$22)*($AJ29&lt;=Lists!L$21),MAX(0,MIN(Lists!L$21,$AK29)-MAX(Lists!L$22,$AJ29))/($AK29-$AJ29))+N($G29)*IF($AM29-$AL29&lt;1,($AL29&gt;Lists!L$22)*($AL29&lt;=Lists!L$21),MAX(0,MIN(Lists!L$21,$AM29)-MAX(Lists!L$22,$AL29))/($AM29-$AL29))))))))</f>
        <v>0</v>
      </c>
      <c r="W29" s="53" t="n">
        <f aca="false">IF($H29=0,0,IF($AP29="X",0,IF($AP29="S",$H29/$AO29*(MIN($AO29,MAX(0,INT((Lists!M$21-N($J29))/7)+1))-MIN($AO29,MAX(0,INT((Lists!M$22-N($J29))/7)+1))),IF($AP29="D",$H29*MAX(0,MIN(Lists!M$21,N($J29)+$AO29)-MAX(Lists!M$22,N($J29)))/$AO29,IF($AP29="M",$H29/$AO29*(IF(Lists!M$21&lt;$J29,0,MIN($AO29,(((YEAR(Lists!M$21)-YEAR($J29))*12+MONTH(Lists!M$21)-MONTH($J29))-(EDATE($J29,((YEAR(Lists!M$21)-YEAR($J29))*12+MONTH(Lists!M$21)-MONTH($J29)))&gt;Lists!M$21)+1)))-IF(Lists!M$22&lt;$J29,0,MIN($AO29,(((YEAR(Lists!M$22)-YEAR($J29))*12+MONTH(Lists!M$22)-MONTH($J29))-(EDATE($J29,((YEAR(Lists!M$22)-YEAR($J29))*12+MONTH(Lists!M$22)-MONTH($J29)))&gt;Lists!M$22)+1)))),IF($AP29="F",IF(N($K29)&lt;=0,0,MIN(MAX(0,$H29),N($K29)*IF(Lists!M$21&lt;$J29,0,(((YEAR(Lists!M$21)-YEAR($J29))*12+MONTH(Lists!M$21)-MONTH($J29))-(EDATE($J29,((YEAR(Lists!M$21)-YEAR($J29))*12+MONTH(Lists!M$21)-MONTH($J29)))&gt;Lists!M$21)+1)))-MIN(MAX(0,$H29),N($K29)*IF(Lists!M$22&lt;$J29,0,(((YEAR(Lists!M$22)-YEAR($J29))*12+MONTH(Lists!M$22)-MONTH($J29))-(EDATE($J29,((YEAR(Lists!M$22)-YEAR($J29))*12+MONTH(Lists!M$22)-MONTH($J29)))&gt;Lists!M$22)+1)))),N($C29)*IF($AE29-$AD29&lt;1,($AD29&gt;Lists!M$22)*($AD29&lt;=Lists!M$21),MAX(0,MIN(Lists!M$21,$AE29)-MAX(Lists!M$22,$AD29))/($AE29-$AD29))+N($D29)*IF($AG29-$AF29&lt;1,($AF29&gt;Lists!M$22)*($AF29&lt;=Lists!M$21),MAX(0,MIN(Lists!M$21,$AG29)-MAX(Lists!M$22,$AF29))/($AG29-$AF29))+N($E29)*IF($AI29-$AH29&lt;1,($AH29&gt;Lists!M$22)*($AH29&lt;=Lists!M$21),MAX(0,MIN(Lists!M$21,$AI29)-MAX(Lists!M$22,$AH29))/($AI29-$AH29))+N($F29)*IF($AK29-$AJ29&lt;1,($AJ29&gt;Lists!M$22)*($AJ29&lt;=Lists!M$21),MAX(0,MIN(Lists!M$21,$AK29)-MAX(Lists!M$22,$AJ29))/($AK29-$AJ29))+N($G29)*IF($AM29-$AL29&lt;1,($AL29&gt;Lists!M$22)*($AL29&lt;=Lists!M$21),MAX(0,MIN(Lists!M$21,$AM29)-MAX(Lists!M$22,$AL29))/($AM29-$AL29))))))))</f>
        <v>0</v>
      </c>
      <c r="X29" s="53" t="n">
        <f aca="false">IF($H29=0,0,IF($AP29="X",0,IF($AP29="S",$H29/$AO29*(MIN($AO29,MAX(0,INT((Lists!N$21-N($J29))/7)+1))-MIN($AO29,MAX(0,INT((Lists!N$22-N($J29))/7)+1))),IF($AP29="D",$H29*MAX(0,MIN(Lists!N$21,N($J29)+$AO29)-MAX(Lists!N$22,N($J29)))/$AO29,IF($AP29="M",$H29/$AO29*(IF(Lists!N$21&lt;$J29,0,MIN($AO29,(((YEAR(Lists!N$21)-YEAR($J29))*12+MONTH(Lists!N$21)-MONTH($J29))-(EDATE($J29,((YEAR(Lists!N$21)-YEAR($J29))*12+MONTH(Lists!N$21)-MONTH($J29)))&gt;Lists!N$21)+1)))-IF(Lists!N$22&lt;$J29,0,MIN($AO29,(((YEAR(Lists!N$22)-YEAR($J29))*12+MONTH(Lists!N$22)-MONTH($J29))-(EDATE($J29,((YEAR(Lists!N$22)-YEAR($J29))*12+MONTH(Lists!N$22)-MONTH($J29)))&gt;Lists!N$22)+1)))),IF($AP29="F",IF(N($K29)&lt;=0,0,MIN(MAX(0,$H29),N($K29)*IF(Lists!N$21&lt;$J29,0,(((YEAR(Lists!N$21)-YEAR($J29))*12+MONTH(Lists!N$21)-MONTH($J29))-(EDATE($J29,((YEAR(Lists!N$21)-YEAR($J29))*12+MONTH(Lists!N$21)-MONTH($J29)))&gt;Lists!N$21)+1)))-MIN(MAX(0,$H29),N($K29)*IF(Lists!N$22&lt;$J29,0,(((YEAR(Lists!N$22)-YEAR($J29))*12+MONTH(Lists!N$22)-MONTH($J29))-(EDATE($J29,((YEAR(Lists!N$22)-YEAR($J29))*12+MONTH(Lists!N$22)-MONTH($J29)))&gt;Lists!N$22)+1)))),N($C29)*IF($AE29-$AD29&lt;1,($AD29&gt;Lists!N$22)*($AD29&lt;=Lists!N$21),MAX(0,MIN(Lists!N$21,$AE29)-MAX(Lists!N$22,$AD29))/($AE29-$AD29))+N($D29)*IF($AG29-$AF29&lt;1,($AF29&gt;Lists!N$22)*($AF29&lt;=Lists!N$21),MAX(0,MIN(Lists!N$21,$AG29)-MAX(Lists!N$22,$AF29))/($AG29-$AF29))+N($E29)*IF($AI29-$AH29&lt;1,($AH29&gt;Lists!N$22)*($AH29&lt;=Lists!N$21),MAX(0,MIN(Lists!N$21,$AI29)-MAX(Lists!N$22,$AH29))/($AI29-$AH29))+N($F29)*IF($AK29-$AJ29&lt;1,($AJ29&gt;Lists!N$22)*($AJ29&lt;=Lists!N$21),MAX(0,MIN(Lists!N$21,$AK29)-MAX(Lists!N$22,$AJ29))/($AK29-$AJ29))+N($G29)*IF($AM29-$AL29&lt;1,($AL29&gt;Lists!N$22)*($AL29&lt;=Lists!N$21),MAX(0,MIN(Lists!N$21,$AM29)-MAX(Lists!N$22,$AL29))/($AM29-$AL29))))))))</f>
        <v>0</v>
      </c>
      <c r="Y29" s="53" t="n">
        <f aca="false">IF($H29=0,0,IF($AP29="X",0,IF($AP29="S",$H29/$AO29*(MIN($AO29,MAX(0,INT((Lists!O$21-N($J29))/7)+1))-MIN($AO29,MAX(0,INT((Lists!O$22-N($J29))/7)+1))),IF($AP29="D",$H29*MAX(0,MIN(Lists!O$21,N($J29)+$AO29)-MAX(Lists!O$22,N($J29)))/$AO29,IF($AP29="M",$H29/$AO29*(IF(Lists!O$21&lt;$J29,0,MIN($AO29,(((YEAR(Lists!O$21)-YEAR($J29))*12+MONTH(Lists!O$21)-MONTH($J29))-(EDATE($J29,((YEAR(Lists!O$21)-YEAR($J29))*12+MONTH(Lists!O$21)-MONTH($J29)))&gt;Lists!O$21)+1)))-IF(Lists!O$22&lt;$J29,0,MIN($AO29,(((YEAR(Lists!O$22)-YEAR($J29))*12+MONTH(Lists!O$22)-MONTH($J29))-(EDATE($J29,((YEAR(Lists!O$22)-YEAR($J29))*12+MONTH(Lists!O$22)-MONTH($J29)))&gt;Lists!O$22)+1)))),IF($AP29="F",IF(N($K29)&lt;=0,0,MIN(MAX(0,$H29),N($K29)*IF(Lists!O$21&lt;$J29,0,(((YEAR(Lists!O$21)-YEAR($J29))*12+MONTH(Lists!O$21)-MONTH($J29))-(EDATE($J29,((YEAR(Lists!O$21)-YEAR($J29))*12+MONTH(Lists!O$21)-MONTH($J29)))&gt;Lists!O$21)+1)))-MIN(MAX(0,$H29),N($K29)*IF(Lists!O$22&lt;$J29,0,(((YEAR(Lists!O$22)-YEAR($J29))*12+MONTH(Lists!O$22)-MONTH($J29))-(EDATE($J29,((YEAR(Lists!O$22)-YEAR($J29))*12+MONTH(Lists!O$22)-MONTH($J29)))&gt;Lists!O$22)+1)))),N($C29)*IF($AE29-$AD29&lt;1,($AD29&gt;Lists!O$22)*($AD29&lt;=Lists!O$21),MAX(0,MIN(Lists!O$21,$AE29)-MAX(Lists!O$22,$AD29))/($AE29-$AD29))+N($D29)*IF($AG29-$AF29&lt;1,($AF29&gt;Lists!O$22)*($AF29&lt;=Lists!O$21),MAX(0,MIN(Lists!O$21,$AG29)-MAX(Lists!O$22,$AF29))/($AG29-$AF29))+N($E29)*IF($AI29-$AH29&lt;1,($AH29&gt;Lists!O$22)*($AH29&lt;=Lists!O$21),MAX(0,MIN(Lists!O$21,$AI29)-MAX(Lists!O$22,$AH29))/($AI29-$AH29))+N($F29)*IF($AK29-$AJ29&lt;1,($AJ29&gt;Lists!O$22)*($AJ29&lt;=Lists!O$21),MAX(0,MIN(Lists!O$21,$AK29)-MAX(Lists!O$22,$AJ29))/($AK29-$AJ29))+N($G29)*IF($AM29-$AL29&lt;1,($AL29&gt;Lists!O$22)*($AL29&lt;=Lists!O$21),MAX(0,MIN(Lists!O$21,$AM29)-MAX(Lists!O$22,$AL29))/($AM29-$AL29))))))))</f>
        <v>0</v>
      </c>
      <c r="Z29" s="46" t="n">
        <f aca="false">SUM(M29:Y29)</f>
        <v>0</v>
      </c>
      <c r="AA29" s="92" t="n">
        <f aca="false">H29-Z29</f>
        <v>0</v>
      </c>
      <c r="AB29" s="55"/>
      <c r="AC29" s="2"/>
      <c r="AD29" s="93" t="n">
        <f aca="false">Setup!$D$10+MAX(0,$AN29-30)</f>
        <v>46345</v>
      </c>
      <c r="AE29" s="93" t="n">
        <f aca="false">Setup!$D$10+IF($AN29-30&lt;0,MAX(Setup!$D$22,$AN29-0),$AN29-0)</f>
        <v>46375</v>
      </c>
      <c r="AF29" s="93" t="n">
        <f aca="false">Setup!$D$10+MAX(0,$AN29-60)</f>
        <v>46335</v>
      </c>
      <c r="AG29" s="93" t="n">
        <f aca="false">Setup!$D$10+IF($AN29-60&lt;0,MAX(Setup!$D$22,$AN29-31),$AN29-31)</f>
        <v>46363</v>
      </c>
      <c r="AH29" s="93" t="n">
        <f aca="false">Setup!$D$10+MAX(0,$AN29-90)</f>
        <v>46335</v>
      </c>
      <c r="AI29" s="93" t="n">
        <f aca="false">Setup!$D$10+IF($AN29-90&lt;0,MAX(Setup!$D$22,$AN29-61),$AN29-61)</f>
        <v>46363</v>
      </c>
      <c r="AJ29" s="93" t="n">
        <f aca="false">Setup!$D$10+MAX(0,$AN29-120)</f>
        <v>46335</v>
      </c>
      <c r="AK29" s="93" t="n">
        <f aca="false">Setup!$D$10+IF($AN29-120&lt;0,MAX(Setup!$D$22,$AN29-91),$AN29-91)</f>
        <v>46363</v>
      </c>
      <c r="AL29" s="93" t="n">
        <f aca="false">Setup!$D$10</f>
        <v>46335</v>
      </c>
      <c r="AM29" s="93" t="n">
        <f aca="false">IF(AL29=2958465,AL29,Setup!$D$10+Setup!$D$22)</f>
        <v>46363</v>
      </c>
      <c r="AN29" s="94" t="n">
        <f aca="false">IF(N(L29)=0,Setup!$D$21,L29)</f>
        <v>40</v>
      </c>
      <c r="AO29" s="94" t="n">
        <f aca="false">MAX(1,ROUND(N(K29),0))</f>
        <v>1</v>
      </c>
      <c r="AP29" s="95" t="str">
        <f aca="false">IF(I29="On hold","X",IF(N(J29)=0,"A",IF(I29="Specific date","S",IF(I29="Spread over days","D",IF(I29="Monthly on set day","M",IF(I29="Monthly fixed amount","F","A"))))))</f>
        <v>A</v>
      </c>
    </row>
    <row r="30" customFormat="false" ht="15" hidden="false" customHeight="false" outlineLevel="0" collapsed="false">
      <c r="A30" s="87" t="n">
        <v>22</v>
      </c>
      <c r="B30" s="55"/>
      <c r="C30" s="88"/>
      <c r="D30" s="88"/>
      <c r="E30" s="88"/>
      <c r="F30" s="88"/>
      <c r="G30" s="88"/>
      <c r="H30" s="89" t="n">
        <f aca="false">SUM(C30:G30)</f>
        <v>0</v>
      </c>
      <c r="I30" s="58"/>
      <c r="J30" s="90"/>
      <c r="K30" s="91"/>
      <c r="L30" s="80"/>
      <c r="M30" s="53" t="n">
        <f aca="false">IF($H30=0,0,IF($AP30="X",0,IF($AP30="S",$H30/$AO30*(MIN($AO30,MAX(0,INT((Lists!C$21-N($J30))/7)+1))-MIN($AO30,MAX(0,INT((Lists!C$22-N($J30))/7)+1))),IF($AP30="D",$H30*MAX(0,MIN(Lists!C$21,N($J30)+$AO30)-MAX(Lists!C$22,N($J30)))/$AO30,IF($AP30="M",$H30/$AO30*(IF(Lists!C$21&lt;$J30,0,MIN($AO30,(((YEAR(Lists!C$21)-YEAR($J30))*12+MONTH(Lists!C$21)-MONTH($J30))-(EDATE($J30,((YEAR(Lists!C$21)-YEAR($J30))*12+MONTH(Lists!C$21)-MONTH($J30)))&gt;Lists!C$21)+1)))-IF(Lists!C$22&lt;$J30,0,MIN($AO30,(((YEAR(Lists!C$22)-YEAR($J30))*12+MONTH(Lists!C$22)-MONTH($J30))-(EDATE($J30,((YEAR(Lists!C$22)-YEAR($J30))*12+MONTH(Lists!C$22)-MONTH($J30)))&gt;Lists!C$22)+1)))),IF($AP30="F",IF(N($K30)&lt;=0,0,MIN(MAX(0,$H30),N($K30)*IF(Lists!C$21&lt;$J30,0,(((YEAR(Lists!C$21)-YEAR($J30))*12+MONTH(Lists!C$21)-MONTH($J30))-(EDATE($J30,((YEAR(Lists!C$21)-YEAR($J30))*12+MONTH(Lists!C$21)-MONTH($J30)))&gt;Lists!C$21)+1)))-MIN(MAX(0,$H30),N($K30)*IF(Lists!C$22&lt;$J30,0,(((YEAR(Lists!C$22)-YEAR($J30))*12+MONTH(Lists!C$22)-MONTH($J30))-(EDATE($J30,((YEAR(Lists!C$22)-YEAR($J30))*12+MONTH(Lists!C$22)-MONTH($J30)))&gt;Lists!C$22)+1)))),N($C30)*IF($AE30-$AD30&lt;1,($AD30&gt;Lists!C$22)*($AD30&lt;=Lists!C$21),MAX(0,MIN(Lists!C$21,$AE30)-MAX(Lists!C$22,$AD30))/($AE30-$AD30))+N($D30)*IF($AG30-$AF30&lt;1,($AF30&gt;Lists!C$22)*($AF30&lt;=Lists!C$21),MAX(0,MIN(Lists!C$21,$AG30)-MAX(Lists!C$22,$AF30))/($AG30-$AF30))+N($E30)*IF($AI30-$AH30&lt;1,($AH30&gt;Lists!C$22)*($AH30&lt;=Lists!C$21),MAX(0,MIN(Lists!C$21,$AI30)-MAX(Lists!C$22,$AH30))/($AI30-$AH30))+N($F30)*IF($AK30-$AJ30&lt;1,($AJ30&gt;Lists!C$22)*($AJ30&lt;=Lists!C$21),MAX(0,MIN(Lists!C$21,$AK30)-MAX(Lists!C$22,$AJ30))/($AK30-$AJ30))+N($G30)*IF($AM30-$AL30&lt;1,($AL30&gt;Lists!C$22)*($AL30&lt;=Lists!C$21),MAX(0,MIN(Lists!C$21,$AM30)-MAX(Lists!C$22,$AL30))/($AM30-$AL30))))))))</f>
        <v>0</v>
      </c>
      <c r="N30" s="53" t="n">
        <f aca="false">IF($H30=0,0,IF($AP30="X",0,IF($AP30="S",$H30/$AO30*(MIN($AO30,MAX(0,INT((Lists!D$21-N($J30))/7)+1))-MIN($AO30,MAX(0,INT((Lists!D$22-N($J30))/7)+1))),IF($AP30="D",$H30*MAX(0,MIN(Lists!D$21,N($J30)+$AO30)-MAX(Lists!D$22,N($J30)))/$AO30,IF($AP30="M",$H30/$AO30*(IF(Lists!D$21&lt;$J30,0,MIN($AO30,(((YEAR(Lists!D$21)-YEAR($J30))*12+MONTH(Lists!D$21)-MONTH($J30))-(EDATE($J30,((YEAR(Lists!D$21)-YEAR($J30))*12+MONTH(Lists!D$21)-MONTH($J30)))&gt;Lists!D$21)+1)))-IF(Lists!D$22&lt;$J30,0,MIN($AO30,(((YEAR(Lists!D$22)-YEAR($J30))*12+MONTH(Lists!D$22)-MONTH($J30))-(EDATE($J30,((YEAR(Lists!D$22)-YEAR($J30))*12+MONTH(Lists!D$22)-MONTH($J30)))&gt;Lists!D$22)+1)))),IF($AP30="F",IF(N($K30)&lt;=0,0,MIN(MAX(0,$H30),N($K30)*IF(Lists!D$21&lt;$J30,0,(((YEAR(Lists!D$21)-YEAR($J30))*12+MONTH(Lists!D$21)-MONTH($J30))-(EDATE($J30,((YEAR(Lists!D$21)-YEAR($J30))*12+MONTH(Lists!D$21)-MONTH($J30)))&gt;Lists!D$21)+1)))-MIN(MAX(0,$H30),N($K30)*IF(Lists!D$22&lt;$J30,0,(((YEAR(Lists!D$22)-YEAR($J30))*12+MONTH(Lists!D$22)-MONTH($J30))-(EDATE($J30,((YEAR(Lists!D$22)-YEAR($J30))*12+MONTH(Lists!D$22)-MONTH($J30)))&gt;Lists!D$22)+1)))),N($C30)*IF($AE30-$AD30&lt;1,($AD30&gt;Lists!D$22)*($AD30&lt;=Lists!D$21),MAX(0,MIN(Lists!D$21,$AE30)-MAX(Lists!D$22,$AD30))/($AE30-$AD30))+N($D30)*IF($AG30-$AF30&lt;1,($AF30&gt;Lists!D$22)*($AF30&lt;=Lists!D$21),MAX(0,MIN(Lists!D$21,$AG30)-MAX(Lists!D$22,$AF30))/($AG30-$AF30))+N($E30)*IF($AI30-$AH30&lt;1,($AH30&gt;Lists!D$22)*($AH30&lt;=Lists!D$21),MAX(0,MIN(Lists!D$21,$AI30)-MAX(Lists!D$22,$AH30))/($AI30-$AH30))+N($F30)*IF($AK30-$AJ30&lt;1,($AJ30&gt;Lists!D$22)*($AJ30&lt;=Lists!D$21),MAX(0,MIN(Lists!D$21,$AK30)-MAX(Lists!D$22,$AJ30))/($AK30-$AJ30))+N($G30)*IF($AM30-$AL30&lt;1,($AL30&gt;Lists!D$22)*($AL30&lt;=Lists!D$21),MAX(0,MIN(Lists!D$21,$AM30)-MAX(Lists!D$22,$AL30))/($AM30-$AL30))))))))</f>
        <v>0</v>
      </c>
      <c r="O30" s="53" t="n">
        <f aca="false">IF($H30=0,0,IF($AP30="X",0,IF($AP30="S",$H30/$AO30*(MIN($AO30,MAX(0,INT((Lists!E$21-N($J30))/7)+1))-MIN($AO30,MAX(0,INT((Lists!E$22-N($J30))/7)+1))),IF($AP30="D",$H30*MAX(0,MIN(Lists!E$21,N($J30)+$AO30)-MAX(Lists!E$22,N($J30)))/$AO30,IF($AP30="M",$H30/$AO30*(IF(Lists!E$21&lt;$J30,0,MIN($AO30,(((YEAR(Lists!E$21)-YEAR($J30))*12+MONTH(Lists!E$21)-MONTH($J30))-(EDATE($J30,((YEAR(Lists!E$21)-YEAR($J30))*12+MONTH(Lists!E$21)-MONTH($J30)))&gt;Lists!E$21)+1)))-IF(Lists!E$22&lt;$J30,0,MIN($AO30,(((YEAR(Lists!E$22)-YEAR($J30))*12+MONTH(Lists!E$22)-MONTH($J30))-(EDATE($J30,((YEAR(Lists!E$22)-YEAR($J30))*12+MONTH(Lists!E$22)-MONTH($J30)))&gt;Lists!E$22)+1)))),IF($AP30="F",IF(N($K30)&lt;=0,0,MIN(MAX(0,$H30),N($K30)*IF(Lists!E$21&lt;$J30,0,(((YEAR(Lists!E$21)-YEAR($J30))*12+MONTH(Lists!E$21)-MONTH($J30))-(EDATE($J30,((YEAR(Lists!E$21)-YEAR($J30))*12+MONTH(Lists!E$21)-MONTH($J30)))&gt;Lists!E$21)+1)))-MIN(MAX(0,$H30),N($K30)*IF(Lists!E$22&lt;$J30,0,(((YEAR(Lists!E$22)-YEAR($J30))*12+MONTH(Lists!E$22)-MONTH($J30))-(EDATE($J30,((YEAR(Lists!E$22)-YEAR($J30))*12+MONTH(Lists!E$22)-MONTH($J30)))&gt;Lists!E$22)+1)))),N($C30)*IF($AE30-$AD30&lt;1,($AD30&gt;Lists!E$22)*($AD30&lt;=Lists!E$21),MAX(0,MIN(Lists!E$21,$AE30)-MAX(Lists!E$22,$AD30))/($AE30-$AD30))+N($D30)*IF($AG30-$AF30&lt;1,($AF30&gt;Lists!E$22)*($AF30&lt;=Lists!E$21),MAX(0,MIN(Lists!E$21,$AG30)-MAX(Lists!E$22,$AF30))/($AG30-$AF30))+N($E30)*IF($AI30-$AH30&lt;1,($AH30&gt;Lists!E$22)*($AH30&lt;=Lists!E$21),MAX(0,MIN(Lists!E$21,$AI30)-MAX(Lists!E$22,$AH30))/($AI30-$AH30))+N($F30)*IF($AK30-$AJ30&lt;1,($AJ30&gt;Lists!E$22)*($AJ30&lt;=Lists!E$21),MAX(0,MIN(Lists!E$21,$AK30)-MAX(Lists!E$22,$AJ30))/($AK30-$AJ30))+N($G30)*IF($AM30-$AL30&lt;1,($AL30&gt;Lists!E$22)*($AL30&lt;=Lists!E$21),MAX(0,MIN(Lists!E$21,$AM30)-MAX(Lists!E$22,$AL30))/($AM30-$AL30))))))))</f>
        <v>0</v>
      </c>
      <c r="P30" s="53" t="n">
        <f aca="false">IF($H30=0,0,IF($AP30="X",0,IF($AP30="S",$H30/$AO30*(MIN($AO30,MAX(0,INT((Lists!F$21-N($J30))/7)+1))-MIN($AO30,MAX(0,INT((Lists!F$22-N($J30))/7)+1))),IF($AP30="D",$H30*MAX(0,MIN(Lists!F$21,N($J30)+$AO30)-MAX(Lists!F$22,N($J30)))/$AO30,IF($AP30="M",$H30/$AO30*(IF(Lists!F$21&lt;$J30,0,MIN($AO30,(((YEAR(Lists!F$21)-YEAR($J30))*12+MONTH(Lists!F$21)-MONTH($J30))-(EDATE($J30,((YEAR(Lists!F$21)-YEAR($J30))*12+MONTH(Lists!F$21)-MONTH($J30)))&gt;Lists!F$21)+1)))-IF(Lists!F$22&lt;$J30,0,MIN($AO30,(((YEAR(Lists!F$22)-YEAR($J30))*12+MONTH(Lists!F$22)-MONTH($J30))-(EDATE($J30,((YEAR(Lists!F$22)-YEAR($J30))*12+MONTH(Lists!F$22)-MONTH($J30)))&gt;Lists!F$22)+1)))),IF($AP30="F",IF(N($K30)&lt;=0,0,MIN(MAX(0,$H30),N($K30)*IF(Lists!F$21&lt;$J30,0,(((YEAR(Lists!F$21)-YEAR($J30))*12+MONTH(Lists!F$21)-MONTH($J30))-(EDATE($J30,((YEAR(Lists!F$21)-YEAR($J30))*12+MONTH(Lists!F$21)-MONTH($J30)))&gt;Lists!F$21)+1)))-MIN(MAX(0,$H30),N($K30)*IF(Lists!F$22&lt;$J30,0,(((YEAR(Lists!F$22)-YEAR($J30))*12+MONTH(Lists!F$22)-MONTH($J30))-(EDATE($J30,((YEAR(Lists!F$22)-YEAR($J30))*12+MONTH(Lists!F$22)-MONTH($J30)))&gt;Lists!F$22)+1)))),N($C30)*IF($AE30-$AD30&lt;1,($AD30&gt;Lists!F$22)*($AD30&lt;=Lists!F$21),MAX(0,MIN(Lists!F$21,$AE30)-MAX(Lists!F$22,$AD30))/($AE30-$AD30))+N($D30)*IF($AG30-$AF30&lt;1,($AF30&gt;Lists!F$22)*($AF30&lt;=Lists!F$21),MAX(0,MIN(Lists!F$21,$AG30)-MAX(Lists!F$22,$AF30))/($AG30-$AF30))+N($E30)*IF($AI30-$AH30&lt;1,($AH30&gt;Lists!F$22)*($AH30&lt;=Lists!F$21),MAX(0,MIN(Lists!F$21,$AI30)-MAX(Lists!F$22,$AH30))/($AI30-$AH30))+N($F30)*IF($AK30-$AJ30&lt;1,($AJ30&gt;Lists!F$22)*($AJ30&lt;=Lists!F$21),MAX(0,MIN(Lists!F$21,$AK30)-MAX(Lists!F$22,$AJ30))/($AK30-$AJ30))+N($G30)*IF($AM30-$AL30&lt;1,($AL30&gt;Lists!F$22)*($AL30&lt;=Lists!F$21),MAX(0,MIN(Lists!F$21,$AM30)-MAX(Lists!F$22,$AL30))/($AM30-$AL30))))))))</f>
        <v>0</v>
      </c>
      <c r="Q30" s="53" t="n">
        <f aca="false">IF($H30=0,0,IF($AP30="X",0,IF($AP30="S",$H30/$AO30*(MIN($AO30,MAX(0,INT((Lists!G$21-N($J30))/7)+1))-MIN($AO30,MAX(0,INT((Lists!G$22-N($J30))/7)+1))),IF($AP30="D",$H30*MAX(0,MIN(Lists!G$21,N($J30)+$AO30)-MAX(Lists!G$22,N($J30)))/$AO30,IF($AP30="M",$H30/$AO30*(IF(Lists!G$21&lt;$J30,0,MIN($AO30,(((YEAR(Lists!G$21)-YEAR($J30))*12+MONTH(Lists!G$21)-MONTH($J30))-(EDATE($J30,((YEAR(Lists!G$21)-YEAR($J30))*12+MONTH(Lists!G$21)-MONTH($J30)))&gt;Lists!G$21)+1)))-IF(Lists!G$22&lt;$J30,0,MIN($AO30,(((YEAR(Lists!G$22)-YEAR($J30))*12+MONTH(Lists!G$22)-MONTH($J30))-(EDATE($J30,((YEAR(Lists!G$22)-YEAR($J30))*12+MONTH(Lists!G$22)-MONTH($J30)))&gt;Lists!G$22)+1)))),IF($AP30="F",IF(N($K30)&lt;=0,0,MIN(MAX(0,$H30),N($K30)*IF(Lists!G$21&lt;$J30,0,(((YEAR(Lists!G$21)-YEAR($J30))*12+MONTH(Lists!G$21)-MONTH($J30))-(EDATE($J30,((YEAR(Lists!G$21)-YEAR($J30))*12+MONTH(Lists!G$21)-MONTH($J30)))&gt;Lists!G$21)+1)))-MIN(MAX(0,$H30),N($K30)*IF(Lists!G$22&lt;$J30,0,(((YEAR(Lists!G$22)-YEAR($J30))*12+MONTH(Lists!G$22)-MONTH($J30))-(EDATE($J30,((YEAR(Lists!G$22)-YEAR($J30))*12+MONTH(Lists!G$22)-MONTH($J30)))&gt;Lists!G$22)+1)))),N($C30)*IF($AE30-$AD30&lt;1,($AD30&gt;Lists!G$22)*($AD30&lt;=Lists!G$21),MAX(0,MIN(Lists!G$21,$AE30)-MAX(Lists!G$22,$AD30))/($AE30-$AD30))+N($D30)*IF($AG30-$AF30&lt;1,($AF30&gt;Lists!G$22)*($AF30&lt;=Lists!G$21),MAX(0,MIN(Lists!G$21,$AG30)-MAX(Lists!G$22,$AF30))/($AG30-$AF30))+N($E30)*IF($AI30-$AH30&lt;1,($AH30&gt;Lists!G$22)*($AH30&lt;=Lists!G$21),MAX(0,MIN(Lists!G$21,$AI30)-MAX(Lists!G$22,$AH30))/($AI30-$AH30))+N($F30)*IF($AK30-$AJ30&lt;1,($AJ30&gt;Lists!G$22)*($AJ30&lt;=Lists!G$21),MAX(0,MIN(Lists!G$21,$AK30)-MAX(Lists!G$22,$AJ30))/($AK30-$AJ30))+N($G30)*IF($AM30-$AL30&lt;1,($AL30&gt;Lists!G$22)*($AL30&lt;=Lists!G$21),MAX(0,MIN(Lists!G$21,$AM30)-MAX(Lists!G$22,$AL30))/($AM30-$AL30))))))))</f>
        <v>0</v>
      </c>
      <c r="R30" s="53" t="n">
        <f aca="false">IF($H30=0,0,IF($AP30="X",0,IF($AP30="S",$H30/$AO30*(MIN($AO30,MAX(0,INT((Lists!H$21-N($J30))/7)+1))-MIN($AO30,MAX(0,INT((Lists!H$22-N($J30))/7)+1))),IF($AP30="D",$H30*MAX(0,MIN(Lists!H$21,N($J30)+$AO30)-MAX(Lists!H$22,N($J30)))/$AO30,IF($AP30="M",$H30/$AO30*(IF(Lists!H$21&lt;$J30,0,MIN($AO30,(((YEAR(Lists!H$21)-YEAR($J30))*12+MONTH(Lists!H$21)-MONTH($J30))-(EDATE($J30,((YEAR(Lists!H$21)-YEAR($J30))*12+MONTH(Lists!H$21)-MONTH($J30)))&gt;Lists!H$21)+1)))-IF(Lists!H$22&lt;$J30,0,MIN($AO30,(((YEAR(Lists!H$22)-YEAR($J30))*12+MONTH(Lists!H$22)-MONTH($J30))-(EDATE($J30,((YEAR(Lists!H$22)-YEAR($J30))*12+MONTH(Lists!H$22)-MONTH($J30)))&gt;Lists!H$22)+1)))),IF($AP30="F",IF(N($K30)&lt;=0,0,MIN(MAX(0,$H30),N($K30)*IF(Lists!H$21&lt;$J30,0,(((YEAR(Lists!H$21)-YEAR($J30))*12+MONTH(Lists!H$21)-MONTH($J30))-(EDATE($J30,((YEAR(Lists!H$21)-YEAR($J30))*12+MONTH(Lists!H$21)-MONTH($J30)))&gt;Lists!H$21)+1)))-MIN(MAX(0,$H30),N($K30)*IF(Lists!H$22&lt;$J30,0,(((YEAR(Lists!H$22)-YEAR($J30))*12+MONTH(Lists!H$22)-MONTH($J30))-(EDATE($J30,((YEAR(Lists!H$22)-YEAR($J30))*12+MONTH(Lists!H$22)-MONTH($J30)))&gt;Lists!H$22)+1)))),N($C30)*IF($AE30-$AD30&lt;1,($AD30&gt;Lists!H$22)*($AD30&lt;=Lists!H$21),MAX(0,MIN(Lists!H$21,$AE30)-MAX(Lists!H$22,$AD30))/($AE30-$AD30))+N($D30)*IF($AG30-$AF30&lt;1,($AF30&gt;Lists!H$22)*($AF30&lt;=Lists!H$21),MAX(0,MIN(Lists!H$21,$AG30)-MAX(Lists!H$22,$AF30))/($AG30-$AF30))+N($E30)*IF($AI30-$AH30&lt;1,($AH30&gt;Lists!H$22)*($AH30&lt;=Lists!H$21),MAX(0,MIN(Lists!H$21,$AI30)-MAX(Lists!H$22,$AH30))/($AI30-$AH30))+N($F30)*IF($AK30-$AJ30&lt;1,($AJ30&gt;Lists!H$22)*($AJ30&lt;=Lists!H$21),MAX(0,MIN(Lists!H$21,$AK30)-MAX(Lists!H$22,$AJ30))/($AK30-$AJ30))+N($G30)*IF($AM30-$AL30&lt;1,($AL30&gt;Lists!H$22)*($AL30&lt;=Lists!H$21),MAX(0,MIN(Lists!H$21,$AM30)-MAX(Lists!H$22,$AL30))/($AM30-$AL30))))))))</f>
        <v>0</v>
      </c>
      <c r="S30" s="53" t="n">
        <f aca="false">IF($H30=0,0,IF($AP30="X",0,IF($AP30="S",$H30/$AO30*(MIN($AO30,MAX(0,INT((Lists!I$21-N($J30))/7)+1))-MIN($AO30,MAX(0,INT((Lists!I$22-N($J30))/7)+1))),IF($AP30="D",$H30*MAX(0,MIN(Lists!I$21,N($J30)+$AO30)-MAX(Lists!I$22,N($J30)))/$AO30,IF($AP30="M",$H30/$AO30*(IF(Lists!I$21&lt;$J30,0,MIN($AO30,(((YEAR(Lists!I$21)-YEAR($J30))*12+MONTH(Lists!I$21)-MONTH($J30))-(EDATE($J30,((YEAR(Lists!I$21)-YEAR($J30))*12+MONTH(Lists!I$21)-MONTH($J30)))&gt;Lists!I$21)+1)))-IF(Lists!I$22&lt;$J30,0,MIN($AO30,(((YEAR(Lists!I$22)-YEAR($J30))*12+MONTH(Lists!I$22)-MONTH($J30))-(EDATE($J30,((YEAR(Lists!I$22)-YEAR($J30))*12+MONTH(Lists!I$22)-MONTH($J30)))&gt;Lists!I$22)+1)))),IF($AP30="F",IF(N($K30)&lt;=0,0,MIN(MAX(0,$H30),N($K30)*IF(Lists!I$21&lt;$J30,0,(((YEAR(Lists!I$21)-YEAR($J30))*12+MONTH(Lists!I$21)-MONTH($J30))-(EDATE($J30,((YEAR(Lists!I$21)-YEAR($J30))*12+MONTH(Lists!I$21)-MONTH($J30)))&gt;Lists!I$21)+1)))-MIN(MAX(0,$H30),N($K30)*IF(Lists!I$22&lt;$J30,0,(((YEAR(Lists!I$22)-YEAR($J30))*12+MONTH(Lists!I$22)-MONTH($J30))-(EDATE($J30,((YEAR(Lists!I$22)-YEAR($J30))*12+MONTH(Lists!I$22)-MONTH($J30)))&gt;Lists!I$22)+1)))),N($C30)*IF($AE30-$AD30&lt;1,($AD30&gt;Lists!I$22)*($AD30&lt;=Lists!I$21),MAX(0,MIN(Lists!I$21,$AE30)-MAX(Lists!I$22,$AD30))/($AE30-$AD30))+N($D30)*IF($AG30-$AF30&lt;1,($AF30&gt;Lists!I$22)*($AF30&lt;=Lists!I$21),MAX(0,MIN(Lists!I$21,$AG30)-MAX(Lists!I$22,$AF30))/($AG30-$AF30))+N($E30)*IF($AI30-$AH30&lt;1,($AH30&gt;Lists!I$22)*($AH30&lt;=Lists!I$21),MAX(0,MIN(Lists!I$21,$AI30)-MAX(Lists!I$22,$AH30))/($AI30-$AH30))+N($F30)*IF($AK30-$AJ30&lt;1,($AJ30&gt;Lists!I$22)*($AJ30&lt;=Lists!I$21),MAX(0,MIN(Lists!I$21,$AK30)-MAX(Lists!I$22,$AJ30))/($AK30-$AJ30))+N($G30)*IF($AM30-$AL30&lt;1,($AL30&gt;Lists!I$22)*($AL30&lt;=Lists!I$21),MAX(0,MIN(Lists!I$21,$AM30)-MAX(Lists!I$22,$AL30))/($AM30-$AL30))))))))</f>
        <v>0</v>
      </c>
      <c r="T30" s="53" t="n">
        <f aca="false">IF($H30=0,0,IF($AP30="X",0,IF($AP30="S",$H30/$AO30*(MIN($AO30,MAX(0,INT((Lists!J$21-N($J30))/7)+1))-MIN($AO30,MAX(0,INT((Lists!J$22-N($J30))/7)+1))),IF($AP30="D",$H30*MAX(0,MIN(Lists!J$21,N($J30)+$AO30)-MAX(Lists!J$22,N($J30)))/$AO30,IF($AP30="M",$H30/$AO30*(IF(Lists!J$21&lt;$J30,0,MIN($AO30,(((YEAR(Lists!J$21)-YEAR($J30))*12+MONTH(Lists!J$21)-MONTH($J30))-(EDATE($J30,((YEAR(Lists!J$21)-YEAR($J30))*12+MONTH(Lists!J$21)-MONTH($J30)))&gt;Lists!J$21)+1)))-IF(Lists!J$22&lt;$J30,0,MIN($AO30,(((YEAR(Lists!J$22)-YEAR($J30))*12+MONTH(Lists!J$22)-MONTH($J30))-(EDATE($J30,((YEAR(Lists!J$22)-YEAR($J30))*12+MONTH(Lists!J$22)-MONTH($J30)))&gt;Lists!J$22)+1)))),IF($AP30="F",IF(N($K30)&lt;=0,0,MIN(MAX(0,$H30),N($K30)*IF(Lists!J$21&lt;$J30,0,(((YEAR(Lists!J$21)-YEAR($J30))*12+MONTH(Lists!J$21)-MONTH($J30))-(EDATE($J30,((YEAR(Lists!J$21)-YEAR($J30))*12+MONTH(Lists!J$21)-MONTH($J30)))&gt;Lists!J$21)+1)))-MIN(MAX(0,$H30),N($K30)*IF(Lists!J$22&lt;$J30,0,(((YEAR(Lists!J$22)-YEAR($J30))*12+MONTH(Lists!J$22)-MONTH($J30))-(EDATE($J30,((YEAR(Lists!J$22)-YEAR($J30))*12+MONTH(Lists!J$22)-MONTH($J30)))&gt;Lists!J$22)+1)))),N($C30)*IF($AE30-$AD30&lt;1,($AD30&gt;Lists!J$22)*($AD30&lt;=Lists!J$21),MAX(0,MIN(Lists!J$21,$AE30)-MAX(Lists!J$22,$AD30))/($AE30-$AD30))+N($D30)*IF($AG30-$AF30&lt;1,($AF30&gt;Lists!J$22)*($AF30&lt;=Lists!J$21),MAX(0,MIN(Lists!J$21,$AG30)-MAX(Lists!J$22,$AF30))/($AG30-$AF30))+N($E30)*IF($AI30-$AH30&lt;1,($AH30&gt;Lists!J$22)*($AH30&lt;=Lists!J$21),MAX(0,MIN(Lists!J$21,$AI30)-MAX(Lists!J$22,$AH30))/($AI30-$AH30))+N($F30)*IF($AK30-$AJ30&lt;1,($AJ30&gt;Lists!J$22)*($AJ30&lt;=Lists!J$21),MAX(0,MIN(Lists!J$21,$AK30)-MAX(Lists!J$22,$AJ30))/($AK30-$AJ30))+N($G30)*IF($AM30-$AL30&lt;1,($AL30&gt;Lists!J$22)*($AL30&lt;=Lists!J$21),MAX(0,MIN(Lists!J$21,$AM30)-MAX(Lists!J$22,$AL30))/($AM30-$AL30))))))))</f>
        <v>0</v>
      </c>
      <c r="U30" s="53" t="n">
        <f aca="false">IF($H30=0,0,IF($AP30="X",0,IF($AP30="S",$H30/$AO30*(MIN($AO30,MAX(0,INT((Lists!K$21-N($J30))/7)+1))-MIN($AO30,MAX(0,INT((Lists!K$22-N($J30))/7)+1))),IF($AP30="D",$H30*MAX(0,MIN(Lists!K$21,N($J30)+$AO30)-MAX(Lists!K$22,N($J30)))/$AO30,IF($AP30="M",$H30/$AO30*(IF(Lists!K$21&lt;$J30,0,MIN($AO30,(((YEAR(Lists!K$21)-YEAR($J30))*12+MONTH(Lists!K$21)-MONTH($J30))-(EDATE($J30,((YEAR(Lists!K$21)-YEAR($J30))*12+MONTH(Lists!K$21)-MONTH($J30)))&gt;Lists!K$21)+1)))-IF(Lists!K$22&lt;$J30,0,MIN($AO30,(((YEAR(Lists!K$22)-YEAR($J30))*12+MONTH(Lists!K$22)-MONTH($J30))-(EDATE($J30,((YEAR(Lists!K$22)-YEAR($J30))*12+MONTH(Lists!K$22)-MONTH($J30)))&gt;Lists!K$22)+1)))),IF($AP30="F",IF(N($K30)&lt;=0,0,MIN(MAX(0,$H30),N($K30)*IF(Lists!K$21&lt;$J30,0,(((YEAR(Lists!K$21)-YEAR($J30))*12+MONTH(Lists!K$21)-MONTH($J30))-(EDATE($J30,((YEAR(Lists!K$21)-YEAR($J30))*12+MONTH(Lists!K$21)-MONTH($J30)))&gt;Lists!K$21)+1)))-MIN(MAX(0,$H30),N($K30)*IF(Lists!K$22&lt;$J30,0,(((YEAR(Lists!K$22)-YEAR($J30))*12+MONTH(Lists!K$22)-MONTH($J30))-(EDATE($J30,((YEAR(Lists!K$22)-YEAR($J30))*12+MONTH(Lists!K$22)-MONTH($J30)))&gt;Lists!K$22)+1)))),N($C30)*IF($AE30-$AD30&lt;1,($AD30&gt;Lists!K$22)*($AD30&lt;=Lists!K$21),MAX(0,MIN(Lists!K$21,$AE30)-MAX(Lists!K$22,$AD30))/($AE30-$AD30))+N($D30)*IF($AG30-$AF30&lt;1,($AF30&gt;Lists!K$22)*($AF30&lt;=Lists!K$21),MAX(0,MIN(Lists!K$21,$AG30)-MAX(Lists!K$22,$AF30))/($AG30-$AF30))+N($E30)*IF($AI30-$AH30&lt;1,($AH30&gt;Lists!K$22)*($AH30&lt;=Lists!K$21),MAX(0,MIN(Lists!K$21,$AI30)-MAX(Lists!K$22,$AH30))/($AI30-$AH30))+N($F30)*IF($AK30-$AJ30&lt;1,($AJ30&gt;Lists!K$22)*($AJ30&lt;=Lists!K$21),MAX(0,MIN(Lists!K$21,$AK30)-MAX(Lists!K$22,$AJ30))/($AK30-$AJ30))+N($G30)*IF($AM30-$AL30&lt;1,($AL30&gt;Lists!K$22)*($AL30&lt;=Lists!K$21),MAX(0,MIN(Lists!K$21,$AM30)-MAX(Lists!K$22,$AL30))/($AM30-$AL30))))))))</f>
        <v>0</v>
      </c>
      <c r="V30" s="53" t="n">
        <f aca="false">IF($H30=0,0,IF($AP30="X",0,IF($AP30="S",$H30/$AO30*(MIN($AO30,MAX(0,INT((Lists!L$21-N($J30))/7)+1))-MIN($AO30,MAX(0,INT((Lists!L$22-N($J30))/7)+1))),IF($AP30="D",$H30*MAX(0,MIN(Lists!L$21,N($J30)+$AO30)-MAX(Lists!L$22,N($J30)))/$AO30,IF($AP30="M",$H30/$AO30*(IF(Lists!L$21&lt;$J30,0,MIN($AO30,(((YEAR(Lists!L$21)-YEAR($J30))*12+MONTH(Lists!L$21)-MONTH($J30))-(EDATE($J30,((YEAR(Lists!L$21)-YEAR($J30))*12+MONTH(Lists!L$21)-MONTH($J30)))&gt;Lists!L$21)+1)))-IF(Lists!L$22&lt;$J30,0,MIN($AO30,(((YEAR(Lists!L$22)-YEAR($J30))*12+MONTH(Lists!L$22)-MONTH($J30))-(EDATE($J30,((YEAR(Lists!L$22)-YEAR($J30))*12+MONTH(Lists!L$22)-MONTH($J30)))&gt;Lists!L$22)+1)))),IF($AP30="F",IF(N($K30)&lt;=0,0,MIN(MAX(0,$H30),N($K30)*IF(Lists!L$21&lt;$J30,0,(((YEAR(Lists!L$21)-YEAR($J30))*12+MONTH(Lists!L$21)-MONTH($J30))-(EDATE($J30,((YEAR(Lists!L$21)-YEAR($J30))*12+MONTH(Lists!L$21)-MONTH($J30)))&gt;Lists!L$21)+1)))-MIN(MAX(0,$H30),N($K30)*IF(Lists!L$22&lt;$J30,0,(((YEAR(Lists!L$22)-YEAR($J30))*12+MONTH(Lists!L$22)-MONTH($J30))-(EDATE($J30,((YEAR(Lists!L$22)-YEAR($J30))*12+MONTH(Lists!L$22)-MONTH($J30)))&gt;Lists!L$22)+1)))),N($C30)*IF($AE30-$AD30&lt;1,($AD30&gt;Lists!L$22)*($AD30&lt;=Lists!L$21),MAX(0,MIN(Lists!L$21,$AE30)-MAX(Lists!L$22,$AD30))/($AE30-$AD30))+N($D30)*IF($AG30-$AF30&lt;1,($AF30&gt;Lists!L$22)*($AF30&lt;=Lists!L$21),MAX(0,MIN(Lists!L$21,$AG30)-MAX(Lists!L$22,$AF30))/($AG30-$AF30))+N($E30)*IF($AI30-$AH30&lt;1,($AH30&gt;Lists!L$22)*($AH30&lt;=Lists!L$21),MAX(0,MIN(Lists!L$21,$AI30)-MAX(Lists!L$22,$AH30))/($AI30-$AH30))+N($F30)*IF($AK30-$AJ30&lt;1,($AJ30&gt;Lists!L$22)*($AJ30&lt;=Lists!L$21),MAX(0,MIN(Lists!L$21,$AK30)-MAX(Lists!L$22,$AJ30))/($AK30-$AJ30))+N($G30)*IF($AM30-$AL30&lt;1,($AL30&gt;Lists!L$22)*($AL30&lt;=Lists!L$21),MAX(0,MIN(Lists!L$21,$AM30)-MAX(Lists!L$22,$AL30))/($AM30-$AL30))))))))</f>
        <v>0</v>
      </c>
      <c r="W30" s="53" t="n">
        <f aca="false">IF($H30=0,0,IF($AP30="X",0,IF($AP30="S",$H30/$AO30*(MIN($AO30,MAX(0,INT((Lists!M$21-N($J30))/7)+1))-MIN($AO30,MAX(0,INT((Lists!M$22-N($J30))/7)+1))),IF($AP30="D",$H30*MAX(0,MIN(Lists!M$21,N($J30)+$AO30)-MAX(Lists!M$22,N($J30)))/$AO30,IF($AP30="M",$H30/$AO30*(IF(Lists!M$21&lt;$J30,0,MIN($AO30,(((YEAR(Lists!M$21)-YEAR($J30))*12+MONTH(Lists!M$21)-MONTH($J30))-(EDATE($J30,((YEAR(Lists!M$21)-YEAR($J30))*12+MONTH(Lists!M$21)-MONTH($J30)))&gt;Lists!M$21)+1)))-IF(Lists!M$22&lt;$J30,0,MIN($AO30,(((YEAR(Lists!M$22)-YEAR($J30))*12+MONTH(Lists!M$22)-MONTH($J30))-(EDATE($J30,((YEAR(Lists!M$22)-YEAR($J30))*12+MONTH(Lists!M$22)-MONTH($J30)))&gt;Lists!M$22)+1)))),IF($AP30="F",IF(N($K30)&lt;=0,0,MIN(MAX(0,$H30),N($K30)*IF(Lists!M$21&lt;$J30,0,(((YEAR(Lists!M$21)-YEAR($J30))*12+MONTH(Lists!M$21)-MONTH($J30))-(EDATE($J30,((YEAR(Lists!M$21)-YEAR($J30))*12+MONTH(Lists!M$21)-MONTH($J30)))&gt;Lists!M$21)+1)))-MIN(MAX(0,$H30),N($K30)*IF(Lists!M$22&lt;$J30,0,(((YEAR(Lists!M$22)-YEAR($J30))*12+MONTH(Lists!M$22)-MONTH($J30))-(EDATE($J30,((YEAR(Lists!M$22)-YEAR($J30))*12+MONTH(Lists!M$22)-MONTH($J30)))&gt;Lists!M$22)+1)))),N($C30)*IF($AE30-$AD30&lt;1,($AD30&gt;Lists!M$22)*($AD30&lt;=Lists!M$21),MAX(0,MIN(Lists!M$21,$AE30)-MAX(Lists!M$22,$AD30))/($AE30-$AD30))+N($D30)*IF($AG30-$AF30&lt;1,($AF30&gt;Lists!M$22)*($AF30&lt;=Lists!M$21),MAX(0,MIN(Lists!M$21,$AG30)-MAX(Lists!M$22,$AF30))/($AG30-$AF30))+N($E30)*IF($AI30-$AH30&lt;1,($AH30&gt;Lists!M$22)*($AH30&lt;=Lists!M$21),MAX(0,MIN(Lists!M$21,$AI30)-MAX(Lists!M$22,$AH30))/($AI30-$AH30))+N($F30)*IF($AK30-$AJ30&lt;1,($AJ30&gt;Lists!M$22)*($AJ30&lt;=Lists!M$21),MAX(0,MIN(Lists!M$21,$AK30)-MAX(Lists!M$22,$AJ30))/($AK30-$AJ30))+N($G30)*IF($AM30-$AL30&lt;1,($AL30&gt;Lists!M$22)*($AL30&lt;=Lists!M$21),MAX(0,MIN(Lists!M$21,$AM30)-MAX(Lists!M$22,$AL30))/($AM30-$AL30))))))))</f>
        <v>0</v>
      </c>
      <c r="X30" s="53" t="n">
        <f aca="false">IF($H30=0,0,IF($AP30="X",0,IF($AP30="S",$H30/$AO30*(MIN($AO30,MAX(0,INT((Lists!N$21-N($J30))/7)+1))-MIN($AO30,MAX(0,INT((Lists!N$22-N($J30))/7)+1))),IF($AP30="D",$H30*MAX(0,MIN(Lists!N$21,N($J30)+$AO30)-MAX(Lists!N$22,N($J30)))/$AO30,IF($AP30="M",$H30/$AO30*(IF(Lists!N$21&lt;$J30,0,MIN($AO30,(((YEAR(Lists!N$21)-YEAR($J30))*12+MONTH(Lists!N$21)-MONTH($J30))-(EDATE($J30,((YEAR(Lists!N$21)-YEAR($J30))*12+MONTH(Lists!N$21)-MONTH($J30)))&gt;Lists!N$21)+1)))-IF(Lists!N$22&lt;$J30,0,MIN($AO30,(((YEAR(Lists!N$22)-YEAR($J30))*12+MONTH(Lists!N$22)-MONTH($J30))-(EDATE($J30,((YEAR(Lists!N$22)-YEAR($J30))*12+MONTH(Lists!N$22)-MONTH($J30)))&gt;Lists!N$22)+1)))),IF($AP30="F",IF(N($K30)&lt;=0,0,MIN(MAX(0,$H30),N($K30)*IF(Lists!N$21&lt;$J30,0,(((YEAR(Lists!N$21)-YEAR($J30))*12+MONTH(Lists!N$21)-MONTH($J30))-(EDATE($J30,((YEAR(Lists!N$21)-YEAR($J30))*12+MONTH(Lists!N$21)-MONTH($J30)))&gt;Lists!N$21)+1)))-MIN(MAX(0,$H30),N($K30)*IF(Lists!N$22&lt;$J30,0,(((YEAR(Lists!N$22)-YEAR($J30))*12+MONTH(Lists!N$22)-MONTH($J30))-(EDATE($J30,((YEAR(Lists!N$22)-YEAR($J30))*12+MONTH(Lists!N$22)-MONTH($J30)))&gt;Lists!N$22)+1)))),N($C30)*IF($AE30-$AD30&lt;1,($AD30&gt;Lists!N$22)*($AD30&lt;=Lists!N$21),MAX(0,MIN(Lists!N$21,$AE30)-MAX(Lists!N$22,$AD30))/($AE30-$AD30))+N($D30)*IF($AG30-$AF30&lt;1,($AF30&gt;Lists!N$22)*($AF30&lt;=Lists!N$21),MAX(0,MIN(Lists!N$21,$AG30)-MAX(Lists!N$22,$AF30))/($AG30-$AF30))+N($E30)*IF($AI30-$AH30&lt;1,($AH30&gt;Lists!N$22)*($AH30&lt;=Lists!N$21),MAX(0,MIN(Lists!N$21,$AI30)-MAX(Lists!N$22,$AH30))/($AI30-$AH30))+N($F30)*IF($AK30-$AJ30&lt;1,($AJ30&gt;Lists!N$22)*($AJ30&lt;=Lists!N$21),MAX(0,MIN(Lists!N$21,$AK30)-MAX(Lists!N$22,$AJ30))/($AK30-$AJ30))+N($G30)*IF($AM30-$AL30&lt;1,($AL30&gt;Lists!N$22)*($AL30&lt;=Lists!N$21),MAX(0,MIN(Lists!N$21,$AM30)-MAX(Lists!N$22,$AL30))/($AM30-$AL30))))))))</f>
        <v>0</v>
      </c>
      <c r="Y30" s="53" t="n">
        <f aca="false">IF($H30=0,0,IF($AP30="X",0,IF($AP30="S",$H30/$AO30*(MIN($AO30,MAX(0,INT((Lists!O$21-N($J30))/7)+1))-MIN($AO30,MAX(0,INT((Lists!O$22-N($J30))/7)+1))),IF($AP30="D",$H30*MAX(0,MIN(Lists!O$21,N($J30)+$AO30)-MAX(Lists!O$22,N($J30)))/$AO30,IF($AP30="M",$H30/$AO30*(IF(Lists!O$21&lt;$J30,0,MIN($AO30,(((YEAR(Lists!O$21)-YEAR($J30))*12+MONTH(Lists!O$21)-MONTH($J30))-(EDATE($J30,((YEAR(Lists!O$21)-YEAR($J30))*12+MONTH(Lists!O$21)-MONTH($J30)))&gt;Lists!O$21)+1)))-IF(Lists!O$22&lt;$J30,0,MIN($AO30,(((YEAR(Lists!O$22)-YEAR($J30))*12+MONTH(Lists!O$22)-MONTH($J30))-(EDATE($J30,((YEAR(Lists!O$22)-YEAR($J30))*12+MONTH(Lists!O$22)-MONTH($J30)))&gt;Lists!O$22)+1)))),IF($AP30="F",IF(N($K30)&lt;=0,0,MIN(MAX(0,$H30),N($K30)*IF(Lists!O$21&lt;$J30,0,(((YEAR(Lists!O$21)-YEAR($J30))*12+MONTH(Lists!O$21)-MONTH($J30))-(EDATE($J30,((YEAR(Lists!O$21)-YEAR($J30))*12+MONTH(Lists!O$21)-MONTH($J30)))&gt;Lists!O$21)+1)))-MIN(MAX(0,$H30),N($K30)*IF(Lists!O$22&lt;$J30,0,(((YEAR(Lists!O$22)-YEAR($J30))*12+MONTH(Lists!O$22)-MONTH($J30))-(EDATE($J30,((YEAR(Lists!O$22)-YEAR($J30))*12+MONTH(Lists!O$22)-MONTH($J30)))&gt;Lists!O$22)+1)))),N($C30)*IF($AE30-$AD30&lt;1,($AD30&gt;Lists!O$22)*($AD30&lt;=Lists!O$21),MAX(0,MIN(Lists!O$21,$AE30)-MAX(Lists!O$22,$AD30))/($AE30-$AD30))+N($D30)*IF($AG30-$AF30&lt;1,($AF30&gt;Lists!O$22)*($AF30&lt;=Lists!O$21),MAX(0,MIN(Lists!O$21,$AG30)-MAX(Lists!O$22,$AF30))/($AG30-$AF30))+N($E30)*IF($AI30-$AH30&lt;1,($AH30&gt;Lists!O$22)*($AH30&lt;=Lists!O$21),MAX(0,MIN(Lists!O$21,$AI30)-MAX(Lists!O$22,$AH30))/($AI30-$AH30))+N($F30)*IF($AK30-$AJ30&lt;1,($AJ30&gt;Lists!O$22)*($AJ30&lt;=Lists!O$21),MAX(0,MIN(Lists!O$21,$AK30)-MAX(Lists!O$22,$AJ30))/($AK30-$AJ30))+N($G30)*IF($AM30-$AL30&lt;1,($AL30&gt;Lists!O$22)*($AL30&lt;=Lists!O$21),MAX(0,MIN(Lists!O$21,$AM30)-MAX(Lists!O$22,$AL30))/($AM30-$AL30))))))))</f>
        <v>0</v>
      </c>
      <c r="Z30" s="46" t="n">
        <f aca="false">SUM(M30:Y30)</f>
        <v>0</v>
      </c>
      <c r="AA30" s="92" t="n">
        <f aca="false">H30-Z30</f>
        <v>0</v>
      </c>
      <c r="AB30" s="55"/>
      <c r="AC30" s="2"/>
      <c r="AD30" s="93" t="n">
        <f aca="false">Setup!$D$10+MAX(0,$AN30-30)</f>
        <v>46345</v>
      </c>
      <c r="AE30" s="93" t="n">
        <f aca="false">Setup!$D$10+IF($AN30-30&lt;0,MAX(Setup!$D$22,$AN30-0),$AN30-0)</f>
        <v>46375</v>
      </c>
      <c r="AF30" s="93" t="n">
        <f aca="false">Setup!$D$10+MAX(0,$AN30-60)</f>
        <v>46335</v>
      </c>
      <c r="AG30" s="93" t="n">
        <f aca="false">Setup!$D$10+IF($AN30-60&lt;0,MAX(Setup!$D$22,$AN30-31),$AN30-31)</f>
        <v>46363</v>
      </c>
      <c r="AH30" s="93" t="n">
        <f aca="false">Setup!$D$10+MAX(0,$AN30-90)</f>
        <v>46335</v>
      </c>
      <c r="AI30" s="93" t="n">
        <f aca="false">Setup!$D$10+IF($AN30-90&lt;0,MAX(Setup!$D$22,$AN30-61),$AN30-61)</f>
        <v>46363</v>
      </c>
      <c r="AJ30" s="93" t="n">
        <f aca="false">Setup!$D$10+MAX(0,$AN30-120)</f>
        <v>46335</v>
      </c>
      <c r="AK30" s="93" t="n">
        <f aca="false">Setup!$D$10+IF($AN30-120&lt;0,MAX(Setup!$D$22,$AN30-91),$AN30-91)</f>
        <v>46363</v>
      </c>
      <c r="AL30" s="93" t="n">
        <f aca="false">Setup!$D$10</f>
        <v>46335</v>
      </c>
      <c r="AM30" s="93" t="n">
        <f aca="false">IF(AL30=2958465,AL30,Setup!$D$10+Setup!$D$22)</f>
        <v>46363</v>
      </c>
      <c r="AN30" s="94" t="n">
        <f aca="false">IF(N(L30)=0,Setup!$D$21,L30)</f>
        <v>40</v>
      </c>
      <c r="AO30" s="94" t="n">
        <f aca="false">MAX(1,ROUND(N(K30),0))</f>
        <v>1</v>
      </c>
      <c r="AP30" s="95" t="str">
        <f aca="false">IF(I30="On hold","X",IF(N(J30)=0,"A",IF(I30="Specific date","S",IF(I30="Spread over days","D",IF(I30="Monthly on set day","M",IF(I30="Monthly fixed amount","F","A"))))))</f>
        <v>A</v>
      </c>
    </row>
    <row r="31" customFormat="false" ht="15" hidden="false" customHeight="false" outlineLevel="0" collapsed="false">
      <c r="A31" s="87" t="n">
        <v>23</v>
      </c>
      <c r="B31" s="55"/>
      <c r="C31" s="88"/>
      <c r="D31" s="88"/>
      <c r="E31" s="88"/>
      <c r="F31" s="88"/>
      <c r="G31" s="88"/>
      <c r="H31" s="89" t="n">
        <f aca="false">SUM(C31:G31)</f>
        <v>0</v>
      </c>
      <c r="I31" s="58"/>
      <c r="J31" s="90"/>
      <c r="K31" s="91"/>
      <c r="L31" s="80"/>
      <c r="M31" s="53" t="n">
        <f aca="false">IF($H31=0,0,IF($AP31="X",0,IF($AP31="S",$H31/$AO31*(MIN($AO31,MAX(0,INT((Lists!C$21-N($J31))/7)+1))-MIN($AO31,MAX(0,INT((Lists!C$22-N($J31))/7)+1))),IF($AP31="D",$H31*MAX(0,MIN(Lists!C$21,N($J31)+$AO31)-MAX(Lists!C$22,N($J31)))/$AO31,IF($AP31="M",$H31/$AO31*(IF(Lists!C$21&lt;$J31,0,MIN($AO31,(((YEAR(Lists!C$21)-YEAR($J31))*12+MONTH(Lists!C$21)-MONTH($J31))-(EDATE($J31,((YEAR(Lists!C$21)-YEAR($J31))*12+MONTH(Lists!C$21)-MONTH($J31)))&gt;Lists!C$21)+1)))-IF(Lists!C$22&lt;$J31,0,MIN($AO31,(((YEAR(Lists!C$22)-YEAR($J31))*12+MONTH(Lists!C$22)-MONTH($J31))-(EDATE($J31,((YEAR(Lists!C$22)-YEAR($J31))*12+MONTH(Lists!C$22)-MONTH($J31)))&gt;Lists!C$22)+1)))),IF($AP31="F",IF(N($K31)&lt;=0,0,MIN(MAX(0,$H31),N($K31)*IF(Lists!C$21&lt;$J31,0,(((YEAR(Lists!C$21)-YEAR($J31))*12+MONTH(Lists!C$21)-MONTH($J31))-(EDATE($J31,((YEAR(Lists!C$21)-YEAR($J31))*12+MONTH(Lists!C$21)-MONTH($J31)))&gt;Lists!C$21)+1)))-MIN(MAX(0,$H31),N($K31)*IF(Lists!C$22&lt;$J31,0,(((YEAR(Lists!C$22)-YEAR($J31))*12+MONTH(Lists!C$22)-MONTH($J31))-(EDATE($J31,((YEAR(Lists!C$22)-YEAR($J31))*12+MONTH(Lists!C$22)-MONTH($J31)))&gt;Lists!C$22)+1)))),N($C31)*IF($AE31-$AD31&lt;1,($AD31&gt;Lists!C$22)*($AD31&lt;=Lists!C$21),MAX(0,MIN(Lists!C$21,$AE31)-MAX(Lists!C$22,$AD31))/($AE31-$AD31))+N($D31)*IF($AG31-$AF31&lt;1,($AF31&gt;Lists!C$22)*($AF31&lt;=Lists!C$21),MAX(0,MIN(Lists!C$21,$AG31)-MAX(Lists!C$22,$AF31))/($AG31-$AF31))+N($E31)*IF($AI31-$AH31&lt;1,($AH31&gt;Lists!C$22)*($AH31&lt;=Lists!C$21),MAX(0,MIN(Lists!C$21,$AI31)-MAX(Lists!C$22,$AH31))/($AI31-$AH31))+N($F31)*IF($AK31-$AJ31&lt;1,($AJ31&gt;Lists!C$22)*($AJ31&lt;=Lists!C$21),MAX(0,MIN(Lists!C$21,$AK31)-MAX(Lists!C$22,$AJ31))/($AK31-$AJ31))+N($G31)*IF($AM31-$AL31&lt;1,($AL31&gt;Lists!C$22)*($AL31&lt;=Lists!C$21),MAX(0,MIN(Lists!C$21,$AM31)-MAX(Lists!C$22,$AL31))/($AM31-$AL31))))))))</f>
        <v>0</v>
      </c>
      <c r="N31" s="53" t="n">
        <f aca="false">IF($H31=0,0,IF($AP31="X",0,IF($AP31="S",$H31/$AO31*(MIN($AO31,MAX(0,INT((Lists!D$21-N($J31))/7)+1))-MIN($AO31,MAX(0,INT((Lists!D$22-N($J31))/7)+1))),IF($AP31="D",$H31*MAX(0,MIN(Lists!D$21,N($J31)+$AO31)-MAX(Lists!D$22,N($J31)))/$AO31,IF($AP31="M",$H31/$AO31*(IF(Lists!D$21&lt;$J31,0,MIN($AO31,(((YEAR(Lists!D$21)-YEAR($J31))*12+MONTH(Lists!D$21)-MONTH($J31))-(EDATE($J31,((YEAR(Lists!D$21)-YEAR($J31))*12+MONTH(Lists!D$21)-MONTH($J31)))&gt;Lists!D$21)+1)))-IF(Lists!D$22&lt;$J31,0,MIN($AO31,(((YEAR(Lists!D$22)-YEAR($J31))*12+MONTH(Lists!D$22)-MONTH($J31))-(EDATE($J31,((YEAR(Lists!D$22)-YEAR($J31))*12+MONTH(Lists!D$22)-MONTH($J31)))&gt;Lists!D$22)+1)))),IF($AP31="F",IF(N($K31)&lt;=0,0,MIN(MAX(0,$H31),N($K31)*IF(Lists!D$21&lt;$J31,0,(((YEAR(Lists!D$21)-YEAR($J31))*12+MONTH(Lists!D$21)-MONTH($J31))-(EDATE($J31,((YEAR(Lists!D$21)-YEAR($J31))*12+MONTH(Lists!D$21)-MONTH($J31)))&gt;Lists!D$21)+1)))-MIN(MAX(0,$H31),N($K31)*IF(Lists!D$22&lt;$J31,0,(((YEAR(Lists!D$22)-YEAR($J31))*12+MONTH(Lists!D$22)-MONTH($J31))-(EDATE($J31,((YEAR(Lists!D$22)-YEAR($J31))*12+MONTH(Lists!D$22)-MONTH($J31)))&gt;Lists!D$22)+1)))),N($C31)*IF($AE31-$AD31&lt;1,($AD31&gt;Lists!D$22)*($AD31&lt;=Lists!D$21),MAX(0,MIN(Lists!D$21,$AE31)-MAX(Lists!D$22,$AD31))/($AE31-$AD31))+N($D31)*IF($AG31-$AF31&lt;1,($AF31&gt;Lists!D$22)*($AF31&lt;=Lists!D$21),MAX(0,MIN(Lists!D$21,$AG31)-MAX(Lists!D$22,$AF31))/($AG31-$AF31))+N($E31)*IF($AI31-$AH31&lt;1,($AH31&gt;Lists!D$22)*($AH31&lt;=Lists!D$21),MAX(0,MIN(Lists!D$21,$AI31)-MAX(Lists!D$22,$AH31))/($AI31-$AH31))+N($F31)*IF($AK31-$AJ31&lt;1,($AJ31&gt;Lists!D$22)*($AJ31&lt;=Lists!D$21),MAX(0,MIN(Lists!D$21,$AK31)-MAX(Lists!D$22,$AJ31))/($AK31-$AJ31))+N($G31)*IF($AM31-$AL31&lt;1,($AL31&gt;Lists!D$22)*($AL31&lt;=Lists!D$21),MAX(0,MIN(Lists!D$21,$AM31)-MAX(Lists!D$22,$AL31))/($AM31-$AL31))))))))</f>
        <v>0</v>
      </c>
      <c r="O31" s="53" t="n">
        <f aca="false">IF($H31=0,0,IF($AP31="X",0,IF($AP31="S",$H31/$AO31*(MIN($AO31,MAX(0,INT((Lists!E$21-N($J31))/7)+1))-MIN($AO31,MAX(0,INT((Lists!E$22-N($J31))/7)+1))),IF($AP31="D",$H31*MAX(0,MIN(Lists!E$21,N($J31)+$AO31)-MAX(Lists!E$22,N($J31)))/$AO31,IF($AP31="M",$H31/$AO31*(IF(Lists!E$21&lt;$J31,0,MIN($AO31,(((YEAR(Lists!E$21)-YEAR($J31))*12+MONTH(Lists!E$21)-MONTH($J31))-(EDATE($J31,((YEAR(Lists!E$21)-YEAR($J31))*12+MONTH(Lists!E$21)-MONTH($J31)))&gt;Lists!E$21)+1)))-IF(Lists!E$22&lt;$J31,0,MIN($AO31,(((YEAR(Lists!E$22)-YEAR($J31))*12+MONTH(Lists!E$22)-MONTH($J31))-(EDATE($J31,((YEAR(Lists!E$22)-YEAR($J31))*12+MONTH(Lists!E$22)-MONTH($J31)))&gt;Lists!E$22)+1)))),IF($AP31="F",IF(N($K31)&lt;=0,0,MIN(MAX(0,$H31),N($K31)*IF(Lists!E$21&lt;$J31,0,(((YEAR(Lists!E$21)-YEAR($J31))*12+MONTH(Lists!E$21)-MONTH($J31))-(EDATE($J31,((YEAR(Lists!E$21)-YEAR($J31))*12+MONTH(Lists!E$21)-MONTH($J31)))&gt;Lists!E$21)+1)))-MIN(MAX(0,$H31),N($K31)*IF(Lists!E$22&lt;$J31,0,(((YEAR(Lists!E$22)-YEAR($J31))*12+MONTH(Lists!E$22)-MONTH($J31))-(EDATE($J31,((YEAR(Lists!E$22)-YEAR($J31))*12+MONTH(Lists!E$22)-MONTH($J31)))&gt;Lists!E$22)+1)))),N($C31)*IF($AE31-$AD31&lt;1,($AD31&gt;Lists!E$22)*($AD31&lt;=Lists!E$21),MAX(0,MIN(Lists!E$21,$AE31)-MAX(Lists!E$22,$AD31))/($AE31-$AD31))+N($D31)*IF($AG31-$AF31&lt;1,($AF31&gt;Lists!E$22)*($AF31&lt;=Lists!E$21),MAX(0,MIN(Lists!E$21,$AG31)-MAX(Lists!E$22,$AF31))/($AG31-$AF31))+N($E31)*IF($AI31-$AH31&lt;1,($AH31&gt;Lists!E$22)*($AH31&lt;=Lists!E$21),MAX(0,MIN(Lists!E$21,$AI31)-MAX(Lists!E$22,$AH31))/($AI31-$AH31))+N($F31)*IF($AK31-$AJ31&lt;1,($AJ31&gt;Lists!E$22)*($AJ31&lt;=Lists!E$21),MAX(0,MIN(Lists!E$21,$AK31)-MAX(Lists!E$22,$AJ31))/($AK31-$AJ31))+N($G31)*IF($AM31-$AL31&lt;1,($AL31&gt;Lists!E$22)*($AL31&lt;=Lists!E$21),MAX(0,MIN(Lists!E$21,$AM31)-MAX(Lists!E$22,$AL31))/($AM31-$AL31))))))))</f>
        <v>0</v>
      </c>
      <c r="P31" s="53" t="n">
        <f aca="false">IF($H31=0,0,IF($AP31="X",0,IF($AP31="S",$H31/$AO31*(MIN($AO31,MAX(0,INT((Lists!F$21-N($J31))/7)+1))-MIN($AO31,MAX(0,INT((Lists!F$22-N($J31))/7)+1))),IF($AP31="D",$H31*MAX(0,MIN(Lists!F$21,N($J31)+$AO31)-MAX(Lists!F$22,N($J31)))/$AO31,IF($AP31="M",$H31/$AO31*(IF(Lists!F$21&lt;$J31,0,MIN($AO31,(((YEAR(Lists!F$21)-YEAR($J31))*12+MONTH(Lists!F$21)-MONTH($J31))-(EDATE($J31,((YEAR(Lists!F$21)-YEAR($J31))*12+MONTH(Lists!F$21)-MONTH($J31)))&gt;Lists!F$21)+1)))-IF(Lists!F$22&lt;$J31,0,MIN($AO31,(((YEAR(Lists!F$22)-YEAR($J31))*12+MONTH(Lists!F$22)-MONTH($J31))-(EDATE($J31,((YEAR(Lists!F$22)-YEAR($J31))*12+MONTH(Lists!F$22)-MONTH($J31)))&gt;Lists!F$22)+1)))),IF($AP31="F",IF(N($K31)&lt;=0,0,MIN(MAX(0,$H31),N($K31)*IF(Lists!F$21&lt;$J31,0,(((YEAR(Lists!F$21)-YEAR($J31))*12+MONTH(Lists!F$21)-MONTH($J31))-(EDATE($J31,((YEAR(Lists!F$21)-YEAR($J31))*12+MONTH(Lists!F$21)-MONTH($J31)))&gt;Lists!F$21)+1)))-MIN(MAX(0,$H31),N($K31)*IF(Lists!F$22&lt;$J31,0,(((YEAR(Lists!F$22)-YEAR($J31))*12+MONTH(Lists!F$22)-MONTH($J31))-(EDATE($J31,((YEAR(Lists!F$22)-YEAR($J31))*12+MONTH(Lists!F$22)-MONTH($J31)))&gt;Lists!F$22)+1)))),N($C31)*IF($AE31-$AD31&lt;1,($AD31&gt;Lists!F$22)*($AD31&lt;=Lists!F$21),MAX(0,MIN(Lists!F$21,$AE31)-MAX(Lists!F$22,$AD31))/($AE31-$AD31))+N($D31)*IF($AG31-$AF31&lt;1,($AF31&gt;Lists!F$22)*($AF31&lt;=Lists!F$21),MAX(0,MIN(Lists!F$21,$AG31)-MAX(Lists!F$22,$AF31))/($AG31-$AF31))+N($E31)*IF($AI31-$AH31&lt;1,($AH31&gt;Lists!F$22)*($AH31&lt;=Lists!F$21),MAX(0,MIN(Lists!F$21,$AI31)-MAX(Lists!F$22,$AH31))/($AI31-$AH31))+N($F31)*IF($AK31-$AJ31&lt;1,($AJ31&gt;Lists!F$22)*($AJ31&lt;=Lists!F$21),MAX(0,MIN(Lists!F$21,$AK31)-MAX(Lists!F$22,$AJ31))/($AK31-$AJ31))+N($G31)*IF($AM31-$AL31&lt;1,($AL31&gt;Lists!F$22)*($AL31&lt;=Lists!F$21),MAX(0,MIN(Lists!F$21,$AM31)-MAX(Lists!F$22,$AL31))/($AM31-$AL31))))))))</f>
        <v>0</v>
      </c>
      <c r="Q31" s="53" t="n">
        <f aca="false">IF($H31=0,0,IF($AP31="X",0,IF($AP31="S",$H31/$AO31*(MIN($AO31,MAX(0,INT((Lists!G$21-N($J31))/7)+1))-MIN($AO31,MAX(0,INT((Lists!G$22-N($J31))/7)+1))),IF($AP31="D",$H31*MAX(0,MIN(Lists!G$21,N($J31)+$AO31)-MAX(Lists!G$22,N($J31)))/$AO31,IF($AP31="M",$H31/$AO31*(IF(Lists!G$21&lt;$J31,0,MIN($AO31,(((YEAR(Lists!G$21)-YEAR($J31))*12+MONTH(Lists!G$21)-MONTH($J31))-(EDATE($J31,((YEAR(Lists!G$21)-YEAR($J31))*12+MONTH(Lists!G$21)-MONTH($J31)))&gt;Lists!G$21)+1)))-IF(Lists!G$22&lt;$J31,0,MIN($AO31,(((YEAR(Lists!G$22)-YEAR($J31))*12+MONTH(Lists!G$22)-MONTH($J31))-(EDATE($J31,((YEAR(Lists!G$22)-YEAR($J31))*12+MONTH(Lists!G$22)-MONTH($J31)))&gt;Lists!G$22)+1)))),IF($AP31="F",IF(N($K31)&lt;=0,0,MIN(MAX(0,$H31),N($K31)*IF(Lists!G$21&lt;$J31,0,(((YEAR(Lists!G$21)-YEAR($J31))*12+MONTH(Lists!G$21)-MONTH($J31))-(EDATE($J31,((YEAR(Lists!G$21)-YEAR($J31))*12+MONTH(Lists!G$21)-MONTH($J31)))&gt;Lists!G$21)+1)))-MIN(MAX(0,$H31),N($K31)*IF(Lists!G$22&lt;$J31,0,(((YEAR(Lists!G$22)-YEAR($J31))*12+MONTH(Lists!G$22)-MONTH($J31))-(EDATE($J31,((YEAR(Lists!G$22)-YEAR($J31))*12+MONTH(Lists!G$22)-MONTH($J31)))&gt;Lists!G$22)+1)))),N($C31)*IF($AE31-$AD31&lt;1,($AD31&gt;Lists!G$22)*($AD31&lt;=Lists!G$21),MAX(0,MIN(Lists!G$21,$AE31)-MAX(Lists!G$22,$AD31))/($AE31-$AD31))+N($D31)*IF($AG31-$AF31&lt;1,($AF31&gt;Lists!G$22)*($AF31&lt;=Lists!G$21),MAX(0,MIN(Lists!G$21,$AG31)-MAX(Lists!G$22,$AF31))/($AG31-$AF31))+N($E31)*IF($AI31-$AH31&lt;1,($AH31&gt;Lists!G$22)*($AH31&lt;=Lists!G$21),MAX(0,MIN(Lists!G$21,$AI31)-MAX(Lists!G$22,$AH31))/($AI31-$AH31))+N($F31)*IF($AK31-$AJ31&lt;1,($AJ31&gt;Lists!G$22)*($AJ31&lt;=Lists!G$21),MAX(0,MIN(Lists!G$21,$AK31)-MAX(Lists!G$22,$AJ31))/($AK31-$AJ31))+N($G31)*IF($AM31-$AL31&lt;1,($AL31&gt;Lists!G$22)*($AL31&lt;=Lists!G$21),MAX(0,MIN(Lists!G$21,$AM31)-MAX(Lists!G$22,$AL31))/($AM31-$AL31))))))))</f>
        <v>0</v>
      </c>
      <c r="R31" s="53" t="n">
        <f aca="false">IF($H31=0,0,IF($AP31="X",0,IF($AP31="S",$H31/$AO31*(MIN($AO31,MAX(0,INT((Lists!H$21-N($J31))/7)+1))-MIN($AO31,MAX(0,INT((Lists!H$22-N($J31))/7)+1))),IF($AP31="D",$H31*MAX(0,MIN(Lists!H$21,N($J31)+$AO31)-MAX(Lists!H$22,N($J31)))/$AO31,IF($AP31="M",$H31/$AO31*(IF(Lists!H$21&lt;$J31,0,MIN($AO31,(((YEAR(Lists!H$21)-YEAR($J31))*12+MONTH(Lists!H$21)-MONTH($J31))-(EDATE($J31,((YEAR(Lists!H$21)-YEAR($J31))*12+MONTH(Lists!H$21)-MONTH($J31)))&gt;Lists!H$21)+1)))-IF(Lists!H$22&lt;$J31,0,MIN($AO31,(((YEAR(Lists!H$22)-YEAR($J31))*12+MONTH(Lists!H$22)-MONTH($J31))-(EDATE($J31,((YEAR(Lists!H$22)-YEAR($J31))*12+MONTH(Lists!H$22)-MONTH($J31)))&gt;Lists!H$22)+1)))),IF($AP31="F",IF(N($K31)&lt;=0,0,MIN(MAX(0,$H31),N($K31)*IF(Lists!H$21&lt;$J31,0,(((YEAR(Lists!H$21)-YEAR($J31))*12+MONTH(Lists!H$21)-MONTH($J31))-(EDATE($J31,((YEAR(Lists!H$21)-YEAR($J31))*12+MONTH(Lists!H$21)-MONTH($J31)))&gt;Lists!H$21)+1)))-MIN(MAX(0,$H31),N($K31)*IF(Lists!H$22&lt;$J31,0,(((YEAR(Lists!H$22)-YEAR($J31))*12+MONTH(Lists!H$22)-MONTH($J31))-(EDATE($J31,((YEAR(Lists!H$22)-YEAR($J31))*12+MONTH(Lists!H$22)-MONTH($J31)))&gt;Lists!H$22)+1)))),N($C31)*IF($AE31-$AD31&lt;1,($AD31&gt;Lists!H$22)*($AD31&lt;=Lists!H$21),MAX(0,MIN(Lists!H$21,$AE31)-MAX(Lists!H$22,$AD31))/($AE31-$AD31))+N($D31)*IF($AG31-$AF31&lt;1,($AF31&gt;Lists!H$22)*($AF31&lt;=Lists!H$21),MAX(0,MIN(Lists!H$21,$AG31)-MAX(Lists!H$22,$AF31))/($AG31-$AF31))+N($E31)*IF($AI31-$AH31&lt;1,($AH31&gt;Lists!H$22)*($AH31&lt;=Lists!H$21),MAX(0,MIN(Lists!H$21,$AI31)-MAX(Lists!H$22,$AH31))/($AI31-$AH31))+N($F31)*IF($AK31-$AJ31&lt;1,($AJ31&gt;Lists!H$22)*($AJ31&lt;=Lists!H$21),MAX(0,MIN(Lists!H$21,$AK31)-MAX(Lists!H$22,$AJ31))/($AK31-$AJ31))+N($G31)*IF($AM31-$AL31&lt;1,($AL31&gt;Lists!H$22)*($AL31&lt;=Lists!H$21),MAX(0,MIN(Lists!H$21,$AM31)-MAX(Lists!H$22,$AL31))/($AM31-$AL31))))))))</f>
        <v>0</v>
      </c>
      <c r="S31" s="53" t="n">
        <f aca="false">IF($H31=0,0,IF($AP31="X",0,IF($AP31="S",$H31/$AO31*(MIN($AO31,MAX(0,INT((Lists!I$21-N($J31))/7)+1))-MIN($AO31,MAX(0,INT((Lists!I$22-N($J31))/7)+1))),IF($AP31="D",$H31*MAX(0,MIN(Lists!I$21,N($J31)+$AO31)-MAX(Lists!I$22,N($J31)))/$AO31,IF($AP31="M",$H31/$AO31*(IF(Lists!I$21&lt;$J31,0,MIN($AO31,(((YEAR(Lists!I$21)-YEAR($J31))*12+MONTH(Lists!I$21)-MONTH($J31))-(EDATE($J31,((YEAR(Lists!I$21)-YEAR($J31))*12+MONTH(Lists!I$21)-MONTH($J31)))&gt;Lists!I$21)+1)))-IF(Lists!I$22&lt;$J31,0,MIN($AO31,(((YEAR(Lists!I$22)-YEAR($J31))*12+MONTH(Lists!I$22)-MONTH($J31))-(EDATE($J31,((YEAR(Lists!I$22)-YEAR($J31))*12+MONTH(Lists!I$22)-MONTH($J31)))&gt;Lists!I$22)+1)))),IF($AP31="F",IF(N($K31)&lt;=0,0,MIN(MAX(0,$H31),N($K31)*IF(Lists!I$21&lt;$J31,0,(((YEAR(Lists!I$21)-YEAR($J31))*12+MONTH(Lists!I$21)-MONTH($J31))-(EDATE($J31,((YEAR(Lists!I$21)-YEAR($J31))*12+MONTH(Lists!I$21)-MONTH($J31)))&gt;Lists!I$21)+1)))-MIN(MAX(0,$H31),N($K31)*IF(Lists!I$22&lt;$J31,0,(((YEAR(Lists!I$22)-YEAR($J31))*12+MONTH(Lists!I$22)-MONTH($J31))-(EDATE($J31,((YEAR(Lists!I$22)-YEAR($J31))*12+MONTH(Lists!I$22)-MONTH($J31)))&gt;Lists!I$22)+1)))),N($C31)*IF($AE31-$AD31&lt;1,($AD31&gt;Lists!I$22)*($AD31&lt;=Lists!I$21),MAX(0,MIN(Lists!I$21,$AE31)-MAX(Lists!I$22,$AD31))/($AE31-$AD31))+N($D31)*IF($AG31-$AF31&lt;1,($AF31&gt;Lists!I$22)*($AF31&lt;=Lists!I$21),MAX(0,MIN(Lists!I$21,$AG31)-MAX(Lists!I$22,$AF31))/($AG31-$AF31))+N($E31)*IF($AI31-$AH31&lt;1,($AH31&gt;Lists!I$22)*($AH31&lt;=Lists!I$21),MAX(0,MIN(Lists!I$21,$AI31)-MAX(Lists!I$22,$AH31))/($AI31-$AH31))+N($F31)*IF($AK31-$AJ31&lt;1,($AJ31&gt;Lists!I$22)*($AJ31&lt;=Lists!I$21),MAX(0,MIN(Lists!I$21,$AK31)-MAX(Lists!I$22,$AJ31))/($AK31-$AJ31))+N($G31)*IF($AM31-$AL31&lt;1,($AL31&gt;Lists!I$22)*($AL31&lt;=Lists!I$21),MAX(0,MIN(Lists!I$21,$AM31)-MAX(Lists!I$22,$AL31))/($AM31-$AL31))))))))</f>
        <v>0</v>
      </c>
      <c r="T31" s="53" t="n">
        <f aca="false">IF($H31=0,0,IF($AP31="X",0,IF($AP31="S",$H31/$AO31*(MIN($AO31,MAX(0,INT((Lists!J$21-N($J31))/7)+1))-MIN($AO31,MAX(0,INT((Lists!J$22-N($J31))/7)+1))),IF($AP31="D",$H31*MAX(0,MIN(Lists!J$21,N($J31)+$AO31)-MAX(Lists!J$22,N($J31)))/$AO31,IF($AP31="M",$H31/$AO31*(IF(Lists!J$21&lt;$J31,0,MIN($AO31,(((YEAR(Lists!J$21)-YEAR($J31))*12+MONTH(Lists!J$21)-MONTH($J31))-(EDATE($J31,((YEAR(Lists!J$21)-YEAR($J31))*12+MONTH(Lists!J$21)-MONTH($J31)))&gt;Lists!J$21)+1)))-IF(Lists!J$22&lt;$J31,0,MIN($AO31,(((YEAR(Lists!J$22)-YEAR($J31))*12+MONTH(Lists!J$22)-MONTH($J31))-(EDATE($J31,((YEAR(Lists!J$22)-YEAR($J31))*12+MONTH(Lists!J$22)-MONTH($J31)))&gt;Lists!J$22)+1)))),IF($AP31="F",IF(N($K31)&lt;=0,0,MIN(MAX(0,$H31),N($K31)*IF(Lists!J$21&lt;$J31,0,(((YEAR(Lists!J$21)-YEAR($J31))*12+MONTH(Lists!J$21)-MONTH($J31))-(EDATE($J31,((YEAR(Lists!J$21)-YEAR($J31))*12+MONTH(Lists!J$21)-MONTH($J31)))&gt;Lists!J$21)+1)))-MIN(MAX(0,$H31),N($K31)*IF(Lists!J$22&lt;$J31,0,(((YEAR(Lists!J$22)-YEAR($J31))*12+MONTH(Lists!J$22)-MONTH($J31))-(EDATE($J31,((YEAR(Lists!J$22)-YEAR($J31))*12+MONTH(Lists!J$22)-MONTH($J31)))&gt;Lists!J$22)+1)))),N($C31)*IF($AE31-$AD31&lt;1,($AD31&gt;Lists!J$22)*($AD31&lt;=Lists!J$21),MAX(0,MIN(Lists!J$21,$AE31)-MAX(Lists!J$22,$AD31))/($AE31-$AD31))+N($D31)*IF($AG31-$AF31&lt;1,($AF31&gt;Lists!J$22)*($AF31&lt;=Lists!J$21),MAX(0,MIN(Lists!J$21,$AG31)-MAX(Lists!J$22,$AF31))/($AG31-$AF31))+N($E31)*IF($AI31-$AH31&lt;1,($AH31&gt;Lists!J$22)*($AH31&lt;=Lists!J$21),MAX(0,MIN(Lists!J$21,$AI31)-MAX(Lists!J$22,$AH31))/($AI31-$AH31))+N($F31)*IF($AK31-$AJ31&lt;1,($AJ31&gt;Lists!J$22)*($AJ31&lt;=Lists!J$21),MAX(0,MIN(Lists!J$21,$AK31)-MAX(Lists!J$22,$AJ31))/($AK31-$AJ31))+N($G31)*IF($AM31-$AL31&lt;1,($AL31&gt;Lists!J$22)*($AL31&lt;=Lists!J$21),MAX(0,MIN(Lists!J$21,$AM31)-MAX(Lists!J$22,$AL31))/($AM31-$AL31))))))))</f>
        <v>0</v>
      </c>
      <c r="U31" s="53" t="n">
        <f aca="false">IF($H31=0,0,IF($AP31="X",0,IF($AP31="S",$H31/$AO31*(MIN($AO31,MAX(0,INT((Lists!K$21-N($J31))/7)+1))-MIN($AO31,MAX(0,INT((Lists!K$22-N($J31))/7)+1))),IF($AP31="D",$H31*MAX(0,MIN(Lists!K$21,N($J31)+$AO31)-MAX(Lists!K$22,N($J31)))/$AO31,IF($AP31="M",$H31/$AO31*(IF(Lists!K$21&lt;$J31,0,MIN($AO31,(((YEAR(Lists!K$21)-YEAR($J31))*12+MONTH(Lists!K$21)-MONTH($J31))-(EDATE($J31,((YEAR(Lists!K$21)-YEAR($J31))*12+MONTH(Lists!K$21)-MONTH($J31)))&gt;Lists!K$21)+1)))-IF(Lists!K$22&lt;$J31,0,MIN($AO31,(((YEAR(Lists!K$22)-YEAR($J31))*12+MONTH(Lists!K$22)-MONTH($J31))-(EDATE($J31,((YEAR(Lists!K$22)-YEAR($J31))*12+MONTH(Lists!K$22)-MONTH($J31)))&gt;Lists!K$22)+1)))),IF($AP31="F",IF(N($K31)&lt;=0,0,MIN(MAX(0,$H31),N($K31)*IF(Lists!K$21&lt;$J31,0,(((YEAR(Lists!K$21)-YEAR($J31))*12+MONTH(Lists!K$21)-MONTH($J31))-(EDATE($J31,((YEAR(Lists!K$21)-YEAR($J31))*12+MONTH(Lists!K$21)-MONTH($J31)))&gt;Lists!K$21)+1)))-MIN(MAX(0,$H31),N($K31)*IF(Lists!K$22&lt;$J31,0,(((YEAR(Lists!K$22)-YEAR($J31))*12+MONTH(Lists!K$22)-MONTH($J31))-(EDATE($J31,((YEAR(Lists!K$22)-YEAR($J31))*12+MONTH(Lists!K$22)-MONTH($J31)))&gt;Lists!K$22)+1)))),N($C31)*IF($AE31-$AD31&lt;1,($AD31&gt;Lists!K$22)*($AD31&lt;=Lists!K$21),MAX(0,MIN(Lists!K$21,$AE31)-MAX(Lists!K$22,$AD31))/($AE31-$AD31))+N($D31)*IF($AG31-$AF31&lt;1,($AF31&gt;Lists!K$22)*($AF31&lt;=Lists!K$21),MAX(0,MIN(Lists!K$21,$AG31)-MAX(Lists!K$22,$AF31))/($AG31-$AF31))+N($E31)*IF($AI31-$AH31&lt;1,($AH31&gt;Lists!K$22)*($AH31&lt;=Lists!K$21),MAX(0,MIN(Lists!K$21,$AI31)-MAX(Lists!K$22,$AH31))/($AI31-$AH31))+N($F31)*IF($AK31-$AJ31&lt;1,($AJ31&gt;Lists!K$22)*($AJ31&lt;=Lists!K$21),MAX(0,MIN(Lists!K$21,$AK31)-MAX(Lists!K$22,$AJ31))/($AK31-$AJ31))+N($G31)*IF($AM31-$AL31&lt;1,($AL31&gt;Lists!K$22)*($AL31&lt;=Lists!K$21),MAX(0,MIN(Lists!K$21,$AM31)-MAX(Lists!K$22,$AL31))/($AM31-$AL31))))))))</f>
        <v>0</v>
      </c>
      <c r="V31" s="53" t="n">
        <f aca="false">IF($H31=0,0,IF($AP31="X",0,IF($AP31="S",$H31/$AO31*(MIN($AO31,MAX(0,INT((Lists!L$21-N($J31))/7)+1))-MIN($AO31,MAX(0,INT((Lists!L$22-N($J31))/7)+1))),IF($AP31="D",$H31*MAX(0,MIN(Lists!L$21,N($J31)+$AO31)-MAX(Lists!L$22,N($J31)))/$AO31,IF($AP31="M",$H31/$AO31*(IF(Lists!L$21&lt;$J31,0,MIN($AO31,(((YEAR(Lists!L$21)-YEAR($J31))*12+MONTH(Lists!L$21)-MONTH($J31))-(EDATE($J31,((YEAR(Lists!L$21)-YEAR($J31))*12+MONTH(Lists!L$21)-MONTH($J31)))&gt;Lists!L$21)+1)))-IF(Lists!L$22&lt;$J31,0,MIN($AO31,(((YEAR(Lists!L$22)-YEAR($J31))*12+MONTH(Lists!L$22)-MONTH($J31))-(EDATE($J31,((YEAR(Lists!L$22)-YEAR($J31))*12+MONTH(Lists!L$22)-MONTH($J31)))&gt;Lists!L$22)+1)))),IF($AP31="F",IF(N($K31)&lt;=0,0,MIN(MAX(0,$H31),N($K31)*IF(Lists!L$21&lt;$J31,0,(((YEAR(Lists!L$21)-YEAR($J31))*12+MONTH(Lists!L$21)-MONTH($J31))-(EDATE($J31,((YEAR(Lists!L$21)-YEAR($J31))*12+MONTH(Lists!L$21)-MONTH($J31)))&gt;Lists!L$21)+1)))-MIN(MAX(0,$H31),N($K31)*IF(Lists!L$22&lt;$J31,0,(((YEAR(Lists!L$22)-YEAR($J31))*12+MONTH(Lists!L$22)-MONTH($J31))-(EDATE($J31,((YEAR(Lists!L$22)-YEAR($J31))*12+MONTH(Lists!L$22)-MONTH($J31)))&gt;Lists!L$22)+1)))),N($C31)*IF($AE31-$AD31&lt;1,($AD31&gt;Lists!L$22)*($AD31&lt;=Lists!L$21),MAX(0,MIN(Lists!L$21,$AE31)-MAX(Lists!L$22,$AD31))/($AE31-$AD31))+N($D31)*IF($AG31-$AF31&lt;1,($AF31&gt;Lists!L$22)*($AF31&lt;=Lists!L$21),MAX(0,MIN(Lists!L$21,$AG31)-MAX(Lists!L$22,$AF31))/($AG31-$AF31))+N($E31)*IF($AI31-$AH31&lt;1,($AH31&gt;Lists!L$22)*($AH31&lt;=Lists!L$21),MAX(0,MIN(Lists!L$21,$AI31)-MAX(Lists!L$22,$AH31))/($AI31-$AH31))+N($F31)*IF($AK31-$AJ31&lt;1,($AJ31&gt;Lists!L$22)*($AJ31&lt;=Lists!L$21),MAX(0,MIN(Lists!L$21,$AK31)-MAX(Lists!L$22,$AJ31))/($AK31-$AJ31))+N($G31)*IF($AM31-$AL31&lt;1,($AL31&gt;Lists!L$22)*($AL31&lt;=Lists!L$21),MAX(0,MIN(Lists!L$21,$AM31)-MAX(Lists!L$22,$AL31))/($AM31-$AL31))))))))</f>
        <v>0</v>
      </c>
      <c r="W31" s="53" t="n">
        <f aca="false">IF($H31=0,0,IF($AP31="X",0,IF($AP31="S",$H31/$AO31*(MIN($AO31,MAX(0,INT((Lists!M$21-N($J31))/7)+1))-MIN($AO31,MAX(0,INT((Lists!M$22-N($J31))/7)+1))),IF($AP31="D",$H31*MAX(0,MIN(Lists!M$21,N($J31)+$AO31)-MAX(Lists!M$22,N($J31)))/$AO31,IF($AP31="M",$H31/$AO31*(IF(Lists!M$21&lt;$J31,0,MIN($AO31,(((YEAR(Lists!M$21)-YEAR($J31))*12+MONTH(Lists!M$21)-MONTH($J31))-(EDATE($J31,((YEAR(Lists!M$21)-YEAR($J31))*12+MONTH(Lists!M$21)-MONTH($J31)))&gt;Lists!M$21)+1)))-IF(Lists!M$22&lt;$J31,0,MIN($AO31,(((YEAR(Lists!M$22)-YEAR($J31))*12+MONTH(Lists!M$22)-MONTH($J31))-(EDATE($J31,((YEAR(Lists!M$22)-YEAR($J31))*12+MONTH(Lists!M$22)-MONTH($J31)))&gt;Lists!M$22)+1)))),IF($AP31="F",IF(N($K31)&lt;=0,0,MIN(MAX(0,$H31),N($K31)*IF(Lists!M$21&lt;$J31,0,(((YEAR(Lists!M$21)-YEAR($J31))*12+MONTH(Lists!M$21)-MONTH($J31))-(EDATE($J31,((YEAR(Lists!M$21)-YEAR($J31))*12+MONTH(Lists!M$21)-MONTH($J31)))&gt;Lists!M$21)+1)))-MIN(MAX(0,$H31),N($K31)*IF(Lists!M$22&lt;$J31,0,(((YEAR(Lists!M$22)-YEAR($J31))*12+MONTH(Lists!M$22)-MONTH($J31))-(EDATE($J31,((YEAR(Lists!M$22)-YEAR($J31))*12+MONTH(Lists!M$22)-MONTH($J31)))&gt;Lists!M$22)+1)))),N($C31)*IF($AE31-$AD31&lt;1,($AD31&gt;Lists!M$22)*($AD31&lt;=Lists!M$21),MAX(0,MIN(Lists!M$21,$AE31)-MAX(Lists!M$22,$AD31))/($AE31-$AD31))+N($D31)*IF($AG31-$AF31&lt;1,($AF31&gt;Lists!M$22)*($AF31&lt;=Lists!M$21),MAX(0,MIN(Lists!M$21,$AG31)-MAX(Lists!M$22,$AF31))/($AG31-$AF31))+N($E31)*IF($AI31-$AH31&lt;1,($AH31&gt;Lists!M$22)*($AH31&lt;=Lists!M$21),MAX(0,MIN(Lists!M$21,$AI31)-MAX(Lists!M$22,$AH31))/($AI31-$AH31))+N($F31)*IF($AK31-$AJ31&lt;1,($AJ31&gt;Lists!M$22)*($AJ31&lt;=Lists!M$21),MAX(0,MIN(Lists!M$21,$AK31)-MAX(Lists!M$22,$AJ31))/($AK31-$AJ31))+N($G31)*IF($AM31-$AL31&lt;1,($AL31&gt;Lists!M$22)*($AL31&lt;=Lists!M$21),MAX(0,MIN(Lists!M$21,$AM31)-MAX(Lists!M$22,$AL31))/($AM31-$AL31))))))))</f>
        <v>0</v>
      </c>
      <c r="X31" s="53" t="n">
        <f aca="false">IF($H31=0,0,IF($AP31="X",0,IF($AP31="S",$H31/$AO31*(MIN($AO31,MAX(0,INT((Lists!N$21-N($J31))/7)+1))-MIN($AO31,MAX(0,INT((Lists!N$22-N($J31))/7)+1))),IF($AP31="D",$H31*MAX(0,MIN(Lists!N$21,N($J31)+$AO31)-MAX(Lists!N$22,N($J31)))/$AO31,IF($AP31="M",$H31/$AO31*(IF(Lists!N$21&lt;$J31,0,MIN($AO31,(((YEAR(Lists!N$21)-YEAR($J31))*12+MONTH(Lists!N$21)-MONTH($J31))-(EDATE($J31,((YEAR(Lists!N$21)-YEAR($J31))*12+MONTH(Lists!N$21)-MONTH($J31)))&gt;Lists!N$21)+1)))-IF(Lists!N$22&lt;$J31,0,MIN($AO31,(((YEAR(Lists!N$22)-YEAR($J31))*12+MONTH(Lists!N$22)-MONTH($J31))-(EDATE($J31,((YEAR(Lists!N$22)-YEAR($J31))*12+MONTH(Lists!N$22)-MONTH($J31)))&gt;Lists!N$22)+1)))),IF($AP31="F",IF(N($K31)&lt;=0,0,MIN(MAX(0,$H31),N($K31)*IF(Lists!N$21&lt;$J31,0,(((YEAR(Lists!N$21)-YEAR($J31))*12+MONTH(Lists!N$21)-MONTH($J31))-(EDATE($J31,((YEAR(Lists!N$21)-YEAR($J31))*12+MONTH(Lists!N$21)-MONTH($J31)))&gt;Lists!N$21)+1)))-MIN(MAX(0,$H31),N($K31)*IF(Lists!N$22&lt;$J31,0,(((YEAR(Lists!N$22)-YEAR($J31))*12+MONTH(Lists!N$22)-MONTH($J31))-(EDATE($J31,((YEAR(Lists!N$22)-YEAR($J31))*12+MONTH(Lists!N$22)-MONTH($J31)))&gt;Lists!N$22)+1)))),N($C31)*IF($AE31-$AD31&lt;1,($AD31&gt;Lists!N$22)*($AD31&lt;=Lists!N$21),MAX(0,MIN(Lists!N$21,$AE31)-MAX(Lists!N$22,$AD31))/($AE31-$AD31))+N($D31)*IF($AG31-$AF31&lt;1,($AF31&gt;Lists!N$22)*($AF31&lt;=Lists!N$21),MAX(0,MIN(Lists!N$21,$AG31)-MAX(Lists!N$22,$AF31))/($AG31-$AF31))+N($E31)*IF($AI31-$AH31&lt;1,($AH31&gt;Lists!N$22)*($AH31&lt;=Lists!N$21),MAX(0,MIN(Lists!N$21,$AI31)-MAX(Lists!N$22,$AH31))/($AI31-$AH31))+N($F31)*IF($AK31-$AJ31&lt;1,($AJ31&gt;Lists!N$22)*($AJ31&lt;=Lists!N$21),MAX(0,MIN(Lists!N$21,$AK31)-MAX(Lists!N$22,$AJ31))/($AK31-$AJ31))+N($G31)*IF($AM31-$AL31&lt;1,($AL31&gt;Lists!N$22)*($AL31&lt;=Lists!N$21),MAX(0,MIN(Lists!N$21,$AM31)-MAX(Lists!N$22,$AL31))/($AM31-$AL31))))))))</f>
        <v>0</v>
      </c>
      <c r="Y31" s="53" t="n">
        <f aca="false">IF($H31=0,0,IF($AP31="X",0,IF($AP31="S",$H31/$AO31*(MIN($AO31,MAX(0,INT((Lists!O$21-N($J31))/7)+1))-MIN($AO31,MAX(0,INT((Lists!O$22-N($J31))/7)+1))),IF($AP31="D",$H31*MAX(0,MIN(Lists!O$21,N($J31)+$AO31)-MAX(Lists!O$22,N($J31)))/$AO31,IF($AP31="M",$H31/$AO31*(IF(Lists!O$21&lt;$J31,0,MIN($AO31,(((YEAR(Lists!O$21)-YEAR($J31))*12+MONTH(Lists!O$21)-MONTH($J31))-(EDATE($J31,((YEAR(Lists!O$21)-YEAR($J31))*12+MONTH(Lists!O$21)-MONTH($J31)))&gt;Lists!O$21)+1)))-IF(Lists!O$22&lt;$J31,0,MIN($AO31,(((YEAR(Lists!O$22)-YEAR($J31))*12+MONTH(Lists!O$22)-MONTH($J31))-(EDATE($J31,((YEAR(Lists!O$22)-YEAR($J31))*12+MONTH(Lists!O$22)-MONTH($J31)))&gt;Lists!O$22)+1)))),IF($AP31="F",IF(N($K31)&lt;=0,0,MIN(MAX(0,$H31),N($K31)*IF(Lists!O$21&lt;$J31,0,(((YEAR(Lists!O$21)-YEAR($J31))*12+MONTH(Lists!O$21)-MONTH($J31))-(EDATE($J31,((YEAR(Lists!O$21)-YEAR($J31))*12+MONTH(Lists!O$21)-MONTH($J31)))&gt;Lists!O$21)+1)))-MIN(MAX(0,$H31),N($K31)*IF(Lists!O$22&lt;$J31,0,(((YEAR(Lists!O$22)-YEAR($J31))*12+MONTH(Lists!O$22)-MONTH($J31))-(EDATE($J31,((YEAR(Lists!O$22)-YEAR($J31))*12+MONTH(Lists!O$22)-MONTH($J31)))&gt;Lists!O$22)+1)))),N($C31)*IF($AE31-$AD31&lt;1,($AD31&gt;Lists!O$22)*($AD31&lt;=Lists!O$21),MAX(0,MIN(Lists!O$21,$AE31)-MAX(Lists!O$22,$AD31))/($AE31-$AD31))+N($D31)*IF($AG31-$AF31&lt;1,($AF31&gt;Lists!O$22)*($AF31&lt;=Lists!O$21),MAX(0,MIN(Lists!O$21,$AG31)-MAX(Lists!O$22,$AF31))/($AG31-$AF31))+N($E31)*IF($AI31-$AH31&lt;1,($AH31&gt;Lists!O$22)*($AH31&lt;=Lists!O$21),MAX(0,MIN(Lists!O$21,$AI31)-MAX(Lists!O$22,$AH31))/($AI31-$AH31))+N($F31)*IF($AK31-$AJ31&lt;1,($AJ31&gt;Lists!O$22)*($AJ31&lt;=Lists!O$21),MAX(0,MIN(Lists!O$21,$AK31)-MAX(Lists!O$22,$AJ31))/($AK31-$AJ31))+N($G31)*IF($AM31-$AL31&lt;1,($AL31&gt;Lists!O$22)*($AL31&lt;=Lists!O$21),MAX(0,MIN(Lists!O$21,$AM31)-MAX(Lists!O$22,$AL31))/($AM31-$AL31))))))))</f>
        <v>0</v>
      </c>
      <c r="Z31" s="46" t="n">
        <f aca="false">SUM(M31:Y31)</f>
        <v>0</v>
      </c>
      <c r="AA31" s="92" t="n">
        <f aca="false">H31-Z31</f>
        <v>0</v>
      </c>
      <c r="AB31" s="55"/>
      <c r="AC31" s="2"/>
      <c r="AD31" s="93" t="n">
        <f aca="false">Setup!$D$10+MAX(0,$AN31-30)</f>
        <v>46345</v>
      </c>
      <c r="AE31" s="93" t="n">
        <f aca="false">Setup!$D$10+IF($AN31-30&lt;0,MAX(Setup!$D$22,$AN31-0),$AN31-0)</f>
        <v>46375</v>
      </c>
      <c r="AF31" s="93" t="n">
        <f aca="false">Setup!$D$10+MAX(0,$AN31-60)</f>
        <v>46335</v>
      </c>
      <c r="AG31" s="93" t="n">
        <f aca="false">Setup!$D$10+IF($AN31-60&lt;0,MAX(Setup!$D$22,$AN31-31),$AN31-31)</f>
        <v>46363</v>
      </c>
      <c r="AH31" s="93" t="n">
        <f aca="false">Setup!$D$10+MAX(0,$AN31-90)</f>
        <v>46335</v>
      </c>
      <c r="AI31" s="93" t="n">
        <f aca="false">Setup!$D$10+IF($AN31-90&lt;0,MAX(Setup!$D$22,$AN31-61),$AN31-61)</f>
        <v>46363</v>
      </c>
      <c r="AJ31" s="93" t="n">
        <f aca="false">Setup!$D$10+MAX(0,$AN31-120)</f>
        <v>46335</v>
      </c>
      <c r="AK31" s="93" t="n">
        <f aca="false">Setup!$D$10+IF($AN31-120&lt;0,MAX(Setup!$D$22,$AN31-91),$AN31-91)</f>
        <v>46363</v>
      </c>
      <c r="AL31" s="93" t="n">
        <f aca="false">Setup!$D$10</f>
        <v>46335</v>
      </c>
      <c r="AM31" s="93" t="n">
        <f aca="false">IF(AL31=2958465,AL31,Setup!$D$10+Setup!$D$22)</f>
        <v>46363</v>
      </c>
      <c r="AN31" s="94" t="n">
        <f aca="false">IF(N(L31)=0,Setup!$D$21,L31)</f>
        <v>40</v>
      </c>
      <c r="AO31" s="94" t="n">
        <f aca="false">MAX(1,ROUND(N(K31),0))</f>
        <v>1</v>
      </c>
      <c r="AP31" s="95" t="str">
        <f aca="false">IF(I31="On hold","X",IF(N(J31)=0,"A",IF(I31="Specific date","S",IF(I31="Spread over days","D",IF(I31="Monthly on set day","M",IF(I31="Monthly fixed amount","F","A"))))))</f>
        <v>A</v>
      </c>
    </row>
    <row r="32" customFormat="false" ht="15" hidden="false" customHeight="false" outlineLevel="0" collapsed="false">
      <c r="A32" s="87" t="n">
        <v>24</v>
      </c>
      <c r="B32" s="55"/>
      <c r="C32" s="88"/>
      <c r="D32" s="88"/>
      <c r="E32" s="88"/>
      <c r="F32" s="88"/>
      <c r="G32" s="88"/>
      <c r="H32" s="89" t="n">
        <f aca="false">SUM(C32:G32)</f>
        <v>0</v>
      </c>
      <c r="I32" s="58"/>
      <c r="J32" s="90"/>
      <c r="K32" s="91"/>
      <c r="L32" s="80"/>
      <c r="M32" s="53" t="n">
        <f aca="false">IF($H32=0,0,IF($AP32="X",0,IF($AP32="S",$H32/$AO32*(MIN($AO32,MAX(0,INT((Lists!C$21-N($J32))/7)+1))-MIN($AO32,MAX(0,INT((Lists!C$22-N($J32))/7)+1))),IF($AP32="D",$H32*MAX(0,MIN(Lists!C$21,N($J32)+$AO32)-MAX(Lists!C$22,N($J32)))/$AO32,IF($AP32="M",$H32/$AO32*(IF(Lists!C$21&lt;$J32,0,MIN($AO32,(((YEAR(Lists!C$21)-YEAR($J32))*12+MONTH(Lists!C$21)-MONTH($J32))-(EDATE($J32,((YEAR(Lists!C$21)-YEAR($J32))*12+MONTH(Lists!C$21)-MONTH($J32)))&gt;Lists!C$21)+1)))-IF(Lists!C$22&lt;$J32,0,MIN($AO32,(((YEAR(Lists!C$22)-YEAR($J32))*12+MONTH(Lists!C$22)-MONTH($J32))-(EDATE($J32,((YEAR(Lists!C$22)-YEAR($J32))*12+MONTH(Lists!C$22)-MONTH($J32)))&gt;Lists!C$22)+1)))),IF($AP32="F",IF(N($K32)&lt;=0,0,MIN(MAX(0,$H32),N($K32)*IF(Lists!C$21&lt;$J32,0,(((YEAR(Lists!C$21)-YEAR($J32))*12+MONTH(Lists!C$21)-MONTH($J32))-(EDATE($J32,((YEAR(Lists!C$21)-YEAR($J32))*12+MONTH(Lists!C$21)-MONTH($J32)))&gt;Lists!C$21)+1)))-MIN(MAX(0,$H32),N($K32)*IF(Lists!C$22&lt;$J32,0,(((YEAR(Lists!C$22)-YEAR($J32))*12+MONTH(Lists!C$22)-MONTH($J32))-(EDATE($J32,((YEAR(Lists!C$22)-YEAR($J32))*12+MONTH(Lists!C$22)-MONTH($J32)))&gt;Lists!C$22)+1)))),N($C32)*IF($AE32-$AD32&lt;1,($AD32&gt;Lists!C$22)*($AD32&lt;=Lists!C$21),MAX(0,MIN(Lists!C$21,$AE32)-MAX(Lists!C$22,$AD32))/($AE32-$AD32))+N($D32)*IF($AG32-$AF32&lt;1,($AF32&gt;Lists!C$22)*($AF32&lt;=Lists!C$21),MAX(0,MIN(Lists!C$21,$AG32)-MAX(Lists!C$22,$AF32))/($AG32-$AF32))+N($E32)*IF($AI32-$AH32&lt;1,($AH32&gt;Lists!C$22)*($AH32&lt;=Lists!C$21),MAX(0,MIN(Lists!C$21,$AI32)-MAX(Lists!C$22,$AH32))/($AI32-$AH32))+N($F32)*IF($AK32-$AJ32&lt;1,($AJ32&gt;Lists!C$22)*($AJ32&lt;=Lists!C$21),MAX(0,MIN(Lists!C$21,$AK32)-MAX(Lists!C$22,$AJ32))/($AK32-$AJ32))+N($G32)*IF($AM32-$AL32&lt;1,($AL32&gt;Lists!C$22)*($AL32&lt;=Lists!C$21),MAX(0,MIN(Lists!C$21,$AM32)-MAX(Lists!C$22,$AL32))/($AM32-$AL32))))))))</f>
        <v>0</v>
      </c>
      <c r="N32" s="53" t="n">
        <f aca="false">IF($H32=0,0,IF($AP32="X",0,IF($AP32="S",$H32/$AO32*(MIN($AO32,MAX(0,INT((Lists!D$21-N($J32))/7)+1))-MIN($AO32,MAX(0,INT((Lists!D$22-N($J32))/7)+1))),IF($AP32="D",$H32*MAX(0,MIN(Lists!D$21,N($J32)+$AO32)-MAX(Lists!D$22,N($J32)))/$AO32,IF($AP32="M",$H32/$AO32*(IF(Lists!D$21&lt;$J32,0,MIN($AO32,(((YEAR(Lists!D$21)-YEAR($J32))*12+MONTH(Lists!D$21)-MONTH($J32))-(EDATE($J32,((YEAR(Lists!D$21)-YEAR($J32))*12+MONTH(Lists!D$21)-MONTH($J32)))&gt;Lists!D$21)+1)))-IF(Lists!D$22&lt;$J32,0,MIN($AO32,(((YEAR(Lists!D$22)-YEAR($J32))*12+MONTH(Lists!D$22)-MONTH($J32))-(EDATE($J32,((YEAR(Lists!D$22)-YEAR($J32))*12+MONTH(Lists!D$22)-MONTH($J32)))&gt;Lists!D$22)+1)))),IF($AP32="F",IF(N($K32)&lt;=0,0,MIN(MAX(0,$H32),N($K32)*IF(Lists!D$21&lt;$J32,0,(((YEAR(Lists!D$21)-YEAR($J32))*12+MONTH(Lists!D$21)-MONTH($J32))-(EDATE($J32,((YEAR(Lists!D$21)-YEAR($J32))*12+MONTH(Lists!D$21)-MONTH($J32)))&gt;Lists!D$21)+1)))-MIN(MAX(0,$H32),N($K32)*IF(Lists!D$22&lt;$J32,0,(((YEAR(Lists!D$22)-YEAR($J32))*12+MONTH(Lists!D$22)-MONTH($J32))-(EDATE($J32,((YEAR(Lists!D$22)-YEAR($J32))*12+MONTH(Lists!D$22)-MONTH($J32)))&gt;Lists!D$22)+1)))),N($C32)*IF($AE32-$AD32&lt;1,($AD32&gt;Lists!D$22)*($AD32&lt;=Lists!D$21),MAX(0,MIN(Lists!D$21,$AE32)-MAX(Lists!D$22,$AD32))/($AE32-$AD32))+N($D32)*IF($AG32-$AF32&lt;1,($AF32&gt;Lists!D$22)*($AF32&lt;=Lists!D$21),MAX(0,MIN(Lists!D$21,$AG32)-MAX(Lists!D$22,$AF32))/($AG32-$AF32))+N($E32)*IF($AI32-$AH32&lt;1,($AH32&gt;Lists!D$22)*($AH32&lt;=Lists!D$21),MAX(0,MIN(Lists!D$21,$AI32)-MAX(Lists!D$22,$AH32))/($AI32-$AH32))+N($F32)*IF($AK32-$AJ32&lt;1,($AJ32&gt;Lists!D$22)*($AJ32&lt;=Lists!D$21),MAX(0,MIN(Lists!D$21,$AK32)-MAX(Lists!D$22,$AJ32))/($AK32-$AJ32))+N($G32)*IF($AM32-$AL32&lt;1,($AL32&gt;Lists!D$22)*($AL32&lt;=Lists!D$21),MAX(0,MIN(Lists!D$21,$AM32)-MAX(Lists!D$22,$AL32))/($AM32-$AL32))))))))</f>
        <v>0</v>
      </c>
      <c r="O32" s="53" t="n">
        <f aca="false">IF($H32=0,0,IF($AP32="X",0,IF($AP32="S",$H32/$AO32*(MIN($AO32,MAX(0,INT((Lists!E$21-N($J32))/7)+1))-MIN($AO32,MAX(0,INT((Lists!E$22-N($J32))/7)+1))),IF($AP32="D",$H32*MAX(0,MIN(Lists!E$21,N($J32)+$AO32)-MAX(Lists!E$22,N($J32)))/$AO32,IF($AP32="M",$H32/$AO32*(IF(Lists!E$21&lt;$J32,0,MIN($AO32,(((YEAR(Lists!E$21)-YEAR($J32))*12+MONTH(Lists!E$21)-MONTH($J32))-(EDATE($J32,((YEAR(Lists!E$21)-YEAR($J32))*12+MONTH(Lists!E$21)-MONTH($J32)))&gt;Lists!E$21)+1)))-IF(Lists!E$22&lt;$J32,0,MIN($AO32,(((YEAR(Lists!E$22)-YEAR($J32))*12+MONTH(Lists!E$22)-MONTH($J32))-(EDATE($J32,((YEAR(Lists!E$22)-YEAR($J32))*12+MONTH(Lists!E$22)-MONTH($J32)))&gt;Lists!E$22)+1)))),IF($AP32="F",IF(N($K32)&lt;=0,0,MIN(MAX(0,$H32),N($K32)*IF(Lists!E$21&lt;$J32,0,(((YEAR(Lists!E$21)-YEAR($J32))*12+MONTH(Lists!E$21)-MONTH($J32))-(EDATE($J32,((YEAR(Lists!E$21)-YEAR($J32))*12+MONTH(Lists!E$21)-MONTH($J32)))&gt;Lists!E$21)+1)))-MIN(MAX(0,$H32),N($K32)*IF(Lists!E$22&lt;$J32,0,(((YEAR(Lists!E$22)-YEAR($J32))*12+MONTH(Lists!E$22)-MONTH($J32))-(EDATE($J32,((YEAR(Lists!E$22)-YEAR($J32))*12+MONTH(Lists!E$22)-MONTH($J32)))&gt;Lists!E$22)+1)))),N($C32)*IF($AE32-$AD32&lt;1,($AD32&gt;Lists!E$22)*($AD32&lt;=Lists!E$21),MAX(0,MIN(Lists!E$21,$AE32)-MAX(Lists!E$22,$AD32))/($AE32-$AD32))+N($D32)*IF($AG32-$AF32&lt;1,($AF32&gt;Lists!E$22)*($AF32&lt;=Lists!E$21),MAX(0,MIN(Lists!E$21,$AG32)-MAX(Lists!E$22,$AF32))/($AG32-$AF32))+N($E32)*IF($AI32-$AH32&lt;1,($AH32&gt;Lists!E$22)*($AH32&lt;=Lists!E$21),MAX(0,MIN(Lists!E$21,$AI32)-MAX(Lists!E$22,$AH32))/($AI32-$AH32))+N($F32)*IF($AK32-$AJ32&lt;1,($AJ32&gt;Lists!E$22)*($AJ32&lt;=Lists!E$21),MAX(0,MIN(Lists!E$21,$AK32)-MAX(Lists!E$22,$AJ32))/($AK32-$AJ32))+N($G32)*IF($AM32-$AL32&lt;1,($AL32&gt;Lists!E$22)*($AL32&lt;=Lists!E$21),MAX(0,MIN(Lists!E$21,$AM32)-MAX(Lists!E$22,$AL32))/($AM32-$AL32))))))))</f>
        <v>0</v>
      </c>
      <c r="P32" s="53" t="n">
        <f aca="false">IF($H32=0,0,IF($AP32="X",0,IF($AP32="S",$H32/$AO32*(MIN($AO32,MAX(0,INT((Lists!F$21-N($J32))/7)+1))-MIN($AO32,MAX(0,INT((Lists!F$22-N($J32))/7)+1))),IF($AP32="D",$H32*MAX(0,MIN(Lists!F$21,N($J32)+$AO32)-MAX(Lists!F$22,N($J32)))/$AO32,IF($AP32="M",$H32/$AO32*(IF(Lists!F$21&lt;$J32,0,MIN($AO32,(((YEAR(Lists!F$21)-YEAR($J32))*12+MONTH(Lists!F$21)-MONTH($J32))-(EDATE($J32,((YEAR(Lists!F$21)-YEAR($J32))*12+MONTH(Lists!F$21)-MONTH($J32)))&gt;Lists!F$21)+1)))-IF(Lists!F$22&lt;$J32,0,MIN($AO32,(((YEAR(Lists!F$22)-YEAR($J32))*12+MONTH(Lists!F$22)-MONTH($J32))-(EDATE($J32,((YEAR(Lists!F$22)-YEAR($J32))*12+MONTH(Lists!F$22)-MONTH($J32)))&gt;Lists!F$22)+1)))),IF($AP32="F",IF(N($K32)&lt;=0,0,MIN(MAX(0,$H32),N($K32)*IF(Lists!F$21&lt;$J32,0,(((YEAR(Lists!F$21)-YEAR($J32))*12+MONTH(Lists!F$21)-MONTH($J32))-(EDATE($J32,((YEAR(Lists!F$21)-YEAR($J32))*12+MONTH(Lists!F$21)-MONTH($J32)))&gt;Lists!F$21)+1)))-MIN(MAX(0,$H32),N($K32)*IF(Lists!F$22&lt;$J32,0,(((YEAR(Lists!F$22)-YEAR($J32))*12+MONTH(Lists!F$22)-MONTH($J32))-(EDATE($J32,((YEAR(Lists!F$22)-YEAR($J32))*12+MONTH(Lists!F$22)-MONTH($J32)))&gt;Lists!F$22)+1)))),N($C32)*IF($AE32-$AD32&lt;1,($AD32&gt;Lists!F$22)*($AD32&lt;=Lists!F$21),MAX(0,MIN(Lists!F$21,$AE32)-MAX(Lists!F$22,$AD32))/($AE32-$AD32))+N($D32)*IF($AG32-$AF32&lt;1,($AF32&gt;Lists!F$22)*($AF32&lt;=Lists!F$21),MAX(0,MIN(Lists!F$21,$AG32)-MAX(Lists!F$22,$AF32))/($AG32-$AF32))+N($E32)*IF($AI32-$AH32&lt;1,($AH32&gt;Lists!F$22)*($AH32&lt;=Lists!F$21),MAX(0,MIN(Lists!F$21,$AI32)-MAX(Lists!F$22,$AH32))/($AI32-$AH32))+N($F32)*IF($AK32-$AJ32&lt;1,($AJ32&gt;Lists!F$22)*($AJ32&lt;=Lists!F$21),MAX(0,MIN(Lists!F$21,$AK32)-MAX(Lists!F$22,$AJ32))/($AK32-$AJ32))+N($G32)*IF($AM32-$AL32&lt;1,($AL32&gt;Lists!F$22)*($AL32&lt;=Lists!F$21),MAX(0,MIN(Lists!F$21,$AM32)-MAX(Lists!F$22,$AL32))/($AM32-$AL32))))))))</f>
        <v>0</v>
      </c>
      <c r="Q32" s="53" t="n">
        <f aca="false">IF($H32=0,0,IF($AP32="X",0,IF($AP32="S",$H32/$AO32*(MIN($AO32,MAX(0,INT((Lists!G$21-N($J32))/7)+1))-MIN($AO32,MAX(0,INT((Lists!G$22-N($J32))/7)+1))),IF($AP32="D",$H32*MAX(0,MIN(Lists!G$21,N($J32)+$AO32)-MAX(Lists!G$22,N($J32)))/$AO32,IF($AP32="M",$H32/$AO32*(IF(Lists!G$21&lt;$J32,0,MIN($AO32,(((YEAR(Lists!G$21)-YEAR($J32))*12+MONTH(Lists!G$21)-MONTH($J32))-(EDATE($J32,((YEAR(Lists!G$21)-YEAR($J32))*12+MONTH(Lists!G$21)-MONTH($J32)))&gt;Lists!G$21)+1)))-IF(Lists!G$22&lt;$J32,0,MIN($AO32,(((YEAR(Lists!G$22)-YEAR($J32))*12+MONTH(Lists!G$22)-MONTH($J32))-(EDATE($J32,((YEAR(Lists!G$22)-YEAR($J32))*12+MONTH(Lists!G$22)-MONTH($J32)))&gt;Lists!G$22)+1)))),IF($AP32="F",IF(N($K32)&lt;=0,0,MIN(MAX(0,$H32),N($K32)*IF(Lists!G$21&lt;$J32,0,(((YEAR(Lists!G$21)-YEAR($J32))*12+MONTH(Lists!G$21)-MONTH($J32))-(EDATE($J32,((YEAR(Lists!G$21)-YEAR($J32))*12+MONTH(Lists!G$21)-MONTH($J32)))&gt;Lists!G$21)+1)))-MIN(MAX(0,$H32),N($K32)*IF(Lists!G$22&lt;$J32,0,(((YEAR(Lists!G$22)-YEAR($J32))*12+MONTH(Lists!G$22)-MONTH($J32))-(EDATE($J32,((YEAR(Lists!G$22)-YEAR($J32))*12+MONTH(Lists!G$22)-MONTH($J32)))&gt;Lists!G$22)+1)))),N($C32)*IF($AE32-$AD32&lt;1,($AD32&gt;Lists!G$22)*($AD32&lt;=Lists!G$21),MAX(0,MIN(Lists!G$21,$AE32)-MAX(Lists!G$22,$AD32))/($AE32-$AD32))+N($D32)*IF($AG32-$AF32&lt;1,($AF32&gt;Lists!G$22)*($AF32&lt;=Lists!G$21),MAX(0,MIN(Lists!G$21,$AG32)-MAX(Lists!G$22,$AF32))/($AG32-$AF32))+N($E32)*IF($AI32-$AH32&lt;1,($AH32&gt;Lists!G$22)*($AH32&lt;=Lists!G$21),MAX(0,MIN(Lists!G$21,$AI32)-MAX(Lists!G$22,$AH32))/($AI32-$AH32))+N($F32)*IF($AK32-$AJ32&lt;1,($AJ32&gt;Lists!G$22)*($AJ32&lt;=Lists!G$21),MAX(0,MIN(Lists!G$21,$AK32)-MAX(Lists!G$22,$AJ32))/($AK32-$AJ32))+N($G32)*IF($AM32-$AL32&lt;1,($AL32&gt;Lists!G$22)*($AL32&lt;=Lists!G$21),MAX(0,MIN(Lists!G$21,$AM32)-MAX(Lists!G$22,$AL32))/($AM32-$AL32))))))))</f>
        <v>0</v>
      </c>
      <c r="R32" s="53" t="n">
        <f aca="false">IF($H32=0,0,IF($AP32="X",0,IF($AP32="S",$H32/$AO32*(MIN($AO32,MAX(0,INT((Lists!H$21-N($J32))/7)+1))-MIN($AO32,MAX(0,INT((Lists!H$22-N($J32))/7)+1))),IF($AP32="D",$H32*MAX(0,MIN(Lists!H$21,N($J32)+$AO32)-MAX(Lists!H$22,N($J32)))/$AO32,IF($AP32="M",$H32/$AO32*(IF(Lists!H$21&lt;$J32,0,MIN($AO32,(((YEAR(Lists!H$21)-YEAR($J32))*12+MONTH(Lists!H$21)-MONTH($J32))-(EDATE($J32,((YEAR(Lists!H$21)-YEAR($J32))*12+MONTH(Lists!H$21)-MONTH($J32)))&gt;Lists!H$21)+1)))-IF(Lists!H$22&lt;$J32,0,MIN($AO32,(((YEAR(Lists!H$22)-YEAR($J32))*12+MONTH(Lists!H$22)-MONTH($J32))-(EDATE($J32,((YEAR(Lists!H$22)-YEAR($J32))*12+MONTH(Lists!H$22)-MONTH($J32)))&gt;Lists!H$22)+1)))),IF($AP32="F",IF(N($K32)&lt;=0,0,MIN(MAX(0,$H32),N($K32)*IF(Lists!H$21&lt;$J32,0,(((YEAR(Lists!H$21)-YEAR($J32))*12+MONTH(Lists!H$21)-MONTH($J32))-(EDATE($J32,((YEAR(Lists!H$21)-YEAR($J32))*12+MONTH(Lists!H$21)-MONTH($J32)))&gt;Lists!H$21)+1)))-MIN(MAX(0,$H32),N($K32)*IF(Lists!H$22&lt;$J32,0,(((YEAR(Lists!H$22)-YEAR($J32))*12+MONTH(Lists!H$22)-MONTH($J32))-(EDATE($J32,((YEAR(Lists!H$22)-YEAR($J32))*12+MONTH(Lists!H$22)-MONTH($J32)))&gt;Lists!H$22)+1)))),N($C32)*IF($AE32-$AD32&lt;1,($AD32&gt;Lists!H$22)*($AD32&lt;=Lists!H$21),MAX(0,MIN(Lists!H$21,$AE32)-MAX(Lists!H$22,$AD32))/($AE32-$AD32))+N($D32)*IF($AG32-$AF32&lt;1,($AF32&gt;Lists!H$22)*($AF32&lt;=Lists!H$21),MAX(0,MIN(Lists!H$21,$AG32)-MAX(Lists!H$22,$AF32))/($AG32-$AF32))+N($E32)*IF($AI32-$AH32&lt;1,($AH32&gt;Lists!H$22)*($AH32&lt;=Lists!H$21),MAX(0,MIN(Lists!H$21,$AI32)-MAX(Lists!H$22,$AH32))/($AI32-$AH32))+N($F32)*IF($AK32-$AJ32&lt;1,($AJ32&gt;Lists!H$22)*($AJ32&lt;=Lists!H$21),MAX(0,MIN(Lists!H$21,$AK32)-MAX(Lists!H$22,$AJ32))/($AK32-$AJ32))+N($G32)*IF($AM32-$AL32&lt;1,($AL32&gt;Lists!H$22)*($AL32&lt;=Lists!H$21),MAX(0,MIN(Lists!H$21,$AM32)-MAX(Lists!H$22,$AL32))/($AM32-$AL32))))))))</f>
        <v>0</v>
      </c>
      <c r="S32" s="53" t="n">
        <f aca="false">IF($H32=0,0,IF($AP32="X",0,IF($AP32="S",$H32/$AO32*(MIN($AO32,MAX(0,INT((Lists!I$21-N($J32))/7)+1))-MIN($AO32,MAX(0,INT((Lists!I$22-N($J32))/7)+1))),IF($AP32="D",$H32*MAX(0,MIN(Lists!I$21,N($J32)+$AO32)-MAX(Lists!I$22,N($J32)))/$AO32,IF($AP32="M",$H32/$AO32*(IF(Lists!I$21&lt;$J32,0,MIN($AO32,(((YEAR(Lists!I$21)-YEAR($J32))*12+MONTH(Lists!I$21)-MONTH($J32))-(EDATE($J32,((YEAR(Lists!I$21)-YEAR($J32))*12+MONTH(Lists!I$21)-MONTH($J32)))&gt;Lists!I$21)+1)))-IF(Lists!I$22&lt;$J32,0,MIN($AO32,(((YEAR(Lists!I$22)-YEAR($J32))*12+MONTH(Lists!I$22)-MONTH($J32))-(EDATE($J32,((YEAR(Lists!I$22)-YEAR($J32))*12+MONTH(Lists!I$22)-MONTH($J32)))&gt;Lists!I$22)+1)))),IF($AP32="F",IF(N($K32)&lt;=0,0,MIN(MAX(0,$H32),N($K32)*IF(Lists!I$21&lt;$J32,0,(((YEAR(Lists!I$21)-YEAR($J32))*12+MONTH(Lists!I$21)-MONTH($J32))-(EDATE($J32,((YEAR(Lists!I$21)-YEAR($J32))*12+MONTH(Lists!I$21)-MONTH($J32)))&gt;Lists!I$21)+1)))-MIN(MAX(0,$H32),N($K32)*IF(Lists!I$22&lt;$J32,0,(((YEAR(Lists!I$22)-YEAR($J32))*12+MONTH(Lists!I$22)-MONTH($J32))-(EDATE($J32,((YEAR(Lists!I$22)-YEAR($J32))*12+MONTH(Lists!I$22)-MONTH($J32)))&gt;Lists!I$22)+1)))),N($C32)*IF($AE32-$AD32&lt;1,($AD32&gt;Lists!I$22)*($AD32&lt;=Lists!I$21),MAX(0,MIN(Lists!I$21,$AE32)-MAX(Lists!I$22,$AD32))/($AE32-$AD32))+N($D32)*IF($AG32-$AF32&lt;1,($AF32&gt;Lists!I$22)*($AF32&lt;=Lists!I$21),MAX(0,MIN(Lists!I$21,$AG32)-MAX(Lists!I$22,$AF32))/($AG32-$AF32))+N($E32)*IF($AI32-$AH32&lt;1,($AH32&gt;Lists!I$22)*($AH32&lt;=Lists!I$21),MAX(0,MIN(Lists!I$21,$AI32)-MAX(Lists!I$22,$AH32))/($AI32-$AH32))+N($F32)*IF($AK32-$AJ32&lt;1,($AJ32&gt;Lists!I$22)*($AJ32&lt;=Lists!I$21),MAX(0,MIN(Lists!I$21,$AK32)-MAX(Lists!I$22,$AJ32))/($AK32-$AJ32))+N($G32)*IF($AM32-$AL32&lt;1,($AL32&gt;Lists!I$22)*($AL32&lt;=Lists!I$21),MAX(0,MIN(Lists!I$21,$AM32)-MAX(Lists!I$22,$AL32))/($AM32-$AL32))))))))</f>
        <v>0</v>
      </c>
      <c r="T32" s="53" t="n">
        <f aca="false">IF($H32=0,0,IF($AP32="X",0,IF($AP32="S",$H32/$AO32*(MIN($AO32,MAX(0,INT((Lists!J$21-N($J32))/7)+1))-MIN($AO32,MAX(0,INT((Lists!J$22-N($J32))/7)+1))),IF($AP32="D",$H32*MAX(0,MIN(Lists!J$21,N($J32)+$AO32)-MAX(Lists!J$22,N($J32)))/$AO32,IF($AP32="M",$H32/$AO32*(IF(Lists!J$21&lt;$J32,0,MIN($AO32,(((YEAR(Lists!J$21)-YEAR($J32))*12+MONTH(Lists!J$21)-MONTH($J32))-(EDATE($J32,((YEAR(Lists!J$21)-YEAR($J32))*12+MONTH(Lists!J$21)-MONTH($J32)))&gt;Lists!J$21)+1)))-IF(Lists!J$22&lt;$J32,0,MIN($AO32,(((YEAR(Lists!J$22)-YEAR($J32))*12+MONTH(Lists!J$22)-MONTH($J32))-(EDATE($J32,((YEAR(Lists!J$22)-YEAR($J32))*12+MONTH(Lists!J$22)-MONTH($J32)))&gt;Lists!J$22)+1)))),IF($AP32="F",IF(N($K32)&lt;=0,0,MIN(MAX(0,$H32),N($K32)*IF(Lists!J$21&lt;$J32,0,(((YEAR(Lists!J$21)-YEAR($J32))*12+MONTH(Lists!J$21)-MONTH($J32))-(EDATE($J32,((YEAR(Lists!J$21)-YEAR($J32))*12+MONTH(Lists!J$21)-MONTH($J32)))&gt;Lists!J$21)+1)))-MIN(MAX(0,$H32),N($K32)*IF(Lists!J$22&lt;$J32,0,(((YEAR(Lists!J$22)-YEAR($J32))*12+MONTH(Lists!J$22)-MONTH($J32))-(EDATE($J32,((YEAR(Lists!J$22)-YEAR($J32))*12+MONTH(Lists!J$22)-MONTH($J32)))&gt;Lists!J$22)+1)))),N($C32)*IF($AE32-$AD32&lt;1,($AD32&gt;Lists!J$22)*($AD32&lt;=Lists!J$21),MAX(0,MIN(Lists!J$21,$AE32)-MAX(Lists!J$22,$AD32))/($AE32-$AD32))+N($D32)*IF($AG32-$AF32&lt;1,($AF32&gt;Lists!J$22)*($AF32&lt;=Lists!J$21),MAX(0,MIN(Lists!J$21,$AG32)-MAX(Lists!J$22,$AF32))/($AG32-$AF32))+N($E32)*IF($AI32-$AH32&lt;1,($AH32&gt;Lists!J$22)*($AH32&lt;=Lists!J$21),MAX(0,MIN(Lists!J$21,$AI32)-MAX(Lists!J$22,$AH32))/($AI32-$AH32))+N($F32)*IF($AK32-$AJ32&lt;1,($AJ32&gt;Lists!J$22)*($AJ32&lt;=Lists!J$21),MAX(0,MIN(Lists!J$21,$AK32)-MAX(Lists!J$22,$AJ32))/($AK32-$AJ32))+N($G32)*IF($AM32-$AL32&lt;1,($AL32&gt;Lists!J$22)*($AL32&lt;=Lists!J$21),MAX(0,MIN(Lists!J$21,$AM32)-MAX(Lists!J$22,$AL32))/($AM32-$AL32))))))))</f>
        <v>0</v>
      </c>
      <c r="U32" s="53" t="n">
        <f aca="false">IF($H32=0,0,IF($AP32="X",0,IF($AP32="S",$H32/$AO32*(MIN($AO32,MAX(0,INT((Lists!K$21-N($J32))/7)+1))-MIN($AO32,MAX(0,INT((Lists!K$22-N($J32))/7)+1))),IF($AP32="D",$H32*MAX(0,MIN(Lists!K$21,N($J32)+$AO32)-MAX(Lists!K$22,N($J32)))/$AO32,IF($AP32="M",$H32/$AO32*(IF(Lists!K$21&lt;$J32,0,MIN($AO32,(((YEAR(Lists!K$21)-YEAR($J32))*12+MONTH(Lists!K$21)-MONTH($J32))-(EDATE($J32,((YEAR(Lists!K$21)-YEAR($J32))*12+MONTH(Lists!K$21)-MONTH($J32)))&gt;Lists!K$21)+1)))-IF(Lists!K$22&lt;$J32,0,MIN($AO32,(((YEAR(Lists!K$22)-YEAR($J32))*12+MONTH(Lists!K$22)-MONTH($J32))-(EDATE($J32,((YEAR(Lists!K$22)-YEAR($J32))*12+MONTH(Lists!K$22)-MONTH($J32)))&gt;Lists!K$22)+1)))),IF($AP32="F",IF(N($K32)&lt;=0,0,MIN(MAX(0,$H32),N($K32)*IF(Lists!K$21&lt;$J32,0,(((YEAR(Lists!K$21)-YEAR($J32))*12+MONTH(Lists!K$21)-MONTH($J32))-(EDATE($J32,((YEAR(Lists!K$21)-YEAR($J32))*12+MONTH(Lists!K$21)-MONTH($J32)))&gt;Lists!K$21)+1)))-MIN(MAX(0,$H32),N($K32)*IF(Lists!K$22&lt;$J32,0,(((YEAR(Lists!K$22)-YEAR($J32))*12+MONTH(Lists!K$22)-MONTH($J32))-(EDATE($J32,((YEAR(Lists!K$22)-YEAR($J32))*12+MONTH(Lists!K$22)-MONTH($J32)))&gt;Lists!K$22)+1)))),N($C32)*IF($AE32-$AD32&lt;1,($AD32&gt;Lists!K$22)*($AD32&lt;=Lists!K$21),MAX(0,MIN(Lists!K$21,$AE32)-MAX(Lists!K$22,$AD32))/($AE32-$AD32))+N($D32)*IF($AG32-$AF32&lt;1,($AF32&gt;Lists!K$22)*($AF32&lt;=Lists!K$21),MAX(0,MIN(Lists!K$21,$AG32)-MAX(Lists!K$22,$AF32))/($AG32-$AF32))+N($E32)*IF($AI32-$AH32&lt;1,($AH32&gt;Lists!K$22)*($AH32&lt;=Lists!K$21),MAX(0,MIN(Lists!K$21,$AI32)-MAX(Lists!K$22,$AH32))/($AI32-$AH32))+N($F32)*IF($AK32-$AJ32&lt;1,($AJ32&gt;Lists!K$22)*($AJ32&lt;=Lists!K$21),MAX(0,MIN(Lists!K$21,$AK32)-MAX(Lists!K$22,$AJ32))/($AK32-$AJ32))+N($G32)*IF($AM32-$AL32&lt;1,($AL32&gt;Lists!K$22)*($AL32&lt;=Lists!K$21),MAX(0,MIN(Lists!K$21,$AM32)-MAX(Lists!K$22,$AL32))/($AM32-$AL32))))))))</f>
        <v>0</v>
      </c>
      <c r="V32" s="53" t="n">
        <f aca="false">IF($H32=0,0,IF($AP32="X",0,IF($AP32="S",$H32/$AO32*(MIN($AO32,MAX(0,INT((Lists!L$21-N($J32))/7)+1))-MIN($AO32,MAX(0,INT((Lists!L$22-N($J32))/7)+1))),IF($AP32="D",$H32*MAX(0,MIN(Lists!L$21,N($J32)+$AO32)-MAX(Lists!L$22,N($J32)))/$AO32,IF($AP32="M",$H32/$AO32*(IF(Lists!L$21&lt;$J32,0,MIN($AO32,(((YEAR(Lists!L$21)-YEAR($J32))*12+MONTH(Lists!L$21)-MONTH($J32))-(EDATE($J32,((YEAR(Lists!L$21)-YEAR($J32))*12+MONTH(Lists!L$21)-MONTH($J32)))&gt;Lists!L$21)+1)))-IF(Lists!L$22&lt;$J32,0,MIN($AO32,(((YEAR(Lists!L$22)-YEAR($J32))*12+MONTH(Lists!L$22)-MONTH($J32))-(EDATE($J32,((YEAR(Lists!L$22)-YEAR($J32))*12+MONTH(Lists!L$22)-MONTH($J32)))&gt;Lists!L$22)+1)))),IF($AP32="F",IF(N($K32)&lt;=0,0,MIN(MAX(0,$H32),N($K32)*IF(Lists!L$21&lt;$J32,0,(((YEAR(Lists!L$21)-YEAR($J32))*12+MONTH(Lists!L$21)-MONTH($J32))-(EDATE($J32,((YEAR(Lists!L$21)-YEAR($J32))*12+MONTH(Lists!L$21)-MONTH($J32)))&gt;Lists!L$21)+1)))-MIN(MAX(0,$H32),N($K32)*IF(Lists!L$22&lt;$J32,0,(((YEAR(Lists!L$22)-YEAR($J32))*12+MONTH(Lists!L$22)-MONTH($J32))-(EDATE($J32,((YEAR(Lists!L$22)-YEAR($J32))*12+MONTH(Lists!L$22)-MONTH($J32)))&gt;Lists!L$22)+1)))),N($C32)*IF($AE32-$AD32&lt;1,($AD32&gt;Lists!L$22)*($AD32&lt;=Lists!L$21),MAX(0,MIN(Lists!L$21,$AE32)-MAX(Lists!L$22,$AD32))/($AE32-$AD32))+N($D32)*IF($AG32-$AF32&lt;1,($AF32&gt;Lists!L$22)*($AF32&lt;=Lists!L$21),MAX(0,MIN(Lists!L$21,$AG32)-MAX(Lists!L$22,$AF32))/($AG32-$AF32))+N($E32)*IF($AI32-$AH32&lt;1,($AH32&gt;Lists!L$22)*($AH32&lt;=Lists!L$21),MAX(0,MIN(Lists!L$21,$AI32)-MAX(Lists!L$22,$AH32))/($AI32-$AH32))+N($F32)*IF($AK32-$AJ32&lt;1,($AJ32&gt;Lists!L$22)*($AJ32&lt;=Lists!L$21),MAX(0,MIN(Lists!L$21,$AK32)-MAX(Lists!L$22,$AJ32))/($AK32-$AJ32))+N($G32)*IF($AM32-$AL32&lt;1,($AL32&gt;Lists!L$22)*($AL32&lt;=Lists!L$21),MAX(0,MIN(Lists!L$21,$AM32)-MAX(Lists!L$22,$AL32))/($AM32-$AL32))))))))</f>
        <v>0</v>
      </c>
      <c r="W32" s="53" t="n">
        <f aca="false">IF($H32=0,0,IF($AP32="X",0,IF($AP32="S",$H32/$AO32*(MIN($AO32,MAX(0,INT((Lists!M$21-N($J32))/7)+1))-MIN($AO32,MAX(0,INT((Lists!M$22-N($J32))/7)+1))),IF($AP32="D",$H32*MAX(0,MIN(Lists!M$21,N($J32)+$AO32)-MAX(Lists!M$22,N($J32)))/$AO32,IF($AP32="M",$H32/$AO32*(IF(Lists!M$21&lt;$J32,0,MIN($AO32,(((YEAR(Lists!M$21)-YEAR($J32))*12+MONTH(Lists!M$21)-MONTH($J32))-(EDATE($J32,((YEAR(Lists!M$21)-YEAR($J32))*12+MONTH(Lists!M$21)-MONTH($J32)))&gt;Lists!M$21)+1)))-IF(Lists!M$22&lt;$J32,0,MIN($AO32,(((YEAR(Lists!M$22)-YEAR($J32))*12+MONTH(Lists!M$22)-MONTH($J32))-(EDATE($J32,((YEAR(Lists!M$22)-YEAR($J32))*12+MONTH(Lists!M$22)-MONTH($J32)))&gt;Lists!M$22)+1)))),IF($AP32="F",IF(N($K32)&lt;=0,0,MIN(MAX(0,$H32),N($K32)*IF(Lists!M$21&lt;$J32,0,(((YEAR(Lists!M$21)-YEAR($J32))*12+MONTH(Lists!M$21)-MONTH($J32))-(EDATE($J32,((YEAR(Lists!M$21)-YEAR($J32))*12+MONTH(Lists!M$21)-MONTH($J32)))&gt;Lists!M$21)+1)))-MIN(MAX(0,$H32),N($K32)*IF(Lists!M$22&lt;$J32,0,(((YEAR(Lists!M$22)-YEAR($J32))*12+MONTH(Lists!M$22)-MONTH($J32))-(EDATE($J32,((YEAR(Lists!M$22)-YEAR($J32))*12+MONTH(Lists!M$22)-MONTH($J32)))&gt;Lists!M$22)+1)))),N($C32)*IF($AE32-$AD32&lt;1,($AD32&gt;Lists!M$22)*($AD32&lt;=Lists!M$21),MAX(0,MIN(Lists!M$21,$AE32)-MAX(Lists!M$22,$AD32))/($AE32-$AD32))+N($D32)*IF($AG32-$AF32&lt;1,($AF32&gt;Lists!M$22)*($AF32&lt;=Lists!M$21),MAX(0,MIN(Lists!M$21,$AG32)-MAX(Lists!M$22,$AF32))/($AG32-$AF32))+N($E32)*IF($AI32-$AH32&lt;1,($AH32&gt;Lists!M$22)*($AH32&lt;=Lists!M$21),MAX(0,MIN(Lists!M$21,$AI32)-MAX(Lists!M$22,$AH32))/($AI32-$AH32))+N($F32)*IF($AK32-$AJ32&lt;1,($AJ32&gt;Lists!M$22)*($AJ32&lt;=Lists!M$21),MAX(0,MIN(Lists!M$21,$AK32)-MAX(Lists!M$22,$AJ32))/($AK32-$AJ32))+N($G32)*IF($AM32-$AL32&lt;1,($AL32&gt;Lists!M$22)*($AL32&lt;=Lists!M$21),MAX(0,MIN(Lists!M$21,$AM32)-MAX(Lists!M$22,$AL32))/($AM32-$AL32))))))))</f>
        <v>0</v>
      </c>
      <c r="X32" s="53" t="n">
        <f aca="false">IF($H32=0,0,IF($AP32="X",0,IF($AP32="S",$H32/$AO32*(MIN($AO32,MAX(0,INT((Lists!N$21-N($J32))/7)+1))-MIN($AO32,MAX(0,INT((Lists!N$22-N($J32))/7)+1))),IF($AP32="D",$H32*MAX(0,MIN(Lists!N$21,N($J32)+$AO32)-MAX(Lists!N$22,N($J32)))/$AO32,IF($AP32="M",$H32/$AO32*(IF(Lists!N$21&lt;$J32,0,MIN($AO32,(((YEAR(Lists!N$21)-YEAR($J32))*12+MONTH(Lists!N$21)-MONTH($J32))-(EDATE($J32,((YEAR(Lists!N$21)-YEAR($J32))*12+MONTH(Lists!N$21)-MONTH($J32)))&gt;Lists!N$21)+1)))-IF(Lists!N$22&lt;$J32,0,MIN($AO32,(((YEAR(Lists!N$22)-YEAR($J32))*12+MONTH(Lists!N$22)-MONTH($J32))-(EDATE($J32,((YEAR(Lists!N$22)-YEAR($J32))*12+MONTH(Lists!N$22)-MONTH($J32)))&gt;Lists!N$22)+1)))),IF($AP32="F",IF(N($K32)&lt;=0,0,MIN(MAX(0,$H32),N($K32)*IF(Lists!N$21&lt;$J32,0,(((YEAR(Lists!N$21)-YEAR($J32))*12+MONTH(Lists!N$21)-MONTH($J32))-(EDATE($J32,((YEAR(Lists!N$21)-YEAR($J32))*12+MONTH(Lists!N$21)-MONTH($J32)))&gt;Lists!N$21)+1)))-MIN(MAX(0,$H32),N($K32)*IF(Lists!N$22&lt;$J32,0,(((YEAR(Lists!N$22)-YEAR($J32))*12+MONTH(Lists!N$22)-MONTH($J32))-(EDATE($J32,((YEAR(Lists!N$22)-YEAR($J32))*12+MONTH(Lists!N$22)-MONTH($J32)))&gt;Lists!N$22)+1)))),N($C32)*IF($AE32-$AD32&lt;1,($AD32&gt;Lists!N$22)*($AD32&lt;=Lists!N$21),MAX(0,MIN(Lists!N$21,$AE32)-MAX(Lists!N$22,$AD32))/($AE32-$AD32))+N($D32)*IF($AG32-$AF32&lt;1,($AF32&gt;Lists!N$22)*($AF32&lt;=Lists!N$21),MAX(0,MIN(Lists!N$21,$AG32)-MAX(Lists!N$22,$AF32))/($AG32-$AF32))+N($E32)*IF($AI32-$AH32&lt;1,($AH32&gt;Lists!N$22)*($AH32&lt;=Lists!N$21),MAX(0,MIN(Lists!N$21,$AI32)-MAX(Lists!N$22,$AH32))/($AI32-$AH32))+N($F32)*IF($AK32-$AJ32&lt;1,($AJ32&gt;Lists!N$22)*($AJ32&lt;=Lists!N$21),MAX(0,MIN(Lists!N$21,$AK32)-MAX(Lists!N$22,$AJ32))/($AK32-$AJ32))+N($G32)*IF($AM32-$AL32&lt;1,($AL32&gt;Lists!N$22)*($AL32&lt;=Lists!N$21),MAX(0,MIN(Lists!N$21,$AM32)-MAX(Lists!N$22,$AL32))/($AM32-$AL32))))))))</f>
        <v>0</v>
      </c>
      <c r="Y32" s="53" t="n">
        <f aca="false">IF($H32=0,0,IF($AP32="X",0,IF($AP32="S",$H32/$AO32*(MIN($AO32,MAX(0,INT((Lists!O$21-N($J32))/7)+1))-MIN($AO32,MAX(0,INT((Lists!O$22-N($J32))/7)+1))),IF($AP32="D",$H32*MAX(0,MIN(Lists!O$21,N($J32)+$AO32)-MAX(Lists!O$22,N($J32)))/$AO32,IF($AP32="M",$H32/$AO32*(IF(Lists!O$21&lt;$J32,0,MIN($AO32,(((YEAR(Lists!O$21)-YEAR($J32))*12+MONTH(Lists!O$21)-MONTH($J32))-(EDATE($J32,((YEAR(Lists!O$21)-YEAR($J32))*12+MONTH(Lists!O$21)-MONTH($J32)))&gt;Lists!O$21)+1)))-IF(Lists!O$22&lt;$J32,0,MIN($AO32,(((YEAR(Lists!O$22)-YEAR($J32))*12+MONTH(Lists!O$22)-MONTH($J32))-(EDATE($J32,((YEAR(Lists!O$22)-YEAR($J32))*12+MONTH(Lists!O$22)-MONTH($J32)))&gt;Lists!O$22)+1)))),IF($AP32="F",IF(N($K32)&lt;=0,0,MIN(MAX(0,$H32),N($K32)*IF(Lists!O$21&lt;$J32,0,(((YEAR(Lists!O$21)-YEAR($J32))*12+MONTH(Lists!O$21)-MONTH($J32))-(EDATE($J32,((YEAR(Lists!O$21)-YEAR($J32))*12+MONTH(Lists!O$21)-MONTH($J32)))&gt;Lists!O$21)+1)))-MIN(MAX(0,$H32),N($K32)*IF(Lists!O$22&lt;$J32,0,(((YEAR(Lists!O$22)-YEAR($J32))*12+MONTH(Lists!O$22)-MONTH($J32))-(EDATE($J32,((YEAR(Lists!O$22)-YEAR($J32))*12+MONTH(Lists!O$22)-MONTH($J32)))&gt;Lists!O$22)+1)))),N($C32)*IF($AE32-$AD32&lt;1,($AD32&gt;Lists!O$22)*($AD32&lt;=Lists!O$21),MAX(0,MIN(Lists!O$21,$AE32)-MAX(Lists!O$22,$AD32))/($AE32-$AD32))+N($D32)*IF($AG32-$AF32&lt;1,($AF32&gt;Lists!O$22)*($AF32&lt;=Lists!O$21),MAX(0,MIN(Lists!O$21,$AG32)-MAX(Lists!O$22,$AF32))/($AG32-$AF32))+N($E32)*IF($AI32-$AH32&lt;1,($AH32&gt;Lists!O$22)*($AH32&lt;=Lists!O$21),MAX(0,MIN(Lists!O$21,$AI32)-MAX(Lists!O$22,$AH32))/($AI32-$AH32))+N($F32)*IF($AK32-$AJ32&lt;1,($AJ32&gt;Lists!O$22)*($AJ32&lt;=Lists!O$21),MAX(0,MIN(Lists!O$21,$AK32)-MAX(Lists!O$22,$AJ32))/($AK32-$AJ32))+N($G32)*IF($AM32-$AL32&lt;1,($AL32&gt;Lists!O$22)*($AL32&lt;=Lists!O$21),MAX(0,MIN(Lists!O$21,$AM32)-MAX(Lists!O$22,$AL32))/($AM32-$AL32))))))))</f>
        <v>0</v>
      </c>
      <c r="Z32" s="46" t="n">
        <f aca="false">SUM(M32:Y32)</f>
        <v>0</v>
      </c>
      <c r="AA32" s="92" t="n">
        <f aca="false">H32-Z32</f>
        <v>0</v>
      </c>
      <c r="AB32" s="55"/>
      <c r="AC32" s="2"/>
      <c r="AD32" s="93" t="n">
        <f aca="false">Setup!$D$10+MAX(0,$AN32-30)</f>
        <v>46345</v>
      </c>
      <c r="AE32" s="93" t="n">
        <f aca="false">Setup!$D$10+IF($AN32-30&lt;0,MAX(Setup!$D$22,$AN32-0),$AN32-0)</f>
        <v>46375</v>
      </c>
      <c r="AF32" s="93" t="n">
        <f aca="false">Setup!$D$10+MAX(0,$AN32-60)</f>
        <v>46335</v>
      </c>
      <c r="AG32" s="93" t="n">
        <f aca="false">Setup!$D$10+IF($AN32-60&lt;0,MAX(Setup!$D$22,$AN32-31),$AN32-31)</f>
        <v>46363</v>
      </c>
      <c r="AH32" s="93" t="n">
        <f aca="false">Setup!$D$10+MAX(0,$AN32-90)</f>
        <v>46335</v>
      </c>
      <c r="AI32" s="93" t="n">
        <f aca="false">Setup!$D$10+IF($AN32-90&lt;0,MAX(Setup!$D$22,$AN32-61),$AN32-61)</f>
        <v>46363</v>
      </c>
      <c r="AJ32" s="93" t="n">
        <f aca="false">Setup!$D$10+MAX(0,$AN32-120)</f>
        <v>46335</v>
      </c>
      <c r="AK32" s="93" t="n">
        <f aca="false">Setup!$D$10+IF($AN32-120&lt;0,MAX(Setup!$D$22,$AN32-91),$AN32-91)</f>
        <v>46363</v>
      </c>
      <c r="AL32" s="93" t="n">
        <f aca="false">Setup!$D$10</f>
        <v>46335</v>
      </c>
      <c r="AM32" s="93" t="n">
        <f aca="false">IF(AL32=2958465,AL32,Setup!$D$10+Setup!$D$22)</f>
        <v>46363</v>
      </c>
      <c r="AN32" s="94" t="n">
        <f aca="false">IF(N(L32)=0,Setup!$D$21,L32)</f>
        <v>40</v>
      </c>
      <c r="AO32" s="94" t="n">
        <f aca="false">MAX(1,ROUND(N(K32),0))</f>
        <v>1</v>
      </c>
      <c r="AP32" s="95" t="str">
        <f aca="false">IF(I32="On hold","X",IF(N(J32)=0,"A",IF(I32="Specific date","S",IF(I32="Spread over days","D",IF(I32="Monthly on set day","M",IF(I32="Monthly fixed amount","F","A"))))))</f>
        <v>A</v>
      </c>
    </row>
    <row r="33" customFormat="false" ht="15" hidden="false" customHeight="false" outlineLevel="0" collapsed="false">
      <c r="A33" s="87" t="n">
        <v>25</v>
      </c>
      <c r="B33" s="55"/>
      <c r="C33" s="88"/>
      <c r="D33" s="88"/>
      <c r="E33" s="88"/>
      <c r="F33" s="88"/>
      <c r="G33" s="88"/>
      <c r="H33" s="89" t="n">
        <f aca="false">SUM(C33:G33)</f>
        <v>0</v>
      </c>
      <c r="I33" s="58"/>
      <c r="J33" s="90"/>
      <c r="K33" s="91"/>
      <c r="L33" s="80"/>
      <c r="M33" s="53" t="n">
        <f aca="false">IF($H33=0,0,IF($AP33="X",0,IF($AP33="S",$H33/$AO33*(MIN($AO33,MAX(0,INT((Lists!C$21-N($J33))/7)+1))-MIN($AO33,MAX(0,INT((Lists!C$22-N($J33))/7)+1))),IF($AP33="D",$H33*MAX(0,MIN(Lists!C$21,N($J33)+$AO33)-MAX(Lists!C$22,N($J33)))/$AO33,IF($AP33="M",$H33/$AO33*(IF(Lists!C$21&lt;$J33,0,MIN($AO33,(((YEAR(Lists!C$21)-YEAR($J33))*12+MONTH(Lists!C$21)-MONTH($J33))-(EDATE($J33,((YEAR(Lists!C$21)-YEAR($J33))*12+MONTH(Lists!C$21)-MONTH($J33)))&gt;Lists!C$21)+1)))-IF(Lists!C$22&lt;$J33,0,MIN($AO33,(((YEAR(Lists!C$22)-YEAR($J33))*12+MONTH(Lists!C$22)-MONTH($J33))-(EDATE($J33,((YEAR(Lists!C$22)-YEAR($J33))*12+MONTH(Lists!C$22)-MONTH($J33)))&gt;Lists!C$22)+1)))),IF($AP33="F",IF(N($K33)&lt;=0,0,MIN(MAX(0,$H33),N($K33)*IF(Lists!C$21&lt;$J33,0,(((YEAR(Lists!C$21)-YEAR($J33))*12+MONTH(Lists!C$21)-MONTH($J33))-(EDATE($J33,((YEAR(Lists!C$21)-YEAR($J33))*12+MONTH(Lists!C$21)-MONTH($J33)))&gt;Lists!C$21)+1)))-MIN(MAX(0,$H33),N($K33)*IF(Lists!C$22&lt;$J33,0,(((YEAR(Lists!C$22)-YEAR($J33))*12+MONTH(Lists!C$22)-MONTH($J33))-(EDATE($J33,((YEAR(Lists!C$22)-YEAR($J33))*12+MONTH(Lists!C$22)-MONTH($J33)))&gt;Lists!C$22)+1)))),N($C33)*IF($AE33-$AD33&lt;1,($AD33&gt;Lists!C$22)*($AD33&lt;=Lists!C$21),MAX(0,MIN(Lists!C$21,$AE33)-MAX(Lists!C$22,$AD33))/($AE33-$AD33))+N($D33)*IF($AG33-$AF33&lt;1,($AF33&gt;Lists!C$22)*($AF33&lt;=Lists!C$21),MAX(0,MIN(Lists!C$21,$AG33)-MAX(Lists!C$22,$AF33))/($AG33-$AF33))+N($E33)*IF($AI33-$AH33&lt;1,($AH33&gt;Lists!C$22)*($AH33&lt;=Lists!C$21),MAX(0,MIN(Lists!C$21,$AI33)-MAX(Lists!C$22,$AH33))/($AI33-$AH33))+N($F33)*IF($AK33-$AJ33&lt;1,($AJ33&gt;Lists!C$22)*($AJ33&lt;=Lists!C$21),MAX(0,MIN(Lists!C$21,$AK33)-MAX(Lists!C$22,$AJ33))/($AK33-$AJ33))+N($G33)*IF($AM33-$AL33&lt;1,($AL33&gt;Lists!C$22)*($AL33&lt;=Lists!C$21),MAX(0,MIN(Lists!C$21,$AM33)-MAX(Lists!C$22,$AL33))/($AM33-$AL33))))))))</f>
        <v>0</v>
      </c>
      <c r="N33" s="53" t="n">
        <f aca="false">IF($H33=0,0,IF($AP33="X",0,IF($AP33="S",$H33/$AO33*(MIN($AO33,MAX(0,INT((Lists!D$21-N($J33))/7)+1))-MIN($AO33,MAX(0,INT((Lists!D$22-N($J33))/7)+1))),IF($AP33="D",$H33*MAX(0,MIN(Lists!D$21,N($J33)+$AO33)-MAX(Lists!D$22,N($J33)))/$AO33,IF($AP33="M",$H33/$AO33*(IF(Lists!D$21&lt;$J33,0,MIN($AO33,(((YEAR(Lists!D$21)-YEAR($J33))*12+MONTH(Lists!D$21)-MONTH($J33))-(EDATE($J33,((YEAR(Lists!D$21)-YEAR($J33))*12+MONTH(Lists!D$21)-MONTH($J33)))&gt;Lists!D$21)+1)))-IF(Lists!D$22&lt;$J33,0,MIN($AO33,(((YEAR(Lists!D$22)-YEAR($J33))*12+MONTH(Lists!D$22)-MONTH($J33))-(EDATE($J33,((YEAR(Lists!D$22)-YEAR($J33))*12+MONTH(Lists!D$22)-MONTH($J33)))&gt;Lists!D$22)+1)))),IF($AP33="F",IF(N($K33)&lt;=0,0,MIN(MAX(0,$H33),N($K33)*IF(Lists!D$21&lt;$J33,0,(((YEAR(Lists!D$21)-YEAR($J33))*12+MONTH(Lists!D$21)-MONTH($J33))-(EDATE($J33,((YEAR(Lists!D$21)-YEAR($J33))*12+MONTH(Lists!D$21)-MONTH($J33)))&gt;Lists!D$21)+1)))-MIN(MAX(0,$H33),N($K33)*IF(Lists!D$22&lt;$J33,0,(((YEAR(Lists!D$22)-YEAR($J33))*12+MONTH(Lists!D$22)-MONTH($J33))-(EDATE($J33,((YEAR(Lists!D$22)-YEAR($J33))*12+MONTH(Lists!D$22)-MONTH($J33)))&gt;Lists!D$22)+1)))),N($C33)*IF($AE33-$AD33&lt;1,($AD33&gt;Lists!D$22)*($AD33&lt;=Lists!D$21),MAX(0,MIN(Lists!D$21,$AE33)-MAX(Lists!D$22,$AD33))/($AE33-$AD33))+N($D33)*IF($AG33-$AF33&lt;1,($AF33&gt;Lists!D$22)*($AF33&lt;=Lists!D$21),MAX(0,MIN(Lists!D$21,$AG33)-MAX(Lists!D$22,$AF33))/($AG33-$AF33))+N($E33)*IF($AI33-$AH33&lt;1,($AH33&gt;Lists!D$22)*($AH33&lt;=Lists!D$21),MAX(0,MIN(Lists!D$21,$AI33)-MAX(Lists!D$22,$AH33))/($AI33-$AH33))+N($F33)*IF($AK33-$AJ33&lt;1,($AJ33&gt;Lists!D$22)*($AJ33&lt;=Lists!D$21),MAX(0,MIN(Lists!D$21,$AK33)-MAX(Lists!D$22,$AJ33))/($AK33-$AJ33))+N($G33)*IF($AM33-$AL33&lt;1,($AL33&gt;Lists!D$22)*($AL33&lt;=Lists!D$21),MAX(0,MIN(Lists!D$21,$AM33)-MAX(Lists!D$22,$AL33))/($AM33-$AL33))))))))</f>
        <v>0</v>
      </c>
      <c r="O33" s="53" t="n">
        <f aca="false">IF($H33=0,0,IF($AP33="X",0,IF($AP33="S",$H33/$AO33*(MIN($AO33,MAX(0,INT((Lists!E$21-N($J33))/7)+1))-MIN($AO33,MAX(0,INT((Lists!E$22-N($J33))/7)+1))),IF($AP33="D",$H33*MAX(0,MIN(Lists!E$21,N($J33)+$AO33)-MAX(Lists!E$22,N($J33)))/$AO33,IF($AP33="M",$H33/$AO33*(IF(Lists!E$21&lt;$J33,0,MIN($AO33,(((YEAR(Lists!E$21)-YEAR($J33))*12+MONTH(Lists!E$21)-MONTH($J33))-(EDATE($J33,((YEAR(Lists!E$21)-YEAR($J33))*12+MONTH(Lists!E$21)-MONTH($J33)))&gt;Lists!E$21)+1)))-IF(Lists!E$22&lt;$J33,0,MIN($AO33,(((YEAR(Lists!E$22)-YEAR($J33))*12+MONTH(Lists!E$22)-MONTH($J33))-(EDATE($J33,((YEAR(Lists!E$22)-YEAR($J33))*12+MONTH(Lists!E$22)-MONTH($J33)))&gt;Lists!E$22)+1)))),IF($AP33="F",IF(N($K33)&lt;=0,0,MIN(MAX(0,$H33),N($K33)*IF(Lists!E$21&lt;$J33,0,(((YEAR(Lists!E$21)-YEAR($J33))*12+MONTH(Lists!E$21)-MONTH($J33))-(EDATE($J33,((YEAR(Lists!E$21)-YEAR($J33))*12+MONTH(Lists!E$21)-MONTH($J33)))&gt;Lists!E$21)+1)))-MIN(MAX(0,$H33),N($K33)*IF(Lists!E$22&lt;$J33,0,(((YEAR(Lists!E$22)-YEAR($J33))*12+MONTH(Lists!E$22)-MONTH($J33))-(EDATE($J33,((YEAR(Lists!E$22)-YEAR($J33))*12+MONTH(Lists!E$22)-MONTH($J33)))&gt;Lists!E$22)+1)))),N($C33)*IF($AE33-$AD33&lt;1,($AD33&gt;Lists!E$22)*($AD33&lt;=Lists!E$21),MAX(0,MIN(Lists!E$21,$AE33)-MAX(Lists!E$22,$AD33))/($AE33-$AD33))+N($D33)*IF($AG33-$AF33&lt;1,($AF33&gt;Lists!E$22)*($AF33&lt;=Lists!E$21),MAX(0,MIN(Lists!E$21,$AG33)-MAX(Lists!E$22,$AF33))/($AG33-$AF33))+N($E33)*IF($AI33-$AH33&lt;1,($AH33&gt;Lists!E$22)*($AH33&lt;=Lists!E$21),MAX(0,MIN(Lists!E$21,$AI33)-MAX(Lists!E$22,$AH33))/($AI33-$AH33))+N($F33)*IF($AK33-$AJ33&lt;1,($AJ33&gt;Lists!E$22)*($AJ33&lt;=Lists!E$21),MAX(0,MIN(Lists!E$21,$AK33)-MAX(Lists!E$22,$AJ33))/($AK33-$AJ33))+N($G33)*IF($AM33-$AL33&lt;1,($AL33&gt;Lists!E$22)*($AL33&lt;=Lists!E$21),MAX(0,MIN(Lists!E$21,$AM33)-MAX(Lists!E$22,$AL33))/($AM33-$AL33))))))))</f>
        <v>0</v>
      </c>
      <c r="P33" s="53" t="n">
        <f aca="false">IF($H33=0,0,IF($AP33="X",0,IF($AP33="S",$H33/$AO33*(MIN($AO33,MAX(0,INT((Lists!F$21-N($J33))/7)+1))-MIN($AO33,MAX(0,INT((Lists!F$22-N($J33))/7)+1))),IF($AP33="D",$H33*MAX(0,MIN(Lists!F$21,N($J33)+$AO33)-MAX(Lists!F$22,N($J33)))/$AO33,IF($AP33="M",$H33/$AO33*(IF(Lists!F$21&lt;$J33,0,MIN($AO33,(((YEAR(Lists!F$21)-YEAR($J33))*12+MONTH(Lists!F$21)-MONTH($J33))-(EDATE($J33,((YEAR(Lists!F$21)-YEAR($J33))*12+MONTH(Lists!F$21)-MONTH($J33)))&gt;Lists!F$21)+1)))-IF(Lists!F$22&lt;$J33,0,MIN($AO33,(((YEAR(Lists!F$22)-YEAR($J33))*12+MONTH(Lists!F$22)-MONTH($J33))-(EDATE($J33,((YEAR(Lists!F$22)-YEAR($J33))*12+MONTH(Lists!F$22)-MONTH($J33)))&gt;Lists!F$22)+1)))),IF($AP33="F",IF(N($K33)&lt;=0,0,MIN(MAX(0,$H33),N($K33)*IF(Lists!F$21&lt;$J33,0,(((YEAR(Lists!F$21)-YEAR($J33))*12+MONTH(Lists!F$21)-MONTH($J33))-(EDATE($J33,((YEAR(Lists!F$21)-YEAR($J33))*12+MONTH(Lists!F$21)-MONTH($J33)))&gt;Lists!F$21)+1)))-MIN(MAX(0,$H33),N($K33)*IF(Lists!F$22&lt;$J33,0,(((YEAR(Lists!F$22)-YEAR($J33))*12+MONTH(Lists!F$22)-MONTH($J33))-(EDATE($J33,((YEAR(Lists!F$22)-YEAR($J33))*12+MONTH(Lists!F$22)-MONTH($J33)))&gt;Lists!F$22)+1)))),N($C33)*IF($AE33-$AD33&lt;1,($AD33&gt;Lists!F$22)*($AD33&lt;=Lists!F$21),MAX(0,MIN(Lists!F$21,$AE33)-MAX(Lists!F$22,$AD33))/($AE33-$AD33))+N($D33)*IF($AG33-$AF33&lt;1,($AF33&gt;Lists!F$22)*($AF33&lt;=Lists!F$21),MAX(0,MIN(Lists!F$21,$AG33)-MAX(Lists!F$22,$AF33))/($AG33-$AF33))+N($E33)*IF($AI33-$AH33&lt;1,($AH33&gt;Lists!F$22)*($AH33&lt;=Lists!F$21),MAX(0,MIN(Lists!F$21,$AI33)-MAX(Lists!F$22,$AH33))/($AI33-$AH33))+N($F33)*IF($AK33-$AJ33&lt;1,($AJ33&gt;Lists!F$22)*($AJ33&lt;=Lists!F$21),MAX(0,MIN(Lists!F$21,$AK33)-MAX(Lists!F$22,$AJ33))/($AK33-$AJ33))+N($G33)*IF($AM33-$AL33&lt;1,($AL33&gt;Lists!F$22)*($AL33&lt;=Lists!F$21),MAX(0,MIN(Lists!F$21,$AM33)-MAX(Lists!F$22,$AL33))/($AM33-$AL33))))))))</f>
        <v>0</v>
      </c>
      <c r="Q33" s="53" t="n">
        <f aca="false">IF($H33=0,0,IF($AP33="X",0,IF($AP33="S",$H33/$AO33*(MIN($AO33,MAX(0,INT((Lists!G$21-N($J33))/7)+1))-MIN($AO33,MAX(0,INT((Lists!G$22-N($J33))/7)+1))),IF($AP33="D",$H33*MAX(0,MIN(Lists!G$21,N($J33)+$AO33)-MAX(Lists!G$22,N($J33)))/$AO33,IF($AP33="M",$H33/$AO33*(IF(Lists!G$21&lt;$J33,0,MIN($AO33,(((YEAR(Lists!G$21)-YEAR($J33))*12+MONTH(Lists!G$21)-MONTH($J33))-(EDATE($J33,((YEAR(Lists!G$21)-YEAR($J33))*12+MONTH(Lists!G$21)-MONTH($J33)))&gt;Lists!G$21)+1)))-IF(Lists!G$22&lt;$J33,0,MIN($AO33,(((YEAR(Lists!G$22)-YEAR($J33))*12+MONTH(Lists!G$22)-MONTH($J33))-(EDATE($J33,((YEAR(Lists!G$22)-YEAR($J33))*12+MONTH(Lists!G$22)-MONTH($J33)))&gt;Lists!G$22)+1)))),IF($AP33="F",IF(N($K33)&lt;=0,0,MIN(MAX(0,$H33),N($K33)*IF(Lists!G$21&lt;$J33,0,(((YEAR(Lists!G$21)-YEAR($J33))*12+MONTH(Lists!G$21)-MONTH($J33))-(EDATE($J33,((YEAR(Lists!G$21)-YEAR($J33))*12+MONTH(Lists!G$21)-MONTH($J33)))&gt;Lists!G$21)+1)))-MIN(MAX(0,$H33),N($K33)*IF(Lists!G$22&lt;$J33,0,(((YEAR(Lists!G$22)-YEAR($J33))*12+MONTH(Lists!G$22)-MONTH($J33))-(EDATE($J33,((YEAR(Lists!G$22)-YEAR($J33))*12+MONTH(Lists!G$22)-MONTH($J33)))&gt;Lists!G$22)+1)))),N($C33)*IF($AE33-$AD33&lt;1,($AD33&gt;Lists!G$22)*($AD33&lt;=Lists!G$21),MAX(0,MIN(Lists!G$21,$AE33)-MAX(Lists!G$22,$AD33))/($AE33-$AD33))+N($D33)*IF($AG33-$AF33&lt;1,($AF33&gt;Lists!G$22)*($AF33&lt;=Lists!G$21),MAX(0,MIN(Lists!G$21,$AG33)-MAX(Lists!G$22,$AF33))/($AG33-$AF33))+N($E33)*IF($AI33-$AH33&lt;1,($AH33&gt;Lists!G$22)*($AH33&lt;=Lists!G$21),MAX(0,MIN(Lists!G$21,$AI33)-MAX(Lists!G$22,$AH33))/($AI33-$AH33))+N($F33)*IF($AK33-$AJ33&lt;1,($AJ33&gt;Lists!G$22)*($AJ33&lt;=Lists!G$21),MAX(0,MIN(Lists!G$21,$AK33)-MAX(Lists!G$22,$AJ33))/($AK33-$AJ33))+N($G33)*IF($AM33-$AL33&lt;1,($AL33&gt;Lists!G$22)*($AL33&lt;=Lists!G$21),MAX(0,MIN(Lists!G$21,$AM33)-MAX(Lists!G$22,$AL33))/($AM33-$AL33))))))))</f>
        <v>0</v>
      </c>
      <c r="R33" s="53" t="n">
        <f aca="false">IF($H33=0,0,IF($AP33="X",0,IF($AP33="S",$H33/$AO33*(MIN($AO33,MAX(0,INT((Lists!H$21-N($J33))/7)+1))-MIN($AO33,MAX(0,INT((Lists!H$22-N($J33))/7)+1))),IF($AP33="D",$H33*MAX(0,MIN(Lists!H$21,N($J33)+$AO33)-MAX(Lists!H$22,N($J33)))/$AO33,IF($AP33="M",$H33/$AO33*(IF(Lists!H$21&lt;$J33,0,MIN($AO33,(((YEAR(Lists!H$21)-YEAR($J33))*12+MONTH(Lists!H$21)-MONTH($J33))-(EDATE($J33,((YEAR(Lists!H$21)-YEAR($J33))*12+MONTH(Lists!H$21)-MONTH($J33)))&gt;Lists!H$21)+1)))-IF(Lists!H$22&lt;$J33,0,MIN($AO33,(((YEAR(Lists!H$22)-YEAR($J33))*12+MONTH(Lists!H$22)-MONTH($J33))-(EDATE($J33,((YEAR(Lists!H$22)-YEAR($J33))*12+MONTH(Lists!H$22)-MONTH($J33)))&gt;Lists!H$22)+1)))),IF($AP33="F",IF(N($K33)&lt;=0,0,MIN(MAX(0,$H33),N($K33)*IF(Lists!H$21&lt;$J33,0,(((YEAR(Lists!H$21)-YEAR($J33))*12+MONTH(Lists!H$21)-MONTH($J33))-(EDATE($J33,((YEAR(Lists!H$21)-YEAR($J33))*12+MONTH(Lists!H$21)-MONTH($J33)))&gt;Lists!H$21)+1)))-MIN(MAX(0,$H33),N($K33)*IF(Lists!H$22&lt;$J33,0,(((YEAR(Lists!H$22)-YEAR($J33))*12+MONTH(Lists!H$22)-MONTH($J33))-(EDATE($J33,((YEAR(Lists!H$22)-YEAR($J33))*12+MONTH(Lists!H$22)-MONTH($J33)))&gt;Lists!H$22)+1)))),N($C33)*IF($AE33-$AD33&lt;1,($AD33&gt;Lists!H$22)*($AD33&lt;=Lists!H$21),MAX(0,MIN(Lists!H$21,$AE33)-MAX(Lists!H$22,$AD33))/($AE33-$AD33))+N($D33)*IF($AG33-$AF33&lt;1,($AF33&gt;Lists!H$22)*($AF33&lt;=Lists!H$21),MAX(0,MIN(Lists!H$21,$AG33)-MAX(Lists!H$22,$AF33))/($AG33-$AF33))+N($E33)*IF($AI33-$AH33&lt;1,($AH33&gt;Lists!H$22)*($AH33&lt;=Lists!H$21),MAX(0,MIN(Lists!H$21,$AI33)-MAX(Lists!H$22,$AH33))/($AI33-$AH33))+N($F33)*IF($AK33-$AJ33&lt;1,($AJ33&gt;Lists!H$22)*($AJ33&lt;=Lists!H$21),MAX(0,MIN(Lists!H$21,$AK33)-MAX(Lists!H$22,$AJ33))/($AK33-$AJ33))+N($G33)*IF($AM33-$AL33&lt;1,($AL33&gt;Lists!H$22)*($AL33&lt;=Lists!H$21),MAX(0,MIN(Lists!H$21,$AM33)-MAX(Lists!H$22,$AL33))/($AM33-$AL33))))))))</f>
        <v>0</v>
      </c>
      <c r="S33" s="53" t="n">
        <f aca="false">IF($H33=0,0,IF($AP33="X",0,IF($AP33="S",$H33/$AO33*(MIN($AO33,MAX(0,INT((Lists!I$21-N($J33))/7)+1))-MIN($AO33,MAX(0,INT((Lists!I$22-N($J33))/7)+1))),IF($AP33="D",$H33*MAX(0,MIN(Lists!I$21,N($J33)+$AO33)-MAX(Lists!I$22,N($J33)))/$AO33,IF($AP33="M",$H33/$AO33*(IF(Lists!I$21&lt;$J33,0,MIN($AO33,(((YEAR(Lists!I$21)-YEAR($J33))*12+MONTH(Lists!I$21)-MONTH($J33))-(EDATE($J33,((YEAR(Lists!I$21)-YEAR($J33))*12+MONTH(Lists!I$21)-MONTH($J33)))&gt;Lists!I$21)+1)))-IF(Lists!I$22&lt;$J33,0,MIN($AO33,(((YEAR(Lists!I$22)-YEAR($J33))*12+MONTH(Lists!I$22)-MONTH($J33))-(EDATE($J33,((YEAR(Lists!I$22)-YEAR($J33))*12+MONTH(Lists!I$22)-MONTH($J33)))&gt;Lists!I$22)+1)))),IF($AP33="F",IF(N($K33)&lt;=0,0,MIN(MAX(0,$H33),N($K33)*IF(Lists!I$21&lt;$J33,0,(((YEAR(Lists!I$21)-YEAR($J33))*12+MONTH(Lists!I$21)-MONTH($J33))-(EDATE($J33,((YEAR(Lists!I$21)-YEAR($J33))*12+MONTH(Lists!I$21)-MONTH($J33)))&gt;Lists!I$21)+1)))-MIN(MAX(0,$H33),N($K33)*IF(Lists!I$22&lt;$J33,0,(((YEAR(Lists!I$22)-YEAR($J33))*12+MONTH(Lists!I$22)-MONTH($J33))-(EDATE($J33,((YEAR(Lists!I$22)-YEAR($J33))*12+MONTH(Lists!I$22)-MONTH($J33)))&gt;Lists!I$22)+1)))),N($C33)*IF($AE33-$AD33&lt;1,($AD33&gt;Lists!I$22)*($AD33&lt;=Lists!I$21),MAX(0,MIN(Lists!I$21,$AE33)-MAX(Lists!I$22,$AD33))/($AE33-$AD33))+N($D33)*IF($AG33-$AF33&lt;1,($AF33&gt;Lists!I$22)*($AF33&lt;=Lists!I$21),MAX(0,MIN(Lists!I$21,$AG33)-MAX(Lists!I$22,$AF33))/($AG33-$AF33))+N($E33)*IF($AI33-$AH33&lt;1,($AH33&gt;Lists!I$22)*($AH33&lt;=Lists!I$21),MAX(0,MIN(Lists!I$21,$AI33)-MAX(Lists!I$22,$AH33))/($AI33-$AH33))+N($F33)*IF($AK33-$AJ33&lt;1,($AJ33&gt;Lists!I$22)*($AJ33&lt;=Lists!I$21),MAX(0,MIN(Lists!I$21,$AK33)-MAX(Lists!I$22,$AJ33))/($AK33-$AJ33))+N($G33)*IF($AM33-$AL33&lt;1,($AL33&gt;Lists!I$22)*($AL33&lt;=Lists!I$21),MAX(0,MIN(Lists!I$21,$AM33)-MAX(Lists!I$22,$AL33))/($AM33-$AL33))))))))</f>
        <v>0</v>
      </c>
      <c r="T33" s="53" t="n">
        <f aca="false">IF($H33=0,0,IF($AP33="X",0,IF($AP33="S",$H33/$AO33*(MIN($AO33,MAX(0,INT((Lists!J$21-N($J33))/7)+1))-MIN($AO33,MAX(0,INT((Lists!J$22-N($J33))/7)+1))),IF($AP33="D",$H33*MAX(0,MIN(Lists!J$21,N($J33)+$AO33)-MAX(Lists!J$22,N($J33)))/$AO33,IF($AP33="M",$H33/$AO33*(IF(Lists!J$21&lt;$J33,0,MIN($AO33,(((YEAR(Lists!J$21)-YEAR($J33))*12+MONTH(Lists!J$21)-MONTH($J33))-(EDATE($J33,((YEAR(Lists!J$21)-YEAR($J33))*12+MONTH(Lists!J$21)-MONTH($J33)))&gt;Lists!J$21)+1)))-IF(Lists!J$22&lt;$J33,0,MIN($AO33,(((YEAR(Lists!J$22)-YEAR($J33))*12+MONTH(Lists!J$22)-MONTH($J33))-(EDATE($J33,((YEAR(Lists!J$22)-YEAR($J33))*12+MONTH(Lists!J$22)-MONTH($J33)))&gt;Lists!J$22)+1)))),IF($AP33="F",IF(N($K33)&lt;=0,0,MIN(MAX(0,$H33),N($K33)*IF(Lists!J$21&lt;$J33,0,(((YEAR(Lists!J$21)-YEAR($J33))*12+MONTH(Lists!J$21)-MONTH($J33))-(EDATE($J33,((YEAR(Lists!J$21)-YEAR($J33))*12+MONTH(Lists!J$21)-MONTH($J33)))&gt;Lists!J$21)+1)))-MIN(MAX(0,$H33),N($K33)*IF(Lists!J$22&lt;$J33,0,(((YEAR(Lists!J$22)-YEAR($J33))*12+MONTH(Lists!J$22)-MONTH($J33))-(EDATE($J33,((YEAR(Lists!J$22)-YEAR($J33))*12+MONTH(Lists!J$22)-MONTH($J33)))&gt;Lists!J$22)+1)))),N($C33)*IF($AE33-$AD33&lt;1,($AD33&gt;Lists!J$22)*($AD33&lt;=Lists!J$21),MAX(0,MIN(Lists!J$21,$AE33)-MAX(Lists!J$22,$AD33))/($AE33-$AD33))+N($D33)*IF($AG33-$AF33&lt;1,($AF33&gt;Lists!J$22)*($AF33&lt;=Lists!J$21),MAX(0,MIN(Lists!J$21,$AG33)-MAX(Lists!J$22,$AF33))/($AG33-$AF33))+N($E33)*IF($AI33-$AH33&lt;1,($AH33&gt;Lists!J$22)*($AH33&lt;=Lists!J$21),MAX(0,MIN(Lists!J$21,$AI33)-MAX(Lists!J$22,$AH33))/($AI33-$AH33))+N($F33)*IF($AK33-$AJ33&lt;1,($AJ33&gt;Lists!J$22)*($AJ33&lt;=Lists!J$21),MAX(0,MIN(Lists!J$21,$AK33)-MAX(Lists!J$22,$AJ33))/($AK33-$AJ33))+N($G33)*IF($AM33-$AL33&lt;1,($AL33&gt;Lists!J$22)*($AL33&lt;=Lists!J$21),MAX(0,MIN(Lists!J$21,$AM33)-MAX(Lists!J$22,$AL33))/($AM33-$AL33))))))))</f>
        <v>0</v>
      </c>
      <c r="U33" s="53" t="n">
        <f aca="false">IF($H33=0,0,IF($AP33="X",0,IF($AP33="S",$H33/$AO33*(MIN($AO33,MAX(0,INT((Lists!K$21-N($J33))/7)+1))-MIN($AO33,MAX(0,INT((Lists!K$22-N($J33))/7)+1))),IF($AP33="D",$H33*MAX(0,MIN(Lists!K$21,N($J33)+$AO33)-MAX(Lists!K$22,N($J33)))/$AO33,IF($AP33="M",$H33/$AO33*(IF(Lists!K$21&lt;$J33,0,MIN($AO33,(((YEAR(Lists!K$21)-YEAR($J33))*12+MONTH(Lists!K$21)-MONTH($J33))-(EDATE($J33,((YEAR(Lists!K$21)-YEAR($J33))*12+MONTH(Lists!K$21)-MONTH($J33)))&gt;Lists!K$21)+1)))-IF(Lists!K$22&lt;$J33,0,MIN($AO33,(((YEAR(Lists!K$22)-YEAR($J33))*12+MONTH(Lists!K$22)-MONTH($J33))-(EDATE($J33,((YEAR(Lists!K$22)-YEAR($J33))*12+MONTH(Lists!K$22)-MONTH($J33)))&gt;Lists!K$22)+1)))),IF($AP33="F",IF(N($K33)&lt;=0,0,MIN(MAX(0,$H33),N($K33)*IF(Lists!K$21&lt;$J33,0,(((YEAR(Lists!K$21)-YEAR($J33))*12+MONTH(Lists!K$21)-MONTH($J33))-(EDATE($J33,((YEAR(Lists!K$21)-YEAR($J33))*12+MONTH(Lists!K$21)-MONTH($J33)))&gt;Lists!K$21)+1)))-MIN(MAX(0,$H33),N($K33)*IF(Lists!K$22&lt;$J33,0,(((YEAR(Lists!K$22)-YEAR($J33))*12+MONTH(Lists!K$22)-MONTH($J33))-(EDATE($J33,((YEAR(Lists!K$22)-YEAR($J33))*12+MONTH(Lists!K$22)-MONTH($J33)))&gt;Lists!K$22)+1)))),N($C33)*IF($AE33-$AD33&lt;1,($AD33&gt;Lists!K$22)*($AD33&lt;=Lists!K$21),MAX(0,MIN(Lists!K$21,$AE33)-MAX(Lists!K$22,$AD33))/($AE33-$AD33))+N($D33)*IF($AG33-$AF33&lt;1,($AF33&gt;Lists!K$22)*($AF33&lt;=Lists!K$21),MAX(0,MIN(Lists!K$21,$AG33)-MAX(Lists!K$22,$AF33))/($AG33-$AF33))+N($E33)*IF($AI33-$AH33&lt;1,($AH33&gt;Lists!K$22)*($AH33&lt;=Lists!K$21),MAX(0,MIN(Lists!K$21,$AI33)-MAX(Lists!K$22,$AH33))/($AI33-$AH33))+N($F33)*IF($AK33-$AJ33&lt;1,($AJ33&gt;Lists!K$22)*($AJ33&lt;=Lists!K$21),MAX(0,MIN(Lists!K$21,$AK33)-MAX(Lists!K$22,$AJ33))/($AK33-$AJ33))+N($G33)*IF($AM33-$AL33&lt;1,($AL33&gt;Lists!K$22)*($AL33&lt;=Lists!K$21),MAX(0,MIN(Lists!K$21,$AM33)-MAX(Lists!K$22,$AL33))/($AM33-$AL33))))))))</f>
        <v>0</v>
      </c>
      <c r="V33" s="53" t="n">
        <f aca="false">IF($H33=0,0,IF($AP33="X",0,IF($AP33="S",$H33/$AO33*(MIN($AO33,MAX(0,INT((Lists!L$21-N($J33))/7)+1))-MIN($AO33,MAX(0,INT((Lists!L$22-N($J33))/7)+1))),IF($AP33="D",$H33*MAX(0,MIN(Lists!L$21,N($J33)+$AO33)-MAX(Lists!L$22,N($J33)))/$AO33,IF($AP33="M",$H33/$AO33*(IF(Lists!L$21&lt;$J33,0,MIN($AO33,(((YEAR(Lists!L$21)-YEAR($J33))*12+MONTH(Lists!L$21)-MONTH($J33))-(EDATE($J33,((YEAR(Lists!L$21)-YEAR($J33))*12+MONTH(Lists!L$21)-MONTH($J33)))&gt;Lists!L$21)+1)))-IF(Lists!L$22&lt;$J33,0,MIN($AO33,(((YEAR(Lists!L$22)-YEAR($J33))*12+MONTH(Lists!L$22)-MONTH($J33))-(EDATE($J33,((YEAR(Lists!L$22)-YEAR($J33))*12+MONTH(Lists!L$22)-MONTH($J33)))&gt;Lists!L$22)+1)))),IF($AP33="F",IF(N($K33)&lt;=0,0,MIN(MAX(0,$H33),N($K33)*IF(Lists!L$21&lt;$J33,0,(((YEAR(Lists!L$21)-YEAR($J33))*12+MONTH(Lists!L$21)-MONTH($J33))-(EDATE($J33,((YEAR(Lists!L$21)-YEAR($J33))*12+MONTH(Lists!L$21)-MONTH($J33)))&gt;Lists!L$21)+1)))-MIN(MAX(0,$H33),N($K33)*IF(Lists!L$22&lt;$J33,0,(((YEAR(Lists!L$22)-YEAR($J33))*12+MONTH(Lists!L$22)-MONTH($J33))-(EDATE($J33,((YEAR(Lists!L$22)-YEAR($J33))*12+MONTH(Lists!L$22)-MONTH($J33)))&gt;Lists!L$22)+1)))),N($C33)*IF($AE33-$AD33&lt;1,($AD33&gt;Lists!L$22)*($AD33&lt;=Lists!L$21),MAX(0,MIN(Lists!L$21,$AE33)-MAX(Lists!L$22,$AD33))/($AE33-$AD33))+N($D33)*IF($AG33-$AF33&lt;1,($AF33&gt;Lists!L$22)*($AF33&lt;=Lists!L$21),MAX(0,MIN(Lists!L$21,$AG33)-MAX(Lists!L$22,$AF33))/($AG33-$AF33))+N($E33)*IF($AI33-$AH33&lt;1,($AH33&gt;Lists!L$22)*($AH33&lt;=Lists!L$21),MAX(0,MIN(Lists!L$21,$AI33)-MAX(Lists!L$22,$AH33))/($AI33-$AH33))+N($F33)*IF($AK33-$AJ33&lt;1,($AJ33&gt;Lists!L$22)*($AJ33&lt;=Lists!L$21),MAX(0,MIN(Lists!L$21,$AK33)-MAX(Lists!L$22,$AJ33))/($AK33-$AJ33))+N($G33)*IF($AM33-$AL33&lt;1,($AL33&gt;Lists!L$22)*($AL33&lt;=Lists!L$21),MAX(0,MIN(Lists!L$21,$AM33)-MAX(Lists!L$22,$AL33))/($AM33-$AL33))))))))</f>
        <v>0</v>
      </c>
      <c r="W33" s="53" t="n">
        <f aca="false">IF($H33=0,0,IF($AP33="X",0,IF($AP33="S",$H33/$AO33*(MIN($AO33,MAX(0,INT((Lists!M$21-N($J33))/7)+1))-MIN($AO33,MAX(0,INT((Lists!M$22-N($J33))/7)+1))),IF($AP33="D",$H33*MAX(0,MIN(Lists!M$21,N($J33)+$AO33)-MAX(Lists!M$22,N($J33)))/$AO33,IF($AP33="M",$H33/$AO33*(IF(Lists!M$21&lt;$J33,0,MIN($AO33,(((YEAR(Lists!M$21)-YEAR($J33))*12+MONTH(Lists!M$21)-MONTH($J33))-(EDATE($J33,((YEAR(Lists!M$21)-YEAR($J33))*12+MONTH(Lists!M$21)-MONTH($J33)))&gt;Lists!M$21)+1)))-IF(Lists!M$22&lt;$J33,0,MIN($AO33,(((YEAR(Lists!M$22)-YEAR($J33))*12+MONTH(Lists!M$22)-MONTH($J33))-(EDATE($J33,((YEAR(Lists!M$22)-YEAR($J33))*12+MONTH(Lists!M$22)-MONTH($J33)))&gt;Lists!M$22)+1)))),IF($AP33="F",IF(N($K33)&lt;=0,0,MIN(MAX(0,$H33),N($K33)*IF(Lists!M$21&lt;$J33,0,(((YEAR(Lists!M$21)-YEAR($J33))*12+MONTH(Lists!M$21)-MONTH($J33))-(EDATE($J33,((YEAR(Lists!M$21)-YEAR($J33))*12+MONTH(Lists!M$21)-MONTH($J33)))&gt;Lists!M$21)+1)))-MIN(MAX(0,$H33),N($K33)*IF(Lists!M$22&lt;$J33,0,(((YEAR(Lists!M$22)-YEAR($J33))*12+MONTH(Lists!M$22)-MONTH($J33))-(EDATE($J33,((YEAR(Lists!M$22)-YEAR($J33))*12+MONTH(Lists!M$22)-MONTH($J33)))&gt;Lists!M$22)+1)))),N($C33)*IF($AE33-$AD33&lt;1,($AD33&gt;Lists!M$22)*($AD33&lt;=Lists!M$21),MAX(0,MIN(Lists!M$21,$AE33)-MAX(Lists!M$22,$AD33))/($AE33-$AD33))+N($D33)*IF($AG33-$AF33&lt;1,($AF33&gt;Lists!M$22)*($AF33&lt;=Lists!M$21),MAX(0,MIN(Lists!M$21,$AG33)-MAX(Lists!M$22,$AF33))/($AG33-$AF33))+N($E33)*IF($AI33-$AH33&lt;1,($AH33&gt;Lists!M$22)*($AH33&lt;=Lists!M$21),MAX(0,MIN(Lists!M$21,$AI33)-MAX(Lists!M$22,$AH33))/($AI33-$AH33))+N($F33)*IF($AK33-$AJ33&lt;1,($AJ33&gt;Lists!M$22)*($AJ33&lt;=Lists!M$21),MAX(0,MIN(Lists!M$21,$AK33)-MAX(Lists!M$22,$AJ33))/($AK33-$AJ33))+N($G33)*IF($AM33-$AL33&lt;1,($AL33&gt;Lists!M$22)*($AL33&lt;=Lists!M$21),MAX(0,MIN(Lists!M$21,$AM33)-MAX(Lists!M$22,$AL33))/($AM33-$AL33))))))))</f>
        <v>0</v>
      </c>
      <c r="X33" s="53" t="n">
        <f aca="false">IF($H33=0,0,IF($AP33="X",0,IF($AP33="S",$H33/$AO33*(MIN($AO33,MAX(0,INT((Lists!N$21-N($J33))/7)+1))-MIN($AO33,MAX(0,INT((Lists!N$22-N($J33))/7)+1))),IF($AP33="D",$H33*MAX(0,MIN(Lists!N$21,N($J33)+$AO33)-MAX(Lists!N$22,N($J33)))/$AO33,IF($AP33="M",$H33/$AO33*(IF(Lists!N$21&lt;$J33,0,MIN($AO33,(((YEAR(Lists!N$21)-YEAR($J33))*12+MONTH(Lists!N$21)-MONTH($J33))-(EDATE($J33,((YEAR(Lists!N$21)-YEAR($J33))*12+MONTH(Lists!N$21)-MONTH($J33)))&gt;Lists!N$21)+1)))-IF(Lists!N$22&lt;$J33,0,MIN($AO33,(((YEAR(Lists!N$22)-YEAR($J33))*12+MONTH(Lists!N$22)-MONTH($J33))-(EDATE($J33,((YEAR(Lists!N$22)-YEAR($J33))*12+MONTH(Lists!N$22)-MONTH($J33)))&gt;Lists!N$22)+1)))),IF($AP33="F",IF(N($K33)&lt;=0,0,MIN(MAX(0,$H33),N($K33)*IF(Lists!N$21&lt;$J33,0,(((YEAR(Lists!N$21)-YEAR($J33))*12+MONTH(Lists!N$21)-MONTH($J33))-(EDATE($J33,((YEAR(Lists!N$21)-YEAR($J33))*12+MONTH(Lists!N$21)-MONTH($J33)))&gt;Lists!N$21)+1)))-MIN(MAX(0,$H33),N($K33)*IF(Lists!N$22&lt;$J33,0,(((YEAR(Lists!N$22)-YEAR($J33))*12+MONTH(Lists!N$22)-MONTH($J33))-(EDATE($J33,((YEAR(Lists!N$22)-YEAR($J33))*12+MONTH(Lists!N$22)-MONTH($J33)))&gt;Lists!N$22)+1)))),N($C33)*IF($AE33-$AD33&lt;1,($AD33&gt;Lists!N$22)*($AD33&lt;=Lists!N$21),MAX(0,MIN(Lists!N$21,$AE33)-MAX(Lists!N$22,$AD33))/($AE33-$AD33))+N($D33)*IF($AG33-$AF33&lt;1,($AF33&gt;Lists!N$22)*($AF33&lt;=Lists!N$21),MAX(0,MIN(Lists!N$21,$AG33)-MAX(Lists!N$22,$AF33))/($AG33-$AF33))+N($E33)*IF($AI33-$AH33&lt;1,($AH33&gt;Lists!N$22)*($AH33&lt;=Lists!N$21),MAX(0,MIN(Lists!N$21,$AI33)-MAX(Lists!N$22,$AH33))/($AI33-$AH33))+N($F33)*IF($AK33-$AJ33&lt;1,($AJ33&gt;Lists!N$22)*($AJ33&lt;=Lists!N$21),MAX(0,MIN(Lists!N$21,$AK33)-MAX(Lists!N$22,$AJ33))/($AK33-$AJ33))+N($G33)*IF($AM33-$AL33&lt;1,($AL33&gt;Lists!N$22)*($AL33&lt;=Lists!N$21),MAX(0,MIN(Lists!N$21,$AM33)-MAX(Lists!N$22,$AL33))/($AM33-$AL33))))))))</f>
        <v>0</v>
      </c>
      <c r="Y33" s="53" t="n">
        <f aca="false">IF($H33=0,0,IF($AP33="X",0,IF($AP33="S",$H33/$AO33*(MIN($AO33,MAX(0,INT((Lists!O$21-N($J33))/7)+1))-MIN($AO33,MAX(0,INT((Lists!O$22-N($J33))/7)+1))),IF($AP33="D",$H33*MAX(0,MIN(Lists!O$21,N($J33)+$AO33)-MAX(Lists!O$22,N($J33)))/$AO33,IF($AP33="M",$H33/$AO33*(IF(Lists!O$21&lt;$J33,0,MIN($AO33,(((YEAR(Lists!O$21)-YEAR($J33))*12+MONTH(Lists!O$21)-MONTH($J33))-(EDATE($J33,((YEAR(Lists!O$21)-YEAR($J33))*12+MONTH(Lists!O$21)-MONTH($J33)))&gt;Lists!O$21)+1)))-IF(Lists!O$22&lt;$J33,0,MIN($AO33,(((YEAR(Lists!O$22)-YEAR($J33))*12+MONTH(Lists!O$22)-MONTH($J33))-(EDATE($J33,((YEAR(Lists!O$22)-YEAR($J33))*12+MONTH(Lists!O$22)-MONTH($J33)))&gt;Lists!O$22)+1)))),IF($AP33="F",IF(N($K33)&lt;=0,0,MIN(MAX(0,$H33),N($K33)*IF(Lists!O$21&lt;$J33,0,(((YEAR(Lists!O$21)-YEAR($J33))*12+MONTH(Lists!O$21)-MONTH($J33))-(EDATE($J33,((YEAR(Lists!O$21)-YEAR($J33))*12+MONTH(Lists!O$21)-MONTH($J33)))&gt;Lists!O$21)+1)))-MIN(MAX(0,$H33),N($K33)*IF(Lists!O$22&lt;$J33,0,(((YEAR(Lists!O$22)-YEAR($J33))*12+MONTH(Lists!O$22)-MONTH($J33))-(EDATE($J33,((YEAR(Lists!O$22)-YEAR($J33))*12+MONTH(Lists!O$22)-MONTH($J33)))&gt;Lists!O$22)+1)))),N($C33)*IF($AE33-$AD33&lt;1,($AD33&gt;Lists!O$22)*($AD33&lt;=Lists!O$21),MAX(0,MIN(Lists!O$21,$AE33)-MAX(Lists!O$22,$AD33))/($AE33-$AD33))+N($D33)*IF($AG33-$AF33&lt;1,($AF33&gt;Lists!O$22)*($AF33&lt;=Lists!O$21),MAX(0,MIN(Lists!O$21,$AG33)-MAX(Lists!O$22,$AF33))/($AG33-$AF33))+N($E33)*IF($AI33-$AH33&lt;1,($AH33&gt;Lists!O$22)*($AH33&lt;=Lists!O$21),MAX(0,MIN(Lists!O$21,$AI33)-MAX(Lists!O$22,$AH33))/($AI33-$AH33))+N($F33)*IF($AK33-$AJ33&lt;1,($AJ33&gt;Lists!O$22)*($AJ33&lt;=Lists!O$21),MAX(0,MIN(Lists!O$21,$AK33)-MAX(Lists!O$22,$AJ33))/($AK33-$AJ33))+N($G33)*IF($AM33-$AL33&lt;1,($AL33&gt;Lists!O$22)*($AL33&lt;=Lists!O$21),MAX(0,MIN(Lists!O$21,$AM33)-MAX(Lists!O$22,$AL33))/($AM33-$AL33))))))))</f>
        <v>0</v>
      </c>
      <c r="Z33" s="46" t="n">
        <f aca="false">SUM(M33:Y33)</f>
        <v>0</v>
      </c>
      <c r="AA33" s="92" t="n">
        <f aca="false">H33-Z33</f>
        <v>0</v>
      </c>
      <c r="AB33" s="55"/>
      <c r="AC33" s="2"/>
      <c r="AD33" s="93" t="n">
        <f aca="false">Setup!$D$10+MAX(0,$AN33-30)</f>
        <v>46345</v>
      </c>
      <c r="AE33" s="93" t="n">
        <f aca="false">Setup!$D$10+IF($AN33-30&lt;0,MAX(Setup!$D$22,$AN33-0),$AN33-0)</f>
        <v>46375</v>
      </c>
      <c r="AF33" s="93" t="n">
        <f aca="false">Setup!$D$10+MAX(0,$AN33-60)</f>
        <v>46335</v>
      </c>
      <c r="AG33" s="93" t="n">
        <f aca="false">Setup!$D$10+IF($AN33-60&lt;0,MAX(Setup!$D$22,$AN33-31),$AN33-31)</f>
        <v>46363</v>
      </c>
      <c r="AH33" s="93" t="n">
        <f aca="false">Setup!$D$10+MAX(0,$AN33-90)</f>
        <v>46335</v>
      </c>
      <c r="AI33" s="93" t="n">
        <f aca="false">Setup!$D$10+IF($AN33-90&lt;0,MAX(Setup!$D$22,$AN33-61),$AN33-61)</f>
        <v>46363</v>
      </c>
      <c r="AJ33" s="93" t="n">
        <f aca="false">Setup!$D$10+MAX(0,$AN33-120)</f>
        <v>46335</v>
      </c>
      <c r="AK33" s="93" t="n">
        <f aca="false">Setup!$D$10+IF($AN33-120&lt;0,MAX(Setup!$D$22,$AN33-91),$AN33-91)</f>
        <v>46363</v>
      </c>
      <c r="AL33" s="93" t="n">
        <f aca="false">Setup!$D$10</f>
        <v>46335</v>
      </c>
      <c r="AM33" s="93" t="n">
        <f aca="false">IF(AL33=2958465,AL33,Setup!$D$10+Setup!$D$22)</f>
        <v>46363</v>
      </c>
      <c r="AN33" s="94" t="n">
        <f aca="false">IF(N(L33)=0,Setup!$D$21,L33)</f>
        <v>40</v>
      </c>
      <c r="AO33" s="94" t="n">
        <f aca="false">MAX(1,ROUND(N(K33),0))</f>
        <v>1</v>
      </c>
      <c r="AP33" s="95" t="str">
        <f aca="false">IF(I33="On hold","X",IF(N(J33)=0,"A",IF(I33="Specific date","S",IF(I33="Spread over days","D",IF(I33="Monthly on set day","M",IF(I33="Monthly fixed amount","F","A"))))))</f>
        <v>A</v>
      </c>
    </row>
    <row r="34" customFormat="false" ht="15" hidden="false" customHeight="false" outlineLevel="0" collapsed="false">
      <c r="A34" s="87" t="n">
        <v>26</v>
      </c>
      <c r="B34" s="55"/>
      <c r="C34" s="88"/>
      <c r="D34" s="88"/>
      <c r="E34" s="88"/>
      <c r="F34" s="88"/>
      <c r="G34" s="88"/>
      <c r="H34" s="89" t="n">
        <f aca="false">SUM(C34:G34)</f>
        <v>0</v>
      </c>
      <c r="I34" s="58"/>
      <c r="J34" s="90"/>
      <c r="K34" s="91"/>
      <c r="L34" s="80"/>
      <c r="M34" s="53" t="n">
        <f aca="false">IF($H34=0,0,IF($AP34="X",0,IF($AP34="S",$H34/$AO34*(MIN($AO34,MAX(0,INT((Lists!C$21-N($J34))/7)+1))-MIN($AO34,MAX(0,INT((Lists!C$22-N($J34))/7)+1))),IF($AP34="D",$H34*MAX(0,MIN(Lists!C$21,N($J34)+$AO34)-MAX(Lists!C$22,N($J34)))/$AO34,IF($AP34="M",$H34/$AO34*(IF(Lists!C$21&lt;$J34,0,MIN($AO34,(((YEAR(Lists!C$21)-YEAR($J34))*12+MONTH(Lists!C$21)-MONTH($J34))-(EDATE($J34,((YEAR(Lists!C$21)-YEAR($J34))*12+MONTH(Lists!C$21)-MONTH($J34)))&gt;Lists!C$21)+1)))-IF(Lists!C$22&lt;$J34,0,MIN($AO34,(((YEAR(Lists!C$22)-YEAR($J34))*12+MONTH(Lists!C$22)-MONTH($J34))-(EDATE($J34,((YEAR(Lists!C$22)-YEAR($J34))*12+MONTH(Lists!C$22)-MONTH($J34)))&gt;Lists!C$22)+1)))),IF($AP34="F",IF(N($K34)&lt;=0,0,MIN(MAX(0,$H34),N($K34)*IF(Lists!C$21&lt;$J34,0,(((YEAR(Lists!C$21)-YEAR($J34))*12+MONTH(Lists!C$21)-MONTH($J34))-(EDATE($J34,((YEAR(Lists!C$21)-YEAR($J34))*12+MONTH(Lists!C$21)-MONTH($J34)))&gt;Lists!C$21)+1)))-MIN(MAX(0,$H34),N($K34)*IF(Lists!C$22&lt;$J34,0,(((YEAR(Lists!C$22)-YEAR($J34))*12+MONTH(Lists!C$22)-MONTH($J34))-(EDATE($J34,((YEAR(Lists!C$22)-YEAR($J34))*12+MONTH(Lists!C$22)-MONTH($J34)))&gt;Lists!C$22)+1)))),N($C34)*IF($AE34-$AD34&lt;1,($AD34&gt;Lists!C$22)*($AD34&lt;=Lists!C$21),MAX(0,MIN(Lists!C$21,$AE34)-MAX(Lists!C$22,$AD34))/($AE34-$AD34))+N($D34)*IF($AG34-$AF34&lt;1,($AF34&gt;Lists!C$22)*($AF34&lt;=Lists!C$21),MAX(0,MIN(Lists!C$21,$AG34)-MAX(Lists!C$22,$AF34))/($AG34-$AF34))+N($E34)*IF($AI34-$AH34&lt;1,($AH34&gt;Lists!C$22)*($AH34&lt;=Lists!C$21),MAX(0,MIN(Lists!C$21,$AI34)-MAX(Lists!C$22,$AH34))/($AI34-$AH34))+N($F34)*IF($AK34-$AJ34&lt;1,($AJ34&gt;Lists!C$22)*($AJ34&lt;=Lists!C$21),MAX(0,MIN(Lists!C$21,$AK34)-MAX(Lists!C$22,$AJ34))/($AK34-$AJ34))+N($G34)*IF($AM34-$AL34&lt;1,($AL34&gt;Lists!C$22)*($AL34&lt;=Lists!C$21),MAX(0,MIN(Lists!C$21,$AM34)-MAX(Lists!C$22,$AL34))/($AM34-$AL34))))))))</f>
        <v>0</v>
      </c>
      <c r="N34" s="53" t="n">
        <f aca="false">IF($H34=0,0,IF($AP34="X",0,IF($AP34="S",$H34/$AO34*(MIN($AO34,MAX(0,INT((Lists!D$21-N($J34))/7)+1))-MIN($AO34,MAX(0,INT((Lists!D$22-N($J34))/7)+1))),IF($AP34="D",$H34*MAX(0,MIN(Lists!D$21,N($J34)+$AO34)-MAX(Lists!D$22,N($J34)))/$AO34,IF($AP34="M",$H34/$AO34*(IF(Lists!D$21&lt;$J34,0,MIN($AO34,(((YEAR(Lists!D$21)-YEAR($J34))*12+MONTH(Lists!D$21)-MONTH($J34))-(EDATE($J34,((YEAR(Lists!D$21)-YEAR($J34))*12+MONTH(Lists!D$21)-MONTH($J34)))&gt;Lists!D$21)+1)))-IF(Lists!D$22&lt;$J34,0,MIN($AO34,(((YEAR(Lists!D$22)-YEAR($J34))*12+MONTH(Lists!D$22)-MONTH($J34))-(EDATE($J34,((YEAR(Lists!D$22)-YEAR($J34))*12+MONTH(Lists!D$22)-MONTH($J34)))&gt;Lists!D$22)+1)))),IF($AP34="F",IF(N($K34)&lt;=0,0,MIN(MAX(0,$H34),N($K34)*IF(Lists!D$21&lt;$J34,0,(((YEAR(Lists!D$21)-YEAR($J34))*12+MONTH(Lists!D$21)-MONTH($J34))-(EDATE($J34,((YEAR(Lists!D$21)-YEAR($J34))*12+MONTH(Lists!D$21)-MONTH($J34)))&gt;Lists!D$21)+1)))-MIN(MAX(0,$H34),N($K34)*IF(Lists!D$22&lt;$J34,0,(((YEAR(Lists!D$22)-YEAR($J34))*12+MONTH(Lists!D$22)-MONTH($J34))-(EDATE($J34,((YEAR(Lists!D$22)-YEAR($J34))*12+MONTH(Lists!D$22)-MONTH($J34)))&gt;Lists!D$22)+1)))),N($C34)*IF($AE34-$AD34&lt;1,($AD34&gt;Lists!D$22)*($AD34&lt;=Lists!D$21),MAX(0,MIN(Lists!D$21,$AE34)-MAX(Lists!D$22,$AD34))/($AE34-$AD34))+N($D34)*IF($AG34-$AF34&lt;1,($AF34&gt;Lists!D$22)*($AF34&lt;=Lists!D$21),MAX(0,MIN(Lists!D$21,$AG34)-MAX(Lists!D$22,$AF34))/($AG34-$AF34))+N($E34)*IF($AI34-$AH34&lt;1,($AH34&gt;Lists!D$22)*($AH34&lt;=Lists!D$21),MAX(0,MIN(Lists!D$21,$AI34)-MAX(Lists!D$22,$AH34))/($AI34-$AH34))+N($F34)*IF($AK34-$AJ34&lt;1,($AJ34&gt;Lists!D$22)*($AJ34&lt;=Lists!D$21),MAX(0,MIN(Lists!D$21,$AK34)-MAX(Lists!D$22,$AJ34))/($AK34-$AJ34))+N($G34)*IF($AM34-$AL34&lt;1,($AL34&gt;Lists!D$22)*($AL34&lt;=Lists!D$21),MAX(0,MIN(Lists!D$21,$AM34)-MAX(Lists!D$22,$AL34))/($AM34-$AL34))))))))</f>
        <v>0</v>
      </c>
      <c r="O34" s="53" t="n">
        <f aca="false">IF($H34=0,0,IF($AP34="X",0,IF($AP34="S",$H34/$AO34*(MIN($AO34,MAX(0,INT((Lists!E$21-N($J34))/7)+1))-MIN($AO34,MAX(0,INT((Lists!E$22-N($J34))/7)+1))),IF($AP34="D",$H34*MAX(0,MIN(Lists!E$21,N($J34)+$AO34)-MAX(Lists!E$22,N($J34)))/$AO34,IF($AP34="M",$H34/$AO34*(IF(Lists!E$21&lt;$J34,0,MIN($AO34,(((YEAR(Lists!E$21)-YEAR($J34))*12+MONTH(Lists!E$21)-MONTH($J34))-(EDATE($J34,((YEAR(Lists!E$21)-YEAR($J34))*12+MONTH(Lists!E$21)-MONTH($J34)))&gt;Lists!E$21)+1)))-IF(Lists!E$22&lt;$J34,0,MIN($AO34,(((YEAR(Lists!E$22)-YEAR($J34))*12+MONTH(Lists!E$22)-MONTH($J34))-(EDATE($J34,((YEAR(Lists!E$22)-YEAR($J34))*12+MONTH(Lists!E$22)-MONTH($J34)))&gt;Lists!E$22)+1)))),IF($AP34="F",IF(N($K34)&lt;=0,0,MIN(MAX(0,$H34),N($K34)*IF(Lists!E$21&lt;$J34,0,(((YEAR(Lists!E$21)-YEAR($J34))*12+MONTH(Lists!E$21)-MONTH($J34))-(EDATE($J34,((YEAR(Lists!E$21)-YEAR($J34))*12+MONTH(Lists!E$21)-MONTH($J34)))&gt;Lists!E$21)+1)))-MIN(MAX(0,$H34),N($K34)*IF(Lists!E$22&lt;$J34,0,(((YEAR(Lists!E$22)-YEAR($J34))*12+MONTH(Lists!E$22)-MONTH($J34))-(EDATE($J34,((YEAR(Lists!E$22)-YEAR($J34))*12+MONTH(Lists!E$22)-MONTH($J34)))&gt;Lists!E$22)+1)))),N($C34)*IF($AE34-$AD34&lt;1,($AD34&gt;Lists!E$22)*($AD34&lt;=Lists!E$21),MAX(0,MIN(Lists!E$21,$AE34)-MAX(Lists!E$22,$AD34))/($AE34-$AD34))+N($D34)*IF($AG34-$AF34&lt;1,($AF34&gt;Lists!E$22)*($AF34&lt;=Lists!E$21),MAX(0,MIN(Lists!E$21,$AG34)-MAX(Lists!E$22,$AF34))/($AG34-$AF34))+N($E34)*IF($AI34-$AH34&lt;1,($AH34&gt;Lists!E$22)*($AH34&lt;=Lists!E$21),MAX(0,MIN(Lists!E$21,$AI34)-MAX(Lists!E$22,$AH34))/($AI34-$AH34))+N($F34)*IF($AK34-$AJ34&lt;1,($AJ34&gt;Lists!E$22)*($AJ34&lt;=Lists!E$21),MAX(0,MIN(Lists!E$21,$AK34)-MAX(Lists!E$22,$AJ34))/($AK34-$AJ34))+N($G34)*IF($AM34-$AL34&lt;1,($AL34&gt;Lists!E$22)*($AL34&lt;=Lists!E$21),MAX(0,MIN(Lists!E$21,$AM34)-MAX(Lists!E$22,$AL34))/($AM34-$AL34))))))))</f>
        <v>0</v>
      </c>
      <c r="P34" s="53" t="n">
        <f aca="false">IF($H34=0,0,IF($AP34="X",0,IF($AP34="S",$H34/$AO34*(MIN($AO34,MAX(0,INT((Lists!F$21-N($J34))/7)+1))-MIN($AO34,MAX(0,INT((Lists!F$22-N($J34))/7)+1))),IF($AP34="D",$H34*MAX(0,MIN(Lists!F$21,N($J34)+$AO34)-MAX(Lists!F$22,N($J34)))/$AO34,IF($AP34="M",$H34/$AO34*(IF(Lists!F$21&lt;$J34,0,MIN($AO34,(((YEAR(Lists!F$21)-YEAR($J34))*12+MONTH(Lists!F$21)-MONTH($J34))-(EDATE($J34,((YEAR(Lists!F$21)-YEAR($J34))*12+MONTH(Lists!F$21)-MONTH($J34)))&gt;Lists!F$21)+1)))-IF(Lists!F$22&lt;$J34,0,MIN($AO34,(((YEAR(Lists!F$22)-YEAR($J34))*12+MONTH(Lists!F$22)-MONTH($J34))-(EDATE($J34,((YEAR(Lists!F$22)-YEAR($J34))*12+MONTH(Lists!F$22)-MONTH($J34)))&gt;Lists!F$22)+1)))),IF($AP34="F",IF(N($K34)&lt;=0,0,MIN(MAX(0,$H34),N($K34)*IF(Lists!F$21&lt;$J34,0,(((YEAR(Lists!F$21)-YEAR($J34))*12+MONTH(Lists!F$21)-MONTH($J34))-(EDATE($J34,((YEAR(Lists!F$21)-YEAR($J34))*12+MONTH(Lists!F$21)-MONTH($J34)))&gt;Lists!F$21)+1)))-MIN(MAX(0,$H34),N($K34)*IF(Lists!F$22&lt;$J34,0,(((YEAR(Lists!F$22)-YEAR($J34))*12+MONTH(Lists!F$22)-MONTH($J34))-(EDATE($J34,((YEAR(Lists!F$22)-YEAR($J34))*12+MONTH(Lists!F$22)-MONTH($J34)))&gt;Lists!F$22)+1)))),N($C34)*IF($AE34-$AD34&lt;1,($AD34&gt;Lists!F$22)*($AD34&lt;=Lists!F$21),MAX(0,MIN(Lists!F$21,$AE34)-MAX(Lists!F$22,$AD34))/($AE34-$AD34))+N($D34)*IF($AG34-$AF34&lt;1,($AF34&gt;Lists!F$22)*($AF34&lt;=Lists!F$21),MAX(0,MIN(Lists!F$21,$AG34)-MAX(Lists!F$22,$AF34))/($AG34-$AF34))+N($E34)*IF($AI34-$AH34&lt;1,($AH34&gt;Lists!F$22)*($AH34&lt;=Lists!F$21),MAX(0,MIN(Lists!F$21,$AI34)-MAX(Lists!F$22,$AH34))/($AI34-$AH34))+N($F34)*IF($AK34-$AJ34&lt;1,($AJ34&gt;Lists!F$22)*($AJ34&lt;=Lists!F$21),MAX(0,MIN(Lists!F$21,$AK34)-MAX(Lists!F$22,$AJ34))/($AK34-$AJ34))+N($G34)*IF($AM34-$AL34&lt;1,($AL34&gt;Lists!F$22)*($AL34&lt;=Lists!F$21),MAX(0,MIN(Lists!F$21,$AM34)-MAX(Lists!F$22,$AL34))/($AM34-$AL34))))))))</f>
        <v>0</v>
      </c>
      <c r="Q34" s="53" t="n">
        <f aca="false">IF($H34=0,0,IF($AP34="X",0,IF($AP34="S",$H34/$AO34*(MIN($AO34,MAX(0,INT((Lists!G$21-N($J34))/7)+1))-MIN($AO34,MAX(0,INT((Lists!G$22-N($J34))/7)+1))),IF($AP34="D",$H34*MAX(0,MIN(Lists!G$21,N($J34)+$AO34)-MAX(Lists!G$22,N($J34)))/$AO34,IF($AP34="M",$H34/$AO34*(IF(Lists!G$21&lt;$J34,0,MIN($AO34,(((YEAR(Lists!G$21)-YEAR($J34))*12+MONTH(Lists!G$21)-MONTH($J34))-(EDATE($J34,((YEAR(Lists!G$21)-YEAR($J34))*12+MONTH(Lists!G$21)-MONTH($J34)))&gt;Lists!G$21)+1)))-IF(Lists!G$22&lt;$J34,0,MIN($AO34,(((YEAR(Lists!G$22)-YEAR($J34))*12+MONTH(Lists!G$22)-MONTH($J34))-(EDATE($J34,((YEAR(Lists!G$22)-YEAR($J34))*12+MONTH(Lists!G$22)-MONTH($J34)))&gt;Lists!G$22)+1)))),IF($AP34="F",IF(N($K34)&lt;=0,0,MIN(MAX(0,$H34),N($K34)*IF(Lists!G$21&lt;$J34,0,(((YEAR(Lists!G$21)-YEAR($J34))*12+MONTH(Lists!G$21)-MONTH($J34))-(EDATE($J34,((YEAR(Lists!G$21)-YEAR($J34))*12+MONTH(Lists!G$21)-MONTH($J34)))&gt;Lists!G$21)+1)))-MIN(MAX(0,$H34),N($K34)*IF(Lists!G$22&lt;$J34,0,(((YEAR(Lists!G$22)-YEAR($J34))*12+MONTH(Lists!G$22)-MONTH($J34))-(EDATE($J34,((YEAR(Lists!G$22)-YEAR($J34))*12+MONTH(Lists!G$22)-MONTH($J34)))&gt;Lists!G$22)+1)))),N($C34)*IF($AE34-$AD34&lt;1,($AD34&gt;Lists!G$22)*($AD34&lt;=Lists!G$21),MAX(0,MIN(Lists!G$21,$AE34)-MAX(Lists!G$22,$AD34))/($AE34-$AD34))+N($D34)*IF($AG34-$AF34&lt;1,($AF34&gt;Lists!G$22)*($AF34&lt;=Lists!G$21),MAX(0,MIN(Lists!G$21,$AG34)-MAX(Lists!G$22,$AF34))/($AG34-$AF34))+N($E34)*IF($AI34-$AH34&lt;1,($AH34&gt;Lists!G$22)*($AH34&lt;=Lists!G$21),MAX(0,MIN(Lists!G$21,$AI34)-MAX(Lists!G$22,$AH34))/($AI34-$AH34))+N($F34)*IF($AK34-$AJ34&lt;1,($AJ34&gt;Lists!G$22)*($AJ34&lt;=Lists!G$21),MAX(0,MIN(Lists!G$21,$AK34)-MAX(Lists!G$22,$AJ34))/($AK34-$AJ34))+N($G34)*IF($AM34-$AL34&lt;1,($AL34&gt;Lists!G$22)*($AL34&lt;=Lists!G$21),MAX(0,MIN(Lists!G$21,$AM34)-MAX(Lists!G$22,$AL34))/($AM34-$AL34))))))))</f>
        <v>0</v>
      </c>
      <c r="R34" s="53" t="n">
        <f aca="false">IF($H34=0,0,IF($AP34="X",0,IF($AP34="S",$H34/$AO34*(MIN($AO34,MAX(0,INT((Lists!H$21-N($J34))/7)+1))-MIN($AO34,MAX(0,INT((Lists!H$22-N($J34))/7)+1))),IF($AP34="D",$H34*MAX(0,MIN(Lists!H$21,N($J34)+$AO34)-MAX(Lists!H$22,N($J34)))/$AO34,IF($AP34="M",$H34/$AO34*(IF(Lists!H$21&lt;$J34,0,MIN($AO34,(((YEAR(Lists!H$21)-YEAR($J34))*12+MONTH(Lists!H$21)-MONTH($J34))-(EDATE($J34,((YEAR(Lists!H$21)-YEAR($J34))*12+MONTH(Lists!H$21)-MONTH($J34)))&gt;Lists!H$21)+1)))-IF(Lists!H$22&lt;$J34,0,MIN($AO34,(((YEAR(Lists!H$22)-YEAR($J34))*12+MONTH(Lists!H$22)-MONTH($J34))-(EDATE($J34,((YEAR(Lists!H$22)-YEAR($J34))*12+MONTH(Lists!H$22)-MONTH($J34)))&gt;Lists!H$22)+1)))),IF($AP34="F",IF(N($K34)&lt;=0,0,MIN(MAX(0,$H34),N($K34)*IF(Lists!H$21&lt;$J34,0,(((YEAR(Lists!H$21)-YEAR($J34))*12+MONTH(Lists!H$21)-MONTH($J34))-(EDATE($J34,((YEAR(Lists!H$21)-YEAR($J34))*12+MONTH(Lists!H$21)-MONTH($J34)))&gt;Lists!H$21)+1)))-MIN(MAX(0,$H34),N($K34)*IF(Lists!H$22&lt;$J34,0,(((YEAR(Lists!H$22)-YEAR($J34))*12+MONTH(Lists!H$22)-MONTH($J34))-(EDATE($J34,((YEAR(Lists!H$22)-YEAR($J34))*12+MONTH(Lists!H$22)-MONTH($J34)))&gt;Lists!H$22)+1)))),N($C34)*IF($AE34-$AD34&lt;1,($AD34&gt;Lists!H$22)*($AD34&lt;=Lists!H$21),MAX(0,MIN(Lists!H$21,$AE34)-MAX(Lists!H$22,$AD34))/($AE34-$AD34))+N($D34)*IF($AG34-$AF34&lt;1,($AF34&gt;Lists!H$22)*($AF34&lt;=Lists!H$21),MAX(0,MIN(Lists!H$21,$AG34)-MAX(Lists!H$22,$AF34))/($AG34-$AF34))+N($E34)*IF($AI34-$AH34&lt;1,($AH34&gt;Lists!H$22)*($AH34&lt;=Lists!H$21),MAX(0,MIN(Lists!H$21,$AI34)-MAX(Lists!H$22,$AH34))/($AI34-$AH34))+N($F34)*IF($AK34-$AJ34&lt;1,($AJ34&gt;Lists!H$22)*($AJ34&lt;=Lists!H$21),MAX(0,MIN(Lists!H$21,$AK34)-MAX(Lists!H$22,$AJ34))/($AK34-$AJ34))+N($G34)*IF($AM34-$AL34&lt;1,($AL34&gt;Lists!H$22)*($AL34&lt;=Lists!H$21),MAX(0,MIN(Lists!H$21,$AM34)-MAX(Lists!H$22,$AL34))/($AM34-$AL34))))))))</f>
        <v>0</v>
      </c>
      <c r="S34" s="53" t="n">
        <f aca="false">IF($H34=0,0,IF($AP34="X",0,IF($AP34="S",$H34/$AO34*(MIN($AO34,MAX(0,INT((Lists!I$21-N($J34))/7)+1))-MIN($AO34,MAX(0,INT((Lists!I$22-N($J34))/7)+1))),IF($AP34="D",$H34*MAX(0,MIN(Lists!I$21,N($J34)+$AO34)-MAX(Lists!I$22,N($J34)))/$AO34,IF($AP34="M",$H34/$AO34*(IF(Lists!I$21&lt;$J34,0,MIN($AO34,(((YEAR(Lists!I$21)-YEAR($J34))*12+MONTH(Lists!I$21)-MONTH($J34))-(EDATE($J34,((YEAR(Lists!I$21)-YEAR($J34))*12+MONTH(Lists!I$21)-MONTH($J34)))&gt;Lists!I$21)+1)))-IF(Lists!I$22&lt;$J34,0,MIN($AO34,(((YEAR(Lists!I$22)-YEAR($J34))*12+MONTH(Lists!I$22)-MONTH($J34))-(EDATE($J34,((YEAR(Lists!I$22)-YEAR($J34))*12+MONTH(Lists!I$22)-MONTH($J34)))&gt;Lists!I$22)+1)))),IF($AP34="F",IF(N($K34)&lt;=0,0,MIN(MAX(0,$H34),N($K34)*IF(Lists!I$21&lt;$J34,0,(((YEAR(Lists!I$21)-YEAR($J34))*12+MONTH(Lists!I$21)-MONTH($J34))-(EDATE($J34,((YEAR(Lists!I$21)-YEAR($J34))*12+MONTH(Lists!I$21)-MONTH($J34)))&gt;Lists!I$21)+1)))-MIN(MAX(0,$H34),N($K34)*IF(Lists!I$22&lt;$J34,0,(((YEAR(Lists!I$22)-YEAR($J34))*12+MONTH(Lists!I$22)-MONTH($J34))-(EDATE($J34,((YEAR(Lists!I$22)-YEAR($J34))*12+MONTH(Lists!I$22)-MONTH($J34)))&gt;Lists!I$22)+1)))),N($C34)*IF($AE34-$AD34&lt;1,($AD34&gt;Lists!I$22)*($AD34&lt;=Lists!I$21),MAX(0,MIN(Lists!I$21,$AE34)-MAX(Lists!I$22,$AD34))/($AE34-$AD34))+N($D34)*IF($AG34-$AF34&lt;1,($AF34&gt;Lists!I$22)*($AF34&lt;=Lists!I$21),MAX(0,MIN(Lists!I$21,$AG34)-MAX(Lists!I$22,$AF34))/($AG34-$AF34))+N($E34)*IF($AI34-$AH34&lt;1,($AH34&gt;Lists!I$22)*($AH34&lt;=Lists!I$21),MAX(0,MIN(Lists!I$21,$AI34)-MAX(Lists!I$22,$AH34))/($AI34-$AH34))+N($F34)*IF($AK34-$AJ34&lt;1,($AJ34&gt;Lists!I$22)*($AJ34&lt;=Lists!I$21),MAX(0,MIN(Lists!I$21,$AK34)-MAX(Lists!I$22,$AJ34))/($AK34-$AJ34))+N($G34)*IF($AM34-$AL34&lt;1,($AL34&gt;Lists!I$22)*($AL34&lt;=Lists!I$21),MAX(0,MIN(Lists!I$21,$AM34)-MAX(Lists!I$22,$AL34))/($AM34-$AL34))))))))</f>
        <v>0</v>
      </c>
      <c r="T34" s="53" t="n">
        <f aca="false">IF($H34=0,0,IF($AP34="X",0,IF($AP34="S",$H34/$AO34*(MIN($AO34,MAX(0,INT((Lists!J$21-N($J34))/7)+1))-MIN($AO34,MAX(0,INT((Lists!J$22-N($J34))/7)+1))),IF($AP34="D",$H34*MAX(0,MIN(Lists!J$21,N($J34)+$AO34)-MAX(Lists!J$22,N($J34)))/$AO34,IF($AP34="M",$H34/$AO34*(IF(Lists!J$21&lt;$J34,0,MIN($AO34,(((YEAR(Lists!J$21)-YEAR($J34))*12+MONTH(Lists!J$21)-MONTH($J34))-(EDATE($J34,((YEAR(Lists!J$21)-YEAR($J34))*12+MONTH(Lists!J$21)-MONTH($J34)))&gt;Lists!J$21)+1)))-IF(Lists!J$22&lt;$J34,0,MIN($AO34,(((YEAR(Lists!J$22)-YEAR($J34))*12+MONTH(Lists!J$22)-MONTH($J34))-(EDATE($J34,((YEAR(Lists!J$22)-YEAR($J34))*12+MONTH(Lists!J$22)-MONTH($J34)))&gt;Lists!J$22)+1)))),IF($AP34="F",IF(N($K34)&lt;=0,0,MIN(MAX(0,$H34),N($K34)*IF(Lists!J$21&lt;$J34,0,(((YEAR(Lists!J$21)-YEAR($J34))*12+MONTH(Lists!J$21)-MONTH($J34))-(EDATE($J34,((YEAR(Lists!J$21)-YEAR($J34))*12+MONTH(Lists!J$21)-MONTH($J34)))&gt;Lists!J$21)+1)))-MIN(MAX(0,$H34),N($K34)*IF(Lists!J$22&lt;$J34,0,(((YEAR(Lists!J$22)-YEAR($J34))*12+MONTH(Lists!J$22)-MONTH($J34))-(EDATE($J34,((YEAR(Lists!J$22)-YEAR($J34))*12+MONTH(Lists!J$22)-MONTH($J34)))&gt;Lists!J$22)+1)))),N($C34)*IF($AE34-$AD34&lt;1,($AD34&gt;Lists!J$22)*($AD34&lt;=Lists!J$21),MAX(0,MIN(Lists!J$21,$AE34)-MAX(Lists!J$22,$AD34))/($AE34-$AD34))+N($D34)*IF($AG34-$AF34&lt;1,($AF34&gt;Lists!J$22)*($AF34&lt;=Lists!J$21),MAX(0,MIN(Lists!J$21,$AG34)-MAX(Lists!J$22,$AF34))/($AG34-$AF34))+N($E34)*IF($AI34-$AH34&lt;1,($AH34&gt;Lists!J$22)*($AH34&lt;=Lists!J$21),MAX(0,MIN(Lists!J$21,$AI34)-MAX(Lists!J$22,$AH34))/($AI34-$AH34))+N($F34)*IF($AK34-$AJ34&lt;1,($AJ34&gt;Lists!J$22)*($AJ34&lt;=Lists!J$21),MAX(0,MIN(Lists!J$21,$AK34)-MAX(Lists!J$22,$AJ34))/($AK34-$AJ34))+N($G34)*IF($AM34-$AL34&lt;1,($AL34&gt;Lists!J$22)*($AL34&lt;=Lists!J$21),MAX(0,MIN(Lists!J$21,$AM34)-MAX(Lists!J$22,$AL34))/($AM34-$AL34))))))))</f>
        <v>0</v>
      </c>
      <c r="U34" s="53" t="n">
        <f aca="false">IF($H34=0,0,IF($AP34="X",0,IF($AP34="S",$H34/$AO34*(MIN($AO34,MAX(0,INT((Lists!K$21-N($J34))/7)+1))-MIN($AO34,MAX(0,INT((Lists!K$22-N($J34))/7)+1))),IF($AP34="D",$H34*MAX(0,MIN(Lists!K$21,N($J34)+$AO34)-MAX(Lists!K$22,N($J34)))/$AO34,IF($AP34="M",$H34/$AO34*(IF(Lists!K$21&lt;$J34,0,MIN($AO34,(((YEAR(Lists!K$21)-YEAR($J34))*12+MONTH(Lists!K$21)-MONTH($J34))-(EDATE($J34,((YEAR(Lists!K$21)-YEAR($J34))*12+MONTH(Lists!K$21)-MONTH($J34)))&gt;Lists!K$21)+1)))-IF(Lists!K$22&lt;$J34,0,MIN($AO34,(((YEAR(Lists!K$22)-YEAR($J34))*12+MONTH(Lists!K$22)-MONTH($J34))-(EDATE($J34,((YEAR(Lists!K$22)-YEAR($J34))*12+MONTH(Lists!K$22)-MONTH($J34)))&gt;Lists!K$22)+1)))),IF($AP34="F",IF(N($K34)&lt;=0,0,MIN(MAX(0,$H34),N($K34)*IF(Lists!K$21&lt;$J34,0,(((YEAR(Lists!K$21)-YEAR($J34))*12+MONTH(Lists!K$21)-MONTH($J34))-(EDATE($J34,((YEAR(Lists!K$21)-YEAR($J34))*12+MONTH(Lists!K$21)-MONTH($J34)))&gt;Lists!K$21)+1)))-MIN(MAX(0,$H34),N($K34)*IF(Lists!K$22&lt;$J34,0,(((YEAR(Lists!K$22)-YEAR($J34))*12+MONTH(Lists!K$22)-MONTH($J34))-(EDATE($J34,((YEAR(Lists!K$22)-YEAR($J34))*12+MONTH(Lists!K$22)-MONTH($J34)))&gt;Lists!K$22)+1)))),N($C34)*IF($AE34-$AD34&lt;1,($AD34&gt;Lists!K$22)*($AD34&lt;=Lists!K$21),MAX(0,MIN(Lists!K$21,$AE34)-MAX(Lists!K$22,$AD34))/($AE34-$AD34))+N($D34)*IF($AG34-$AF34&lt;1,($AF34&gt;Lists!K$22)*($AF34&lt;=Lists!K$21),MAX(0,MIN(Lists!K$21,$AG34)-MAX(Lists!K$22,$AF34))/($AG34-$AF34))+N($E34)*IF($AI34-$AH34&lt;1,($AH34&gt;Lists!K$22)*($AH34&lt;=Lists!K$21),MAX(0,MIN(Lists!K$21,$AI34)-MAX(Lists!K$22,$AH34))/($AI34-$AH34))+N($F34)*IF($AK34-$AJ34&lt;1,($AJ34&gt;Lists!K$22)*($AJ34&lt;=Lists!K$21),MAX(0,MIN(Lists!K$21,$AK34)-MAX(Lists!K$22,$AJ34))/($AK34-$AJ34))+N($G34)*IF($AM34-$AL34&lt;1,($AL34&gt;Lists!K$22)*($AL34&lt;=Lists!K$21),MAX(0,MIN(Lists!K$21,$AM34)-MAX(Lists!K$22,$AL34))/($AM34-$AL34))))))))</f>
        <v>0</v>
      </c>
      <c r="V34" s="53" t="n">
        <f aca="false">IF($H34=0,0,IF($AP34="X",0,IF($AP34="S",$H34/$AO34*(MIN($AO34,MAX(0,INT((Lists!L$21-N($J34))/7)+1))-MIN($AO34,MAX(0,INT((Lists!L$22-N($J34))/7)+1))),IF($AP34="D",$H34*MAX(0,MIN(Lists!L$21,N($J34)+$AO34)-MAX(Lists!L$22,N($J34)))/$AO34,IF($AP34="M",$H34/$AO34*(IF(Lists!L$21&lt;$J34,0,MIN($AO34,(((YEAR(Lists!L$21)-YEAR($J34))*12+MONTH(Lists!L$21)-MONTH($J34))-(EDATE($J34,((YEAR(Lists!L$21)-YEAR($J34))*12+MONTH(Lists!L$21)-MONTH($J34)))&gt;Lists!L$21)+1)))-IF(Lists!L$22&lt;$J34,0,MIN($AO34,(((YEAR(Lists!L$22)-YEAR($J34))*12+MONTH(Lists!L$22)-MONTH($J34))-(EDATE($J34,((YEAR(Lists!L$22)-YEAR($J34))*12+MONTH(Lists!L$22)-MONTH($J34)))&gt;Lists!L$22)+1)))),IF($AP34="F",IF(N($K34)&lt;=0,0,MIN(MAX(0,$H34),N($K34)*IF(Lists!L$21&lt;$J34,0,(((YEAR(Lists!L$21)-YEAR($J34))*12+MONTH(Lists!L$21)-MONTH($J34))-(EDATE($J34,((YEAR(Lists!L$21)-YEAR($J34))*12+MONTH(Lists!L$21)-MONTH($J34)))&gt;Lists!L$21)+1)))-MIN(MAX(0,$H34),N($K34)*IF(Lists!L$22&lt;$J34,0,(((YEAR(Lists!L$22)-YEAR($J34))*12+MONTH(Lists!L$22)-MONTH($J34))-(EDATE($J34,((YEAR(Lists!L$22)-YEAR($J34))*12+MONTH(Lists!L$22)-MONTH($J34)))&gt;Lists!L$22)+1)))),N($C34)*IF($AE34-$AD34&lt;1,($AD34&gt;Lists!L$22)*($AD34&lt;=Lists!L$21),MAX(0,MIN(Lists!L$21,$AE34)-MAX(Lists!L$22,$AD34))/($AE34-$AD34))+N($D34)*IF($AG34-$AF34&lt;1,($AF34&gt;Lists!L$22)*($AF34&lt;=Lists!L$21),MAX(0,MIN(Lists!L$21,$AG34)-MAX(Lists!L$22,$AF34))/($AG34-$AF34))+N($E34)*IF($AI34-$AH34&lt;1,($AH34&gt;Lists!L$22)*($AH34&lt;=Lists!L$21),MAX(0,MIN(Lists!L$21,$AI34)-MAX(Lists!L$22,$AH34))/($AI34-$AH34))+N($F34)*IF($AK34-$AJ34&lt;1,($AJ34&gt;Lists!L$22)*($AJ34&lt;=Lists!L$21),MAX(0,MIN(Lists!L$21,$AK34)-MAX(Lists!L$22,$AJ34))/($AK34-$AJ34))+N($G34)*IF($AM34-$AL34&lt;1,($AL34&gt;Lists!L$22)*($AL34&lt;=Lists!L$21),MAX(0,MIN(Lists!L$21,$AM34)-MAX(Lists!L$22,$AL34))/($AM34-$AL34))))))))</f>
        <v>0</v>
      </c>
      <c r="W34" s="53" t="n">
        <f aca="false">IF($H34=0,0,IF($AP34="X",0,IF($AP34="S",$H34/$AO34*(MIN($AO34,MAX(0,INT((Lists!M$21-N($J34))/7)+1))-MIN($AO34,MAX(0,INT((Lists!M$22-N($J34))/7)+1))),IF($AP34="D",$H34*MAX(0,MIN(Lists!M$21,N($J34)+$AO34)-MAX(Lists!M$22,N($J34)))/$AO34,IF($AP34="M",$H34/$AO34*(IF(Lists!M$21&lt;$J34,0,MIN($AO34,(((YEAR(Lists!M$21)-YEAR($J34))*12+MONTH(Lists!M$21)-MONTH($J34))-(EDATE($J34,((YEAR(Lists!M$21)-YEAR($J34))*12+MONTH(Lists!M$21)-MONTH($J34)))&gt;Lists!M$21)+1)))-IF(Lists!M$22&lt;$J34,0,MIN($AO34,(((YEAR(Lists!M$22)-YEAR($J34))*12+MONTH(Lists!M$22)-MONTH($J34))-(EDATE($J34,((YEAR(Lists!M$22)-YEAR($J34))*12+MONTH(Lists!M$22)-MONTH($J34)))&gt;Lists!M$22)+1)))),IF($AP34="F",IF(N($K34)&lt;=0,0,MIN(MAX(0,$H34),N($K34)*IF(Lists!M$21&lt;$J34,0,(((YEAR(Lists!M$21)-YEAR($J34))*12+MONTH(Lists!M$21)-MONTH($J34))-(EDATE($J34,((YEAR(Lists!M$21)-YEAR($J34))*12+MONTH(Lists!M$21)-MONTH($J34)))&gt;Lists!M$21)+1)))-MIN(MAX(0,$H34),N($K34)*IF(Lists!M$22&lt;$J34,0,(((YEAR(Lists!M$22)-YEAR($J34))*12+MONTH(Lists!M$22)-MONTH($J34))-(EDATE($J34,((YEAR(Lists!M$22)-YEAR($J34))*12+MONTH(Lists!M$22)-MONTH($J34)))&gt;Lists!M$22)+1)))),N($C34)*IF($AE34-$AD34&lt;1,($AD34&gt;Lists!M$22)*($AD34&lt;=Lists!M$21),MAX(0,MIN(Lists!M$21,$AE34)-MAX(Lists!M$22,$AD34))/($AE34-$AD34))+N($D34)*IF($AG34-$AF34&lt;1,($AF34&gt;Lists!M$22)*($AF34&lt;=Lists!M$21),MAX(0,MIN(Lists!M$21,$AG34)-MAX(Lists!M$22,$AF34))/($AG34-$AF34))+N($E34)*IF($AI34-$AH34&lt;1,($AH34&gt;Lists!M$22)*($AH34&lt;=Lists!M$21),MAX(0,MIN(Lists!M$21,$AI34)-MAX(Lists!M$22,$AH34))/($AI34-$AH34))+N($F34)*IF($AK34-$AJ34&lt;1,($AJ34&gt;Lists!M$22)*($AJ34&lt;=Lists!M$21),MAX(0,MIN(Lists!M$21,$AK34)-MAX(Lists!M$22,$AJ34))/($AK34-$AJ34))+N($G34)*IF($AM34-$AL34&lt;1,($AL34&gt;Lists!M$22)*($AL34&lt;=Lists!M$21),MAX(0,MIN(Lists!M$21,$AM34)-MAX(Lists!M$22,$AL34))/($AM34-$AL34))))))))</f>
        <v>0</v>
      </c>
      <c r="X34" s="53" t="n">
        <f aca="false">IF($H34=0,0,IF($AP34="X",0,IF($AP34="S",$H34/$AO34*(MIN($AO34,MAX(0,INT((Lists!N$21-N($J34))/7)+1))-MIN($AO34,MAX(0,INT((Lists!N$22-N($J34))/7)+1))),IF($AP34="D",$H34*MAX(0,MIN(Lists!N$21,N($J34)+$AO34)-MAX(Lists!N$22,N($J34)))/$AO34,IF($AP34="M",$H34/$AO34*(IF(Lists!N$21&lt;$J34,0,MIN($AO34,(((YEAR(Lists!N$21)-YEAR($J34))*12+MONTH(Lists!N$21)-MONTH($J34))-(EDATE($J34,((YEAR(Lists!N$21)-YEAR($J34))*12+MONTH(Lists!N$21)-MONTH($J34)))&gt;Lists!N$21)+1)))-IF(Lists!N$22&lt;$J34,0,MIN($AO34,(((YEAR(Lists!N$22)-YEAR($J34))*12+MONTH(Lists!N$22)-MONTH($J34))-(EDATE($J34,((YEAR(Lists!N$22)-YEAR($J34))*12+MONTH(Lists!N$22)-MONTH($J34)))&gt;Lists!N$22)+1)))),IF($AP34="F",IF(N($K34)&lt;=0,0,MIN(MAX(0,$H34),N($K34)*IF(Lists!N$21&lt;$J34,0,(((YEAR(Lists!N$21)-YEAR($J34))*12+MONTH(Lists!N$21)-MONTH($J34))-(EDATE($J34,((YEAR(Lists!N$21)-YEAR($J34))*12+MONTH(Lists!N$21)-MONTH($J34)))&gt;Lists!N$21)+1)))-MIN(MAX(0,$H34),N($K34)*IF(Lists!N$22&lt;$J34,0,(((YEAR(Lists!N$22)-YEAR($J34))*12+MONTH(Lists!N$22)-MONTH($J34))-(EDATE($J34,((YEAR(Lists!N$22)-YEAR($J34))*12+MONTH(Lists!N$22)-MONTH($J34)))&gt;Lists!N$22)+1)))),N($C34)*IF($AE34-$AD34&lt;1,($AD34&gt;Lists!N$22)*($AD34&lt;=Lists!N$21),MAX(0,MIN(Lists!N$21,$AE34)-MAX(Lists!N$22,$AD34))/($AE34-$AD34))+N($D34)*IF($AG34-$AF34&lt;1,($AF34&gt;Lists!N$22)*($AF34&lt;=Lists!N$21),MAX(0,MIN(Lists!N$21,$AG34)-MAX(Lists!N$22,$AF34))/($AG34-$AF34))+N($E34)*IF($AI34-$AH34&lt;1,($AH34&gt;Lists!N$22)*($AH34&lt;=Lists!N$21),MAX(0,MIN(Lists!N$21,$AI34)-MAX(Lists!N$22,$AH34))/($AI34-$AH34))+N($F34)*IF($AK34-$AJ34&lt;1,($AJ34&gt;Lists!N$22)*($AJ34&lt;=Lists!N$21),MAX(0,MIN(Lists!N$21,$AK34)-MAX(Lists!N$22,$AJ34))/($AK34-$AJ34))+N($G34)*IF($AM34-$AL34&lt;1,($AL34&gt;Lists!N$22)*($AL34&lt;=Lists!N$21),MAX(0,MIN(Lists!N$21,$AM34)-MAX(Lists!N$22,$AL34))/($AM34-$AL34))))))))</f>
        <v>0</v>
      </c>
      <c r="Y34" s="53" t="n">
        <f aca="false">IF($H34=0,0,IF($AP34="X",0,IF($AP34="S",$H34/$AO34*(MIN($AO34,MAX(0,INT((Lists!O$21-N($J34))/7)+1))-MIN($AO34,MAX(0,INT((Lists!O$22-N($J34))/7)+1))),IF($AP34="D",$H34*MAX(0,MIN(Lists!O$21,N($J34)+$AO34)-MAX(Lists!O$22,N($J34)))/$AO34,IF($AP34="M",$H34/$AO34*(IF(Lists!O$21&lt;$J34,0,MIN($AO34,(((YEAR(Lists!O$21)-YEAR($J34))*12+MONTH(Lists!O$21)-MONTH($J34))-(EDATE($J34,((YEAR(Lists!O$21)-YEAR($J34))*12+MONTH(Lists!O$21)-MONTH($J34)))&gt;Lists!O$21)+1)))-IF(Lists!O$22&lt;$J34,0,MIN($AO34,(((YEAR(Lists!O$22)-YEAR($J34))*12+MONTH(Lists!O$22)-MONTH($J34))-(EDATE($J34,((YEAR(Lists!O$22)-YEAR($J34))*12+MONTH(Lists!O$22)-MONTH($J34)))&gt;Lists!O$22)+1)))),IF($AP34="F",IF(N($K34)&lt;=0,0,MIN(MAX(0,$H34),N($K34)*IF(Lists!O$21&lt;$J34,0,(((YEAR(Lists!O$21)-YEAR($J34))*12+MONTH(Lists!O$21)-MONTH($J34))-(EDATE($J34,((YEAR(Lists!O$21)-YEAR($J34))*12+MONTH(Lists!O$21)-MONTH($J34)))&gt;Lists!O$21)+1)))-MIN(MAX(0,$H34),N($K34)*IF(Lists!O$22&lt;$J34,0,(((YEAR(Lists!O$22)-YEAR($J34))*12+MONTH(Lists!O$22)-MONTH($J34))-(EDATE($J34,((YEAR(Lists!O$22)-YEAR($J34))*12+MONTH(Lists!O$22)-MONTH($J34)))&gt;Lists!O$22)+1)))),N($C34)*IF($AE34-$AD34&lt;1,($AD34&gt;Lists!O$22)*($AD34&lt;=Lists!O$21),MAX(0,MIN(Lists!O$21,$AE34)-MAX(Lists!O$22,$AD34))/($AE34-$AD34))+N($D34)*IF($AG34-$AF34&lt;1,($AF34&gt;Lists!O$22)*($AF34&lt;=Lists!O$21),MAX(0,MIN(Lists!O$21,$AG34)-MAX(Lists!O$22,$AF34))/($AG34-$AF34))+N($E34)*IF($AI34-$AH34&lt;1,($AH34&gt;Lists!O$22)*($AH34&lt;=Lists!O$21),MAX(0,MIN(Lists!O$21,$AI34)-MAX(Lists!O$22,$AH34))/($AI34-$AH34))+N($F34)*IF($AK34-$AJ34&lt;1,($AJ34&gt;Lists!O$22)*($AJ34&lt;=Lists!O$21),MAX(0,MIN(Lists!O$21,$AK34)-MAX(Lists!O$22,$AJ34))/($AK34-$AJ34))+N($G34)*IF($AM34-$AL34&lt;1,($AL34&gt;Lists!O$22)*($AL34&lt;=Lists!O$21),MAX(0,MIN(Lists!O$21,$AM34)-MAX(Lists!O$22,$AL34))/($AM34-$AL34))))))))</f>
        <v>0</v>
      </c>
      <c r="Z34" s="46" t="n">
        <f aca="false">SUM(M34:Y34)</f>
        <v>0</v>
      </c>
      <c r="AA34" s="92" t="n">
        <f aca="false">H34-Z34</f>
        <v>0</v>
      </c>
      <c r="AB34" s="55"/>
      <c r="AC34" s="2"/>
      <c r="AD34" s="93" t="n">
        <f aca="false">Setup!$D$10+MAX(0,$AN34-30)</f>
        <v>46345</v>
      </c>
      <c r="AE34" s="93" t="n">
        <f aca="false">Setup!$D$10+IF($AN34-30&lt;0,MAX(Setup!$D$22,$AN34-0),$AN34-0)</f>
        <v>46375</v>
      </c>
      <c r="AF34" s="93" t="n">
        <f aca="false">Setup!$D$10+MAX(0,$AN34-60)</f>
        <v>46335</v>
      </c>
      <c r="AG34" s="93" t="n">
        <f aca="false">Setup!$D$10+IF($AN34-60&lt;0,MAX(Setup!$D$22,$AN34-31),$AN34-31)</f>
        <v>46363</v>
      </c>
      <c r="AH34" s="93" t="n">
        <f aca="false">Setup!$D$10+MAX(0,$AN34-90)</f>
        <v>46335</v>
      </c>
      <c r="AI34" s="93" t="n">
        <f aca="false">Setup!$D$10+IF($AN34-90&lt;0,MAX(Setup!$D$22,$AN34-61),$AN34-61)</f>
        <v>46363</v>
      </c>
      <c r="AJ34" s="93" t="n">
        <f aca="false">Setup!$D$10+MAX(0,$AN34-120)</f>
        <v>46335</v>
      </c>
      <c r="AK34" s="93" t="n">
        <f aca="false">Setup!$D$10+IF($AN34-120&lt;0,MAX(Setup!$D$22,$AN34-91),$AN34-91)</f>
        <v>46363</v>
      </c>
      <c r="AL34" s="93" t="n">
        <f aca="false">Setup!$D$10</f>
        <v>46335</v>
      </c>
      <c r="AM34" s="93" t="n">
        <f aca="false">IF(AL34=2958465,AL34,Setup!$D$10+Setup!$D$22)</f>
        <v>46363</v>
      </c>
      <c r="AN34" s="94" t="n">
        <f aca="false">IF(N(L34)=0,Setup!$D$21,L34)</f>
        <v>40</v>
      </c>
      <c r="AO34" s="94" t="n">
        <f aca="false">MAX(1,ROUND(N(K34),0))</f>
        <v>1</v>
      </c>
      <c r="AP34" s="95" t="str">
        <f aca="false">IF(I34="On hold","X",IF(N(J34)=0,"A",IF(I34="Specific date","S",IF(I34="Spread over days","D",IF(I34="Monthly on set day","M",IF(I34="Monthly fixed amount","F","A"))))))</f>
        <v>A</v>
      </c>
    </row>
    <row r="35" customFormat="false" ht="15" hidden="false" customHeight="false" outlineLevel="0" collapsed="false">
      <c r="A35" s="87" t="n">
        <v>27</v>
      </c>
      <c r="B35" s="55"/>
      <c r="C35" s="88"/>
      <c r="D35" s="88"/>
      <c r="E35" s="88"/>
      <c r="F35" s="88"/>
      <c r="G35" s="88"/>
      <c r="H35" s="89" t="n">
        <f aca="false">SUM(C35:G35)</f>
        <v>0</v>
      </c>
      <c r="I35" s="58"/>
      <c r="J35" s="90"/>
      <c r="K35" s="91"/>
      <c r="L35" s="80"/>
      <c r="M35" s="53" t="n">
        <f aca="false">IF($H35=0,0,IF($AP35="X",0,IF($AP35="S",$H35/$AO35*(MIN($AO35,MAX(0,INT((Lists!C$21-N($J35))/7)+1))-MIN($AO35,MAX(0,INT((Lists!C$22-N($J35))/7)+1))),IF($AP35="D",$H35*MAX(0,MIN(Lists!C$21,N($J35)+$AO35)-MAX(Lists!C$22,N($J35)))/$AO35,IF($AP35="M",$H35/$AO35*(IF(Lists!C$21&lt;$J35,0,MIN($AO35,(((YEAR(Lists!C$21)-YEAR($J35))*12+MONTH(Lists!C$21)-MONTH($J35))-(EDATE($J35,((YEAR(Lists!C$21)-YEAR($J35))*12+MONTH(Lists!C$21)-MONTH($J35)))&gt;Lists!C$21)+1)))-IF(Lists!C$22&lt;$J35,0,MIN($AO35,(((YEAR(Lists!C$22)-YEAR($J35))*12+MONTH(Lists!C$22)-MONTH($J35))-(EDATE($J35,((YEAR(Lists!C$22)-YEAR($J35))*12+MONTH(Lists!C$22)-MONTH($J35)))&gt;Lists!C$22)+1)))),IF($AP35="F",IF(N($K35)&lt;=0,0,MIN(MAX(0,$H35),N($K35)*IF(Lists!C$21&lt;$J35,0,(((YEAR(Lists!C$21)-YEAR($J35))*12+MONTH(Lists!C$21)-MONTH($J35))-(EDATE($J35,((YEAR(Lists!C$21)-YEAR($J35))*12+MONTH(Lists!C$21)-MONTH($J35)))&gt;Lists!C$21)+1)))-MIN(MAX(0,$H35),N($K35)*IF(Lists!C$22&lt;$J35,0,(((YEAR(Lists!C$22)-YEAR($J35))*12+MONTH(Lists!C$22)-MONTH($J35))-(EDATE($J35,((YEAR(Lists!C$22)-YEAR($J35))*12+MONTH(Lists!C$22)-MONTH($J35)))&gt;Lists!C$22)+1)))),N($C35)*IF($AE35-$AD35&lt;1,($AD35&gt;Lists!C$22)*($AD35&lt;=Lists!C$21),MAX(0,MIN(Lists!C$21,$AE35)-MAX(Lists!C$22,$AD35))/($AE35-$AD35))+N($D35)*IF($AG35-$AF35&lt;1,($AF35&gt;Lists!C$22)*($AF35&lt;=Lists!C$21),MAX(0,MIN(Lists!C$21,$AG35)-MAX(Lists!C$22,$AF35))/($AG35-$AF35))+N($E35)*IF($AI35-$AH35&lt;1,($AH35&gt;Lists!C$22)*($AH35&lt;=Lists!C$21),MAX(0,MIN(Lists!C$21,$AI35)-MAX(Lists!C$22,$AH35))/($AI35-$AH35))+N($F35)*IF($AK35-$AJ35&lt;1,($AJ35&gt;Lists!C$22)*($AJ35&lt;=Lists!C$21),MAX(0,MIN(Lists!C$21,$AK35)-MAX(Lists!C$22,$AJ35))/($AK35-$AJ35))+N($G35)*IF($AM35-$AL35&lt;1,($AL35&gt;Lists!C$22)*($AL35&lt;=Lists!C$21),MAX(0,MIN(Lists!C$21,$AM35)-MAX(Lists!C$22,$AL35))/($AM35-$AL35))))))))</f>
        <v>0</v>
      </c>
      <c r="N35" s="53" t="n">
        <f aca="false">IF($H35=0,0,IF($AP35="X",0,IF($AP35="S",$H35/$AO35*(MIN($AO35,MAX(0,INT((Lists!D$21-N($J35))/7)+1))-MIN($AO35,MAX(0,INT((Lists!D$22-N($J35))/7)+1))),IF($AP35="D",$H35*MAX(0,MIN(Lists!D$21,N($J35)+$AO35)-MAX(Lists!D$22,N($J35)))/$AO35,IF($AP35="M",$H35/$AO35*(IF(Lists!D$21&lt;$J35,0,MIN($AO35,(((YEAR(Lists!D$21)-YEAR($J35))*12+MONTH(Lists!D$21)-MONTH($J35))-(EDATE($J35,((YEAR(Lists!D$21)-YEAR($J35))*12+MONTH(Lists!D$21)-MONTH($J35)))&gt;Lists!D$21)+1)))-IF(Lists!D$22&lt;$J35,0,MIN($AO35,(((YEAR(Lists!D$22)-YEAR($J35))*12+MONTH(Lists!D$22)-MONTH($J35))-(EDATE($J35,((YEAR(Lists!D$22)-YEAR($J35))*12+MONTH(Lists!D$22)-MONTH($J35)))&gt;Lists!D$22)+1)))),IF($AP35="F",IF(N($K35)&lt;=0,0,MIN(MAX(0,$H35),N($K35)*IF(Lists!D$21&lt;$J35,0,(((YEAR(Lists!D$21)-YEAR($J35))*12+MONTH(Lists!D$21)-MONTH($J35))-(EDATE($J35,((YEAR(Lists!D$21)-YEAR($J35))*12+MONTH(Lists!D$21)-MONTH($J35)))&gt;Lists!D$21)+1)))-MIN(MAX(0,$H35),N($K35)*IF(Lists!D$22&lt;$J35,0,(((YEAR(Lists!D$22)-YEAR($J35))*12+MONTH(Lists!D$22)-MONTH($J35))-(EDATE($J35,((YEAR(Lists!D$22)-YEAR($J35))*12+MONTH(Lists!D$22)-MONTH($J35)))&gt;Lists!D$22)+1)))),N($C35)*IF($AE35-$AD35&lt;1,($AD35&gt;Lists!D$22)*($AD35&lt;=Lists!D$21),MAX(0,MIN(Lists!D$21,$AE35)-MAX(Lists!D$22,$AD35))/($AE35-$AD35))+N($D35)*IF($AG35-$AF35&lt;1,($AF35&gt;Lists!D$22)*($AF35&lt;=Lists!D$21),MAX(0,MIN(Lists!D$21,$AG35)-MAX(Lists!D$22,$AF35))/($AG35-$AF35))+N($E35)*IF($AI35-$AH35&lt;1,($AH35&gt;Lists!D$22)*($AH35&lt;=Lists!D$21),MAX(0,MIN(Lists!D$21,$AI35)-MAX(Lists!D$22,$AH35))/($AI35-$AH35))+N($F35)*IF($AK35-$AJ35&lt;1,($AJ35&gt;Lists!D$22)*($AJ35&lt;=Lists!D$21),MAX(0,MIN(Lists!D$21,$AK35)-MAX(Lists!D$22,$AJ35))/($AK35-$AJ35))+N($G35)*IF($AM35-$AL35&lt;1,($AL35&gt;Lists!D$22)*($AL35&lt;=Lists!D$21),MAX(0,MIN(Lists!D$21,$AM35)-MAX(Lists!D$22,$AL35))/($AM35-$AL35))))))))</f>
        <v>0</v>
      </c>
      <c r="O35" s="53" t="n">
        <f aca="false">IF($H35=0,0,IF($AP35="X",0,IF($AP35="S",$H35/$AO35*(MIN($AO35,MAX(0,INT((Lists!E$21-N($J35))/7)+1))-MIN($AO35,MAX(0,INT((Lists!E$22-N($J35))/7)+1))),IF($AP35="D",$H35*MAX(0,MIN(Lists!E$21,N($J35)+$AO35)-MAX(Lists!E$22,N($J35)))/$AO35,IF($AP35="M",$H35/$AO35*(IF(Lists!E$21&lt;$J35,0,MIN($AO35,(((YEAR(Lists!E$21)-YEAR($J35))*12+MONTH(Lists!E$21)-MONTH($J35))-(EDATE($J35,((YEAR(Lists!E$21)-YEAR($J35))*12+MONTH(Lists!E$21)-MONTH($J35)))&gt;Lists!E$21)+1)))-IF(Lists!E$22&lt;$J35,0,MIN($AO35,(((YEAR(Lists!E$22)-YEAR($J35))*12+MONTH(Lists!E$22)-MONTH($J35))-(EDATE($J35,((YEAR(Lists!E$22)-YEAR($J35))*12+MONTH(Lists!E$22)-MONTH($J35)))&gt;Lists!E$22)+1)))),IF($AP35="F",IF(N($K35)&lt;=0,0,MIN(MAX(0,$H35),N($K35)*IF(Lists!E$21&lt;$J35,0,(((YEAR(Lists!E$21)-YEAR($J35))*12+MONTH(Lists!E$21)-MONTH($J35))-(EDATE($J35,((YEAR(Lists!E$21)-YEAR($J35))*12+MONTH(Lists!E$21)-MONTH($J35)))&gt;Lists!E$21)+1)))-MIN(MAX(0,$H35),N($K35)*IF(Lists!E$22&lt;$J35,0,(((YEAR(Lists!E$22)-YEAR($J35))*12+MONTH(Lists!E$22)-MONTH($J35))-(EDATE($J35,((YEAR(Lists!E$22)-YEAR($J35))*12+MONTH(Lists!E$22)-MONTH($J35)))&gt;Lists!E$22)+1)))),N($C35)*IF($AE35-$AD35&lt;1,($AD35&gt;Lists!E$22)*($AD35&lt;=Lists!E$21),MAX(0,MIN(Lists!E$21,$AE35)-MAX(Lists!E$22,$AD35))/($AE35-$AD35))+N($D35)*IF($AG35-$AF35&lt;1,($AF35&gt;Lists!E$22)*($AF35&lt;=Lists!E$21),MAX(0,MIN(Lists!E$21,$AG35)-MAX(Lists!E$22,$AF35))/($AG35-$AF35))+N($E35)*IF($AI35-$AH35&lt;1,($AH35&gt;Lists!E$22)*($AH35&lt;=Lists!E$21),MAX(0,MIN(Lists!E$21,$AI35)-MAX(Lists!E$22,$AH35))/($AI35-$AH35))+N($F35)*IF($AK35-$AJ35&lt;1,($AJ35&gt;Lists!E$22)*($AJ35&lt;=Lists!E$21),MAX(0,MIN(Lists!E$21,$AK35)-MAX(Lists!E$22,$AJ35))/($AK35-$AJ35))+N($G35)*IF($AM35-$AL35&lt;1,($AL35&gt;Lists!E$22)*($AL35&lt;=Lists!E$21),MAX(0,MIN(Lists!E$21,$AM35)-MAX(Lists!E$22,$AL35))/($AM35-$AL35))))))))</f>
        <v>0</v>
      </c>
      <c r="P35" s="53" t="n">
        <f aca="false">IF($H35=0,0,IF($AP35="X",0,IF($AP35="S",$H35/$AO35*(MIN($AO35,MAX(0,INT((Lists!F$21-N($J35))/7)+1))-MIN($AO35,MAX(0,INT((Lists!F$22-N($J35))/7)+1))),IF($AP35="D",$H35*MAX(0,MIN(Lists!F$21,N($J35)+$AO35)-MAX(Lists!F$22,N($J35)))/$AO35,IF($AP35="M",$H35/$AO35*(IF(Lists!F$21&lt;$J35,0,MIN($AO35,(((YEAR(Lists!F$21)-YEAR($J35))*12+MONTH(Lists!F$21)-MONTH($J35))-(EDATE($J35,((YEAR(Lists!F$21)-YEAR($J35))*12+MONTH(Lists!F$21)-MONTH($J35)))&gt;Lists!F$21)+1)))-IF(Lists!F$22&lt;$J35,0,MIN($AO35,(((YEAR(Lists!F$22)-YEAR($J35))*12+MONTH(Lists!F$22)-MONTH($J35))-(EDATE($J35,((YEAR(Lists!F$22)-YEAR($J35))*12+MONTH(Lists!F$22)-MONTH($J35)))&gt;Lists!F$22)+1)))),IF($AP35="F",IF(N($K35)&lt;=0,0,MIN(MAX(0,$H35),N($K35)*IF(Lists!F$21&lt;$J35,0,(((YEAR(Lists!F$21)-YEAR($J35))*12+MONTH(Lists!F$21)-MONTH($J35))-(EDATE($J35,((YEAR(Lists!F$21)-YEAR($J35))*12+MONTH(Lists!F$21)-MONTH($J35)))&gt;Lists!F$21)+1)))-MIN(MAX(0,$H35),N($K35)*IF(Lists!F$22&lt;$J35,0,(((YEAR(Lists!F$22)-YEAR($J35))*12+MONTH(Lists!F$22)-MONTH($J35))-(EDATE($J35,((YEAR(Lists!F$22)-YEAR($J35))*12+MONTH(Lists!F$22)-MONTH($J35)))&gt;Lists!F$22)+1)))),N($C35)*IF($AE35-$AD35&lt;1,($AD35&gt;Lists!F$22)*($AD35&lt;=Lists!F$21),MAX(0,MIN(Lists!F$21,$AE35)-MAX(Lists!F$22,$AD35))/($AE35-$AD35))+N($D35)*IF($AG35-$AF35&lt;1,($AF35&gt;Lists!F$22)*($AF35&lt;=Lists!F$21),MAX(0,MIN(Lists!F$21,$AG35)-MAX(Lists!F$22,$AF35))/($AG35-$AF35))+N($E35)*IF($AI35-$AH35&lt;1,($AH35&gt;Lists!F$22)*($AH35&lt;=Lists!F$21),MAX(0,MIN(Lists!F$21,$AI35)-MAX(Lists!F$22,$AH35))/($AI35-$AH35))+N($F35)*IF($AK35-$AJ35&lt;1,($AJ35&gt;Lists!F$22)*($AJ35&lt;=Lists!F$21),MAX(0,MIN(Lists!F$21,$AK35)-MAX(Lists!F$22,$AJ35))/($AK35-$AJ35))+N($G35)*IF($AM35-$AL35&lt;1,($AL35&gt;Lists!F$22)*($AL35&lt;=Lists!F$21),MAX(0,MIN(Lists!F$21,$AM35)-MAX(Lists!F$22,$AL35))/($AM35-$AL35))))))))</f>
        <v>0</v>
      </c>
      <c r="Q35" s="53" t="n">
        <f aca="false">IF($H35=0,0,IF($AP35="X",0,IF($AP35="S",$H35/$AO35*(MIN($AO35,MAX(0,INT((Lists!G$21-N($J35))/7)+1))-MIN($AO35,MAX(0,INT((Lists!G$22-N($J35))/7)+1))),IF($AP35="D",$H35*MAX(0,MIN(Lists!G$21,N($J35)+$AO35)-MAX(Lists!G$22,N($J35)))/$AO35,IF($AP35="M",$H35/$AO35*(IF(Lists!G$21&lt;$J35,0,MIN($AO35,(((YEAR(Lists!G$21)-YEAR($J35))*12+MONTH(Lists!G$21)-MONTH($J35))-(EDATE($J35,((YEAR(Lists!G$21)-YEAR($J35))*12+MONTH(Lists!G$21)-MONTH($J35)))&gt;Lists!G$21)+1)))-IF(Lists!G$22&lt;$J35,0,MIN($AO35,(((YEAR(Lists!G$22)-YEAR($J35))*12+MONTH(Lists!G$22)-MONTH($J35))-(EDATE($J35,((YEAR(Lists!G$22)-YEAR($J35))*12+MONTH(Lists!G$22)-MONTH($J35)))&gt;Lists!G$22)+1)))),IF($AP35="F",IF(N($K35)&lt;=0,0,MIN(MAX(0,$H35),N($K35)*IF(Lists!G$21&lt;$J35,0,(((YEAR(Lists!G$21)-YEAR($J35))*12+MONTH(Lists!G$21)-MONTH($J35))-(EDATE($J35,((YEAR(Lists!G$21)-YEAR($J35))*12+MONTH(Lists!G$21)-MONTH($J35)))&gt;Lists!G$21)+1)))-MIN(MAX(0,$H35),N($K35)*IF(Lists!G$22&lt;$J35,0,(((YEAR(Lists!G$22)-YEAR($J35))*12+MONTH(Lists!G$22)-MONTH($J35))-(EDATE($J35,((YEAR(Lists!G$22)-YEAR($J35))*12+MONTH(Lists!G$22)-MONTH($J35)))&gt;Lists!G$22)+1)))),N($C35)*IF($AE35-$AD35&lt;1,($AD35&gt;Lists!G$22)*($AD35&lt;=Lists!G$21),MAX(0,MIN(Lists!G$21,$AE35)-MAX(Lists!G$22,$AD35))/($AE35-$AD35))+N($D35)*IF($AG35-$AF35&lt;1,($AF35&gt;Lists!G$22)*($AF35&lt;=Lists!G$21),MAX(0,MIN(Lists!G$21,$AG35)-MAX(Lists!G$22,$AF35))/($AG35-$AF35))+N($E35)*IF($AI35-$AH35&lt;1,($AH35&gt;Lists!G$22)*($AH35&lt;=Lists!G$21),MAX(0,MIN(Lists!G$21,$AI35)-MAX(Lists!G$22,$AH35))/($AI35-$AH35))+N($F35)*IF($AK35-$AJ35&lt;1,($AJ35&gt;Lists!G$22)*($AJ35&lt;=Lists!G$21),MAX(0,MIN(Lists!G$21,$AK35)-MAX(Lists!G$22,$AJ35))/($AK35-$AJ35))+N($G35)*IF($AM35-$AL35&lt;1,($AL35&gt;Lists!G$22)*($AL35&lt;=Lists!G$21),MAX(0,MIN(Lists!G$21,$AM35)-MAX(Lists!G$22,$AL35))/($AM35-$AL35))))))))</f>
        <v>0</v>
      </c>
      <c r="R35" s="53" t="n">
        <f aca="false">IF($H35=0,0,IF($AP35="X",0,IF($AP35="S",$H35/$AO35*(MIN($AO35,MAX(0,INT((Lists!H$21-N($J35))/7)+1))-MIN($AO35,MAX(0,INT((Lists!H$22-N($J35))/7)+1))),IF($AP35="D",$H35*MAX(0,MIN(Lists!H$21,N($J35)+$AO35)-MAX(Lists!H$22,N($J35)))/$AO35,IF($AP35="M",$H35/$AO35*(IF(Lists!H$21&lt;$J35,0,MIN($AO35,(((YEAR(Lists!H$21)-YEAR($J35))*12+MONTH(Lists!H$21)-MONTH($J35))-(EDATE($J35,((YEAR(Lists!H$21)-YEAR($J35))*12+MONTH(Lists!H$21)-MONTH($J35)))&gt;Lists!H$21)+1)))-IF(Lists!H$22&lt;$J35,0,MIN($AO35,(((YEAR(Lists!H$22)-YEAR($J35))*12+MONTH(Lists!H$22)-MONTH($J35))-(EDATE($J35,((YEAR(Lists!H$22)-YEAR($J35))*12+MONTH(Lists!H$22)-MONTH($J35)))&gt;Lists!H$22)+1)))),IF($AP35="F",IF(N($K35)&lt;=0,0,MIN(MAX(0,$H35),N($K35)*IF(Lists!H$21&lt;$J35,0,(((YEAR(Lists!H$21)-YEAR($J35))*12+MONTH(Lists!H$21)-MONTH($J35))-(EDATE($J35,((YEAR(Lists!H$21)-YEAR($J35))*12+MONTH(Lists!H$21)-MONTH($J35)))&gt;Lists!H$21)+1)))-MIN(MAX(0,$H35),N($K35)*IF(Lists!H$22&lt;$J35,0,(((YEAR(Lists!H$22)-YEAR($J35))*12+MONTH(Lists!H$22)-MONTH($J35))-(EDATE($J35,((YEAR(Lists!H$22)-YEAR($J35))*12+MONTH(Lists!H$22)-MONTH($J35)))&gt;Lists!H$22)+1)))),N($C35)*IF($AE35-$AD35&lt;1,($AD35&gt;Lists!H$22)*($AD35&lt;=Lists!H$21),MAX(0,MIN(Lists!H$21,$AE35)-MAX(Lists!H$22,$AD35))/($AE35-$AD35))+N($D35)*IF($AG35-$AF35&lt;1,($AF35&gt;Lists!H$22)*($AF35&lt;=Lists!H$21),MAX(0,MIN(Lists!H$21,$AG35)-MAX(Lists!H$22,$AF35))/($AG35-$AF35))+N($E35)*IF($AI35-$AH35&lt;1,($AH35&gt;Lists!H$22)*($AH35&lt;=Lists!H$21),MAX(0,MIN(Lists!H$21,$AI35)-MAX(Lists!H$22,$AH35))/($AI35-$AH35))+N($F35)*IF($AK35-$AJ35&lt;1,($AJ35&gt;Lists!H$22)*($AJ35&lt;=Lists!H$21),MAX(0,MIN(Lists!H$21,$AK35)-MAX(Lists!H$22,$AJ35))/($AK35-$AJ35))+N($G35)*IF($AM35-$AL35&lt;1,($AL35&gt;Lists!H$22)*($AL35&lt;=Lists!H$21),MAX(0,MIN(Lists!H$21,$AM35)-MAX(Lists!H$22,$AL35))/($AM35-$AL35))))))))</f>
        <v>0</v>
      </c>
      <c r="S35" s="53" t="n">
        <f aca="false">IF($H35=0,0,IF($AP35="X",0,IF($AP35="S",$H35/$AO35*(MIN($AO35,MAX(0,INT((Lists!I$21-N($J35))/7)+1))-MIN($AO35,MAX(0,INT((Lists!I$22-N($J35))/7)+1))),IF($AP35="D",$H35*MAX(0,MIN(Lists!I$21,N($J35)+$AO35)-MAX(Lists!I$22,N($J35)))/$AO35,IF($AP35="M",$H35/$AO35*(IF(Lists!I$21&lt;$J35,0,MIN($AO35,(((YEAR(Lists!I$21)-YEAR($J35))*12+MONTH(Lists!I$21)-MONTH($J35))-(EDATE($J35,((YEAR(Lists!I$21)-YEAR($J35))*12+MONTH(Lists!I$21)-MONTH($J35)))&gt;Lists!I$21)+1)))-IF(Lists!I$22&lt;$J35,0,MIN($AO35,(((YEAR(Lists!I$22)-YEAR($J35))*12+MONTH(Lists!I$22)-MONTH($J35))-(EDATE($J35,((YEAR(Lists!I$22)-YEAR($J35))*12+MONTH(Lists!I$22)-MONTH($J35)))&gt;Lists!I$22)+1)))),IF($AP35="F",IF(N($K35)&lt;=0,0,MIN(MAX(0,$H35),N($K35)*IF(Lists!I$21&lt;$J35,0,(((YEAR(Lists!I$21)-YEAR($J35))*12+MONTH(Lists!I$21)-MONTH($J35))-(EDATE($J35,((YEAR(Lists!I$21)-YEAR($J35))*12+MONTH(Lists!I$21)-MONTH($J35)))&gt;Lists!I$21)+1)))-MIN(MAX(0,$H35),N($K35)*IF(Lists!I$22&lt;$J35,0,(((YEAR(Lists!I$22)-YEAR($J35))*12+MONTH(Lists!I$22)-MONTH($J35))-(EDATE($J35,((YEAR(Lists!I$22)-YEAR($J35))*12+MONTH(Lists!I$22)-MONTH($J35)))&gt;Lists!I$22)+1)))),N($C35)*IF($AE35-$AD35&lt;1,($AD35&gt;Lists!I$22)*($AD35&lt;=Lists!I$21),MAX(0,MIN(Lists!I$21,$AE35)-MAX(Lists!I$22,$AD35))/($AE35-$AD35))+N($D35)*IF($AG35-$AF35&lt;1,($AF35&gt;Lists!I$22)*($AF35&lt;=Lists!I$21),MAX(0,MIN(Lists!I$21,$AG35)-MAX(Lists!I$22,$AF35))/($AG35-$AF35))+N($E35)*IF($AI35-$AH35&lt;1,($AH35&gt;Lists!I$22)*($AH35&lt;=Lists!I$21),MAX(0,MIN(Lists!I$21,$AI35)-MAX(Lists!I$22,$AH35))/($AI35-$AH35))+N($F35)*IF($AK35-$AJ35&lt;1,($AJ35&gt;Lists!I$22)*($AJ35&lt;=Lists!I$21),MAX(0,MIN(Lists!I$21,$AK35)-MAX(Lists!I$22,$AJ35))/($AK35-$AJ35))+N($G35)*IF($AM35-$AL35&lt;1,($AL35&gt;Lists!I$22)*($AL35&lt;=Lists!I$21),MAX(0,MIN(Lists!I$21,$AM35)-MAX(Lists!I$22,$AL35))/($AM35-$AL35))))))))</f>
        <v>0</v>
      </c>
      <c r="T35" s="53" t="n">
        <f aca="false">IF($H35=0,0,IF($AP35="X",0,IF($AP35="S",$H35/$AO35*(MIN($AO35,MAX(0,INT((Lists!J$21-N($J35))/7)+1))-MIN($AO35,MAX(0,INT((Lists!J$22-N($J35))/7)+1))),IF($AP35="D",$H35*MAX(0,MIN(Lists!J$21,N($J35)+$AO35)-MAX(Lists!J$22,N($J35)))/$AO35,IF($AP35="M",$H35/$AO35*(IF(Lists!J$21&lt;$J35,0,MIN($AO35,(((YEAR(Lists!J$21)-YEAR($J35))*12+MONTH(Lists!J$21)-MONTH($J35))-(EDATE($J35,((YEAR(Lists!J$21)-YEAR($J35))*12+MONTH(Lists!J$21)-MONTH($J35)))&gt;Lists!J$21)+1)))-IF(Lists!J$22&lt;$J35,0,MIN($AO35,(((YEAR(Lists!J$22)-YEAR($J35))*12+MONTH(Lists!J$22)-MONTH($J35))-(EDATE($J35,((YEAR(Lists!J$22)-YEAR($J35))*12+MONTH(Lists!J$22)-MONTH($J35)))&gt;Lists!J$22)+1)))),IF($AP35="F",IF(N($K35)&lt;=0,0,MIN(MAX(0,$H35),N($K35)*IF(Lists!J$21&lt;$J35,0,(((YEAR(Lists!J$21)-YEAR($J35))*12+MONTH(Lists!J$21)-MONTH($J35))-(EDATE($J35,((YEAR(Lists!J$21)-YEAR($J35))*12+MONTH(Lists!J$21)-MONTH($J35)))&gt;Lists!J$21)+1)))-MIN(MAX(0,$H35),N($K35)*IF(Lists!J$22&lt;$J35,0,(((YEAR(Lists!J$22)-YEAR($J35))*12+MONTH(Lists!J$22)-MONTH($J35))-(EDATE($J35,((YEAR(Lists!J$22)-YEAR($J35))*12+MONTH(Lists!J$22)-MONTH($J35)))&gt;Lists!J$22)+1)))),N($C35)*IF($AE35-$AD35&lt;1,($AD35&gt;Lists!J$22)*($AD35&lt;=Lists!J$21),MAX(0,MIN(Lists!J$21,$AE35)-MAX(Lists!J$22,$AD35))/($AE35-$AD35))+N($D35)*IF($AG35-$AF35&lt;1,($AF35&gt;Lists!J$22)*($AF35&lt;=Lists!J$21),MAX(0,MIN(Lists!J$21,$AG35)-MAX(Lists!J$22,$AF35))/($AG35-$AF35))+N($E35)*IF($AI35-$AH35&lt;1,($AH35&gt;Lists!J$22)*($AH35&lt;=Lists!J$21),MAX(0,MIN(Lists!J$21,$AI35)-MAX(Lists!J$22,$AH35))/($AI35-$AH35))+N($F35)*IF($AK35-$AJ35&lt;1,($AJ35&gt;Lists!J$22)*($AJ35&lt;=Lists!J$21),MAX(0,MIN(Lists!J$21,$AK35)-MAX(Lists!J$22,$AJ35))/($AK35-$AJ35))+N($G35)*IF($AM35-$AL35&lt;1,($AL35&gt;Lists!J$22)*($AL35&lt;=Lists!J$21),MAX(0,MIN(Lists!J$21,$AM35)-MAX(Lists!J$22,$AL35))/($AM35-$AL35))))))))</f>
        <v>0</v>
      </c>
      <c r="U35" s="53" t="n">
        <f aca="false">IF($H35=0,0,IF($AP35="X",0,IF($AP35="S",$H35/$AO35*(MIN($AO35,MAX(0,INT((Lists!K$21-N($J35))/7)+1))-MIN($AO35,MAX(0,INT((Lists!K$22-N($J35))/7)+1))),IF($AP35="D",$H35*MAX(0,MIN(Lists!K$21,N($J35)+$AO35)-MAX(Lists!K$22,N($J35)))/$AO35,IF($AP35="M",$H35/$AO35*(IF(Lists!K$21&lt;$J35,0,MIN($AO35,(((YEAR(Lists!K$21)-YEAR($J35))*12+MONTH(Lists!K$21)-MONTH($J35))-(EDATE($J35,((YEAR(Lists!K$21)-YEAR($J35))*12+MONTH(Lists!K$21)-MONTH($J35)))&gt;Lists!K$21)+1)))-IF(Lists!K$22&lt;$J35,0,MIN($AO35,(((YEAR(Lists!K$22)-YEAR($J35))*12+MONTH(Lists!K$22)-MONTH($J35))-(EDATE($J35,((YEAR(Lists!K$22)-YEAR($J35))*12+MONTH(Lists!K$22)-MONTH($J35)))&gt;Lists!K$22)+1)))),IF($AP35="F",IF(N($K35)&lt;=0,0,MIN(MAX(0,$H35),N($K35)*IF(Lists!K$21&lt;$J35,0,(((YEAR(Lists!K$21)-YEAR($J35))*12+MONTH(Lists!K$21)-MONTH($J35))-(EDATE($J35,((YEAR(Lists!K$21)-YEAR($J35))*12+MONTH(Lists!K$21)-MONTH($J35)))&gt;Lists!K$21)+1)))-MIN(MAX(0,$H35),N($K35)*IF(Lists!K$22&lt;$J35,0,(((YEAR(Lists!K$22)-YEAR($J35))*12+MONTH(Lists!K$22)-MONTH($J35))-(EDATE($J35,((YEAR(Lists!K$22)-YEAR($J35))*12+MONTH(Lists!K$22)-MONTH($J35)))&gt;Lists!K$22)+1)))),N($C35)*IF($AE35-$AD35&lt;1,($AD35&gt;Lists!K$22)*($AD35&lt;=Lists!K$21),MAX(0,MIN(Lists!K$21,$AE35)-MAX(Lists!K$22,$AD35))/($AE35-$AD35))+N($D35)*IF($AG35-$AF35&lt;1,($AF35&gt;Lists!K$22)*($AF35&lt;=Lists!K$21),MAX(0,MIN(Lists!K$21,$AG35)-MAX(Lists!K$22,$AF35))/($AG35-$AF35))+N($E35)*IF($AI35-$AH35&lt;1,($AH35&gt;Lists!K$22)*($AH35&lt;=Lists!K$21),MAX(0,MIN(Lists!K$21,$AI35)-MAX(Lists!K$22,$AH35))/($AI35-$AH35))+N($F35)*IF($AK35-$AJ35&lt;1,($AJ35&gt;Lists!K$22)*($AJ35&lt;=Lists!K$21),MAX(0,MIN(Lists!K$21,$AK35)-MAX(Lists!K$22,$AJ35))/($AK35-$AJ35))+N($G35)*IF($AM35-$AL35&lt;1,($AL35&gt;Lists!K$22)*($AL35&lt;=Lists!K$21),MAX(0,MIN(Lists!K$21,$AM35)-MAX(Lists!K$22,$AL35))/($AM35-$AL35))))))))</f>
        <v>0</v>
      </c>
      <c r="V35" s="53" t="n">
        <f aca="false">IF($H35=0,0,IF($AP35="X",0,IF($AP35="S",$H35/$AO35*(MIN($AO35,MAX(0,INT((Lists!L$21-N($J35))/7)+1))-MIN($AO35,MAX(0,INT((Lists!L$22-N($J35))/7)+1))),IF($AP35="D",$H35*MAX(0,MIN(Lists!L$21,N($J35)+$AO35)-MAX(Lists!L$22,N($J35)))/$AO35,IF($AP35="M",$H35/$AO35*(IF(Lists!L$21&lt;$J35,0,MIN($AO35,(((YEAR(Lists!L$21)-YEAR($J35))*12+MONTH(Lists!L$21)-MONTH($J35))-(EDATE($J35,((YEAR(Lists!L$21)-YEAR($J35))*12+MONTH(Lists!L$21)-MONTH($J35)))&gt;Lists!L$21)+1)))-IF(Lists!L$22&lt;$J35,0,MIN($AO35,(((YEAR(Lists!L$22)-YEAR($J35))*12+MONTH(Lists!L$22)-MONTH($J35))-(EDATE($J35,((YEAR(Lists!L$22)-YEAR($J35))*12+MONTH(Lists!L$22)-MONTH($J35)))&gt;Lists!L$22)+1)))),IF($AP35="F",IF(N($K35)&lt;=0,0,MIN(MAX(0,$H35),N($K35)*IF(Lists!L$21&lt;$J35,0,(((YEAR(Lists!L$21)-YEAR($J35))*12+MONTH(Lists!L$21)-MONTH($J35))-(EDATE($J35,((YEAR(Lists!L$21)-YEAR($J35))*12+MONTH(Lists!L$21)-MONTH($J35)))&gt;Lists!L$21)+1)))-MIN(MAX(0,$H35),N($K35)*IF(Lists!L$22&lt;$J35,0,(((YEAR(Lists!L$22)-YEAR($J35))*12+MONTH(Lists!L$22)-MONTH($J35))-(EDATE($J35,((YEAR(Lists!L$22)-YEAR($J35))*12+MONTH(Lists!L$22)-MONTH($J35)))&gt;Lists!L$22)+1)))),N($C35)*IF($AE35-$AD35&lt;1,($AD35&gt;Lists!L$22)*($AD35&lt;=Lists!L$21),MAX(0,MIN(Lists!L$21,$AE35)-MAX(Lists!L$22,$AD35))/($AE35-$AD35))+N($D35)*IF($AG35-$AF35&lt;1,($AF35&gt;Lists!L$22)*($AF35&lt;=Lists!L$21),MAX(0,MIN(Lists!L$21,$AG35)-MAX(Lists!L$22,$AF35))/($AG35-$AF35))+N($E35)*IF($AI35-$AH35&lt;1,($AH35&gt;Lists!L$22)*($AH35&lt;=Lists!L$21),MAX(0,MIN(Lists!L$21,$AI35)-MAX(Lists!L$22,$AH35))/($AI35-$AH35))+N($F35)*IF($AK35-$AJ35&lt;1,($AJ35&gt;Lists!L$22)*($AJ35&lt;=Lists!L$21),MAX(0,MIN(Lists!L$21,$AK35)-MAX(Lists!L$22,$AJ35))/($AK35-$AJ35))+N($G35)*IF($AM35-$AL35&lt;1,($AL35&gt;Lists!L$22)*($AL35&lt;=Lists!L$21),MAX(0,MIN(Lists!L$21,$AM35)-MAX(Lists!L$22,$AL35))/($AM35-$AL35))))))))</f>
        <v>0</v>
      </c>
      <c r="W35" s="53" t="n">
        <f aca="false">IF($H35=0,0,IF($AP35="X",0,IF($AP35="S",$H35/$AO35*(MIN($AO35,MAX(0,INT((Lists!M$21-N($J35))/7)+1))-MIN($AO35,MAX(0,INT((Lists!M$22-N($J35))/7)+1))),IF($AP35="D",$H35*MAX(0,MIN(Lists!M$21,N($J35)+$AO35)-MAX(Lists!M$22,N($J35)))/$AO35,IF($AP35="M",$H35/$AO35*(IF(Lists!M$21&lt;$J35,0,MIN($AO35,(((YEAR(Lists!M$21)-YEAR($J35))*12+MONTH(Lists!M$21)-MONTH($J35))-(EDATE($J35,((YEAR(Lists!M$21)-YEAR($J35))*12+MONTH(Lists!M$21)-MONTH($J35)))&gt;Lists!M$21)+1)))-IF(Lists!M$22&lt;$J35,0,MIN($AO35,(((YEAR(Lists!M$22)-YEAR($J35))*12+MONTH(Lists!M$22)-MONTH($J35))-(EDATE($J35,((YEAR(Lists!M$22)-YEAR($J35))*12+MONTH(Lists!M$22)-MONTH($J35)))&gt;Lists!M$22)+1)))),IF($AP35="F",IF(N($K35)&lt;=0,0,MIN(MAX(0,$H35),N($K35)*IF(Lists!M$21&lt;$J35,0,(((YEAR(Lists!M$21)-YEAR($J35))*12+MONTH(Lists!M$21)-MONTH($J35))-(EDATE($J35,((YEAR(Lists!M$21)-YEAR($J35))*12+MONTH(Lists!M$21)-MONTH($J35)))&gt;Lists!M$21)+1)))-MIN(MAX(0,$H35),N($K35)*IF(Lists!M$22&lt;$J35,0,(((YEAR(Lists!M$22)-YEAR($J35))*12+MONTH(Lists!M$22)-MONTH($J35))-(EDATE($J35,((YEAR(Lists!M$22)-YEAR($J35))*12+MONTH(Lists!M$22)-MONTH($J35)))&gt;Lists!M$22)+1)))),N($C35)*IF($AE35-$AD35&lt;1,($AD35&gt;Lists!M$22)*($AD35&lt;=Lists!M$21),MAX(0,MIN(Lists!M$21,$AE35)-MAX(Lists!M$22,$AD35))/($AE35-$AD35))+N($D35)*IF($AG35-$AF35&lt;1,($AF35&gt;Lists!M$22)*($AF35&lt;=Lists!M$21),MAX(0,MIN(Lists!M$21,$AG35)-MAX(Lists!M$22,$AF35))/($AG35-$AF35))+N($E35)*IF($AI35-$AH35&lt;1,($AH35&gt;Lists!M$22)*($AH35&lt;=Lists!M$21),MAX(0,MIN(Lists!M$21,$AI35)-MAX(Lists!M$22,$AH35))/($AI35-$AH35))+N($F35)*IF($AK35-$AJ35&lt;1,($AJ35&gt;Lists!M$22)*($AJ35&lt;=Lists!M$21),MAX(0,MIN(Lists!M$21,$AK35)-MAX(Lists!M$22,$AJ35))/($AK35-$AJ35))+N($G35)*IF($AM35-$AL35&lt;1,($AL35&gt;Lists!M$22)*($AL35&lt;=Lists!M$21),MAX(0,MIN(Lists!M$21,$AM35)-MAX(Lists!M$22,$AL35))/($AM35-$AL35))))))))</f>
        <v>0</v>
      </c>
      <c r="X35" s="53" t="n">
        <f aca="false">IF($H35=0,0,IF($AP35="X",0,IF($AP35="S",$H35/$AO35*(MIN($AO35,MAX(0,INT((Lists!N$21-N($J35))/7)+1))-MIN($AO35,MAX(0,INT((Lists!N$22-N($J35))/7)+1))),IF($AP35="D",$H35*MAX(0,MIN(Lists!N$21,N($J35)+$AO35)-MAX(Lists!N$22,N($J35)))/$AO35,IF($AP35="M",$H35/$AO35*(IF(Lists!N$21&lt;$J35,0,MIN($AO35,(((YEAR(Lists!N$21)-YEAR($J35))*12+MONTH(Lists!N$21)-MONTH($J35))-(EDATE($J35,((YEAR(Lists!N$21)-YEAR($J35))*12+MONTH(Lists!N$21)-MONTH($J35)))&gt;Lists!N$21)+1)))-IF(Lists!N$22&lt;$J35,0,MIN($AO35,(((YEAR(Lists!N$22)-YEAR($J35))*12+MONTH(Lists!N$22)-MONTH($J35))-(EDATE($J35,((YEAR(Lists!N$22)-YEAR($J35))*12+MONTH(Lists!N$22)-MONTH($J35)))&gt;Lists!N$22)+1)))),IF($AP35="F",IF(N($K35)&lt;=0,0,MIN(MAX(0,$H35),N($K35)*IF(Lists!N$21&lt;$J35,0,(((YEAR(Lists!N$21)-YEAR($J35))*12+MONTH(Lists!N$21)-MONTH($J35))-(EDATE($J35,((YEAR(Lists!N$21)-YEAR($J35))*12+MONTH(Lists!N$21)-MONTH($J35)))&gt;Lists!N$21)+1)))-MIN(MAX(0,$H35),N($K35)*IF(Lists!N$22&lt;$J35,0,(((YEAR(Lists!N$22)-YEAR($J35))*12+MONTH(Lists!N$22)-MONTH($J35))-(EDATE($J35,((YEAR(Lists!N$22)-YEAR($J35))*12+MONTH(Lists!N$22)-MONTH($J35)))&gt;Lists!N$22)+1)))),N($C35)*IF($AE35-$AD35&lt;1,($AD35&gt;Lists!N$22)*($AD35&lt;=Lists!N$21),MAX(0,MIN(Lists!N$21,$AE35)-MAX(Lists!N$22,$AD35))/($AE35-$AD35))+N($D35)*IF($AG35-$AF35&lt;1,($AF35&gt;Lists!N$22)*($AF35&lt;=Lists!N$21),MAX(0,MIN(Lists!N$21,$AG35)-MAX(Lists!N$22,$AF35))/($AG35-$AF35))+N($E35)*IF($AI35-$AH35&lt;1,($AH35&gt;Lists!N$22)*($AH35&lt;=Lists!N$21),MAX(0,MIN(Lists!N$21,$AI35)-MAX(Lists!N$22,$AH35))/($AI35-$AH35))+N($F35)*IF($AK35-$AJ35&lt;1,($AJ35&gt;Lists!N$22)*($AJ35&lt;=Lists!N$21),MAX(0,MIN(Lists!N$21,$AK35)-MAX(Lists!N$22,$AJ35))/($AK35-$AJ35))+N($G35)*IF($AM35-$AL35&lt;1,($AL35&gt;Lists!N$22)*($AL35&lt;=Lists!N$21),MAX(0,MIN(Lists!N$21,$AM35)-MAX(Lists!N$22,$AL35))/($AM35-$AL35))))))))</f>
        <v>0</v>
      </c>
      <c r="Y35" s="53" t="n">
        <f aca="false">IF($H35=0,0,IF($AP35="X",0,IF($AP35="S",$H35/$AO35*(MIN($AO35,MAX(0,INT((Lists!O$21-N($J35))/7)+1))-MIN($AO35,MAX(0,INT((Lists!O$22-N($J35))/7)+1))),IF($AP35="D",$H35*MAX(0,MIN(Lists!O$21,N($J35)+$AO35)-MAX(Lists!O$22,N($J35)))/$AO35,IF($AP35="M",$H35/$AO35*(IF(Lists!O$21&lt;$J35,0,MIN($AO35,(((YEAR(Lists!O$21)-YEAR($J35))*12+MONTH(Lists!O$21)-MONTH($J35))-(EDATE($J35,((YEAR(Lists!O$21)-YEAR($J35))*12+MONTH(Lists!O$21)-MONTH($J35)))&gt;Lists!O$21)+1)))-IF(Lists!O$22&lt;$J35,0,MIN($AO35,(((YEAR(Lists!O$22)-YEAR($J35))*12+MONTH(Lists!O$22)-MONTH($J35))-(EDATE($J35,((YEAR(Lists!O$22)-YEAR($J35))*12+MONTH(Lists!O$22)-MONTH($J35)))&gt;Lists!O$22)+1)))),IF($AP35="F",IF(N($K35)&lt;=0,0,MIN(MAX(0,$H35),N($K35)*IF(Lists!O$21&lt;$J35,0,(((YEAR(Lists!O$21)-YEAR($J35))*12+MONTH(Lists!O$21)-MONTH($J35))-(EDATE($J35,((YEAR(Lists!O$21)-YEAR($J35))*12+MONTH(Lists!O$21)-MONTH($J35)))&gt;Lists!O$21)+1)))-MIN(MAX(0,$H35),N($K35)*IF(Lists!O$22&lt;$J35,0,(((YEAR(Lists!O$22)-YEAR($J35))*12+MONTH(Lists!O$22)-MONTH($J35))-(EDATE($J35,((YEAR(Lists!O$22)-YEAR($J35))*12+MONTH(Lists!O$22)-MONTH($J35)))&gt;Lists!O$22)+1)))),N($C35)*IF($AE35-$AD35&lt;1,($AD35&gt;Lists!O$22)*($AD35&lt;=Lists!O$21),MAX(0,MIN(Lists!O$21,$AE35)-MAX(Lists!O$22,$AD35))/($AE35-$AD35))+N($D35)*IF($AG35-$AF35&lt;1,($AF35&gt;Lists!O$22)*($AF35&lt;=Lists!O$21),MAX(0,MIN(Lists!O$21,$AG35)-MAX(Lists!O$22,$AF35))/($AG35-$AF35))+N($E35)*IF($AI35-$AH35&lt;1,($AH35&gt;Lists!O$22)*($AH35&lt;=Lists!O$21),MAX(0,MIN(Lists!O$21,$AI35)-MAX(Lists!O$22,$AH35))/($AI35-$AH35))+N($F35)*IF($AK35-$AJ35&lt;1,($AJ35&gt;Lists!O$22)*($AJ35&lt;=Lists!O$21),MAX(0,MIN(Lists!O$21,$AK35)-MAX(Lists!O$22,$AJ35))/($AK35-$AJ35))+N($G35)*IF($AM35-$AL35&lt;1,($AL35&gt;Lists!O$22)*($AL35&lt;=Lists!O$21),MAX(0,MIN(Lists!O$21,$AM35)-MAX(Lists!O$22,$AL35))/($AM35-$AL35))))))))</f>
        <v>0</v>
      </c>
      <c r="Z35" s="46" t="n">
        <f aca="false">SUM(M35:Y35)</f>
        <v>0</v>
      </c>
      <c r="AA35" s="92" t="n">
        <f aca="false">H35-Z35</f>
        <v>0</v>
      </c>
      <c r="AB35" s="55"/>
      <c r="AC35" s="2"/>
      <c r="AD35" s="93" t="n">
        <f aca="false">Setup!$D$10+MAX(0,$AN35-30)</f>
        <v>46345</v>
      </c>
      <c r="AE35" s="93" t="n">
        <f aca="false">Setup!$D$10+IF($AN35-30&lt;0,MAX(Setup!$D$22,$AN35-0),$AN35-0)</f>
        <v>46375</v>
      </c>
      <c r="AF35" s="93" t="n">
        <f aca="false">Setup!$D$10+MAX(0,$AN35-60)</f>
        <v>46335</v>
      </c>
      <c r="AG35" s="93" t="n">
        <f aca="false">Setup!$D$10+IF($AN35-60&lt;0,MAX(Setup!$D$22,$AN35-31),$AN35-31)</f>
        <v>46363</v>
      </c>
      <c r="AH35" s="93" t="n">
        <f aca="false">Setup!$D$10+MAX(0,$AN35-90)</f>
        <v>46335</v>
      </c>
      <c r="AI35" s="93" t="n">
        <f aca="false">Setup!$D$10+IF($AN35-90&lt;0,MAX(Setup!$D$22,$AN35-61),$AN35-61)</f>
        <v>46363</v>
      </c>
      <c r="AJ35" s="93" t="n">
        <f aca="false">Setup!$D$10+MAX(0,$AN35-120)</f>
        <v>46335</v>
      </c>
      <c r="AK35" s="93" t="n">
        <f aca="false">Setup!$D$10+IF($AN35-120&lt;0,MAX(Setup!$D$22,$AN35-91),$AN35-91)</f>
        <v>46363</v>
      </c>
      <c r="AL35" s="93" t="n">
        <f aca="false">Setup!$D$10</f>
        <v>46335</v>
      </c>
      <c r="AM35" s="93" t="n">
        <f aca="false">IF(AL35=2958465,AL35,Setup!$D$10+Setup!$D$22)</f>
        <v>46363</v>
      </c>
      <c r="AN35" s="94" t="n">
        <f aca="false">IF(N(L35)=0,Setup!$D$21,L35)</f>
        <v>40</v>
      </c>
      <c r="AO35" s="94" t="n">
        <f aca="false">MAX(1,ROUND(N(K35),0))</f>
        <v>1</v>
      </c>
      <c r="AP35" s="95" t="str">
        <f aca="false">IF(I35="On hold","X",IF(N(J35)=0,"A",IF(I35="Specific date","S",IF(I35="Spread over days","D",IF(I35="Monthly on set day","M",IF(I35="Monthly fixed amount","F","A"))))))</f>
        <v>A</v>
      </c>
    </row>
    <row r="36" customFormat="false" ht="15" hidden="false" customHeight="false" outlineLevel="0" collapsed="false">
      <c r="A36" s="87" t="n">
        <v>28</v>
      </c>
      <c r="B36" s="55"/>
      <c r="C36" s="88"/>
      <c r="D36" s="88"/>
      <c r="E36" s="88"/>
      <c r="F36" s="88"/>
      <c r="G36" s="88"/>
      <c r="H36" s="89" t="n">
        <f aca="false">SUM(C36:G36)</f>
        <v>0</v>
      </c>
      <c r="I36" s="58"/>
      <c r="J36" s="90"/>
      <c r="K36" s="91"/>
      <c r="L36" s="80"/>
      <c r="M36" s="53" t="n">
        <f aca="false">IF($H36=0,0,IF($AP36="X",0,IF($AP36="S",$H36/$AO36*(MIN($AO36,MAX(0,INT((Lists!C$21-N($J36))/7)+1))-MIN($AO36,MAX(0,INT((Lists!C$22-N($J36))/7)+1))),IF($AP36="D",$H36*MAX(0,MIN(Lists!C$21,N($J36)+$AO36)-MAX(Lists!C$22,N($J36)))/$AO36,IF($AP36="M",$H36/$AO36*(IF(Lists!C$21&lt;$J36,0,MIN($AO36,(((YEAR(Lists!C$21)-YEAR($J36))*12+MONTH(Lists!C$21)-MONTH($J36))-(EDATE($J36,((YEAR(Lists!C$21)-YEAR($J36))*12+MONTH(Lists!C$21)-MONTH($J36)))&gt;Lists!C$21)+1)))-IF(Lists!C$22&lt;$J36,0,MIN($AO36,(((YEAR(Lists!C$22)-YEAR($J36))*12+MONTH(Lists!C$22)-MONTH($J36))-(EDATE($J36,((YEAR(Lists!C$22)-YEAR($J36))*12+MONTH(Lists!C$22)-MONTH($J36)))&gt;Lists!C$22)+1)))),IF($AP36="F",IF(N($K36)&lt;=0,0,MIN(MAX(0,$H36),N($K36)*IF(Lists!C$21&lt;$J36,0,(((YEAR(Lists!C$21)-YEAR($J36))*12+MONTH(Lists!C$21)-MONTH($J36))-(EDATE($J36,((YEAR(Lists!C$21)-YEAR($J36))*12+MONTH(Lists!C$21)-MONTH($J36)))&gt;Lists!C$21)+1)))-MIN(MAX(0,$H36),N($K36)*IF(Lists!C$22&lt;$J36,0,(((YEAR(Lists!C$22)-YEAR($J36))*12+MONTH(Lists!C$22)-MONTH($J36))-(EDATE($J36,((YEAR(Lists!C$22)-YEAR($J36))*12+MONTH(Lists!C$22)-MONTH($J36)))&gt;Lists!C$22)+1)))),N($C36)*IF($AE36-$AD36&lt;1,($AD36&gt;Lists!C$22)*($AD36&lt;=Lists!C$21),MAX(0,MIN(Lists!C$21,$AE36)-MAX(Lists!C$22,$AD36))/($AE36-$AD36))+N($D36)*IF($AG36-$AF36&lt;1,($AF36&gt;Lists!C$22)*($AF36&lt;=Lists!C$21),MAX(0,MIN(Lists!C$21,$AG36)-MAX(Lists!C$22,$AF36))/($AG36-$AF36))+N($E36)*IF($AI36-$AH36&lt;1,($AH36&gt;Lists!C$22)*($AH36&lt;=Lists!C$21),MAX(0,MIN(Lists!C$21,$AI36)-MAX(Lists!C$22,$AH36))/($AI36-$AH36))+N($F36)*IF($AK36-$AJ36&lt;1,($AJ36&gt;Lists!C$22)*($AJ36&lt;=Lists!C$21),MAX(0,MIN(Lists!C$21,$AK36)-MAX(Lists!C$22,$AJ36))/($AK36-$AJ36))+N($G36)*IF($AM36-$AL36&lt;1,($AL36&gt;Lists!C$22)*($AL36&lt;=Lists!C$21),MAX(0,MIN(Lists!C$21,$AM36)-MAX(Lists!C$22,$AL36))/($AM36-$AL36))))))))</f>
        <v>0</v>
      </c>
      <c r="N36" s="53" t="n">
        <f aca="false">IF($H36=0,0,IF($AP36="X",0,IF($AP36="S",$H36/$AO36*(MIN($AO36,MAX(0,INT((Lists!D$21-N($J36))/7)+1))-MIN($AO36,MAX(0,INT((Lists!D$22-N($J36))/7)+1))),IF($AP36="D",$H36*MAX(0,MIN(Lists!D$21,N($J36)+$AO36)-MAX(Lists!D$22,N($J36)))/$AO36,IF($AP36="M",$H36/$AO36*(IF(Lists!D$21&lt;$J36,0,MIN($AO36,(((YEAR(Lists!D$21)-YEAR($J36))*12+MONTH(Lists!D$21)-MONTH($J36))-(EDATE($J36,((YEAR(Lists!D$21)-YEAR($J36))*12+MONTH(Lists!D$21)-MONTH($J36)))&gt;Lists!D$21)+1)))-IF(Lists!D$22&lt;$J36,0,MIN($AO36,(((YEAR(Lists!D$22)-YEAR($J36))*12+MONTH(Lists!D$22)-MONTH($J36))-(EDATE($J36,((YEAR(Lists!D$22)-YEAR($J36))*12+MONTH(Lists!D$22)-MONTH($J36)))&gt;Lists!D$22)+1)))),IF($AP36="F",IF(N($K36)&lt;=0,0,MIN(MAX(0,$H36),N($K36)*IF(Lists!D$21&lt;$J36,0,(((YEAR(Lists!D$21)-YEAR($J36))*12+MONTH(Lists!D$21)-MONTH($J36))-(EDATE($J36,((YEAR(Lists!D$21)-YEAR($J36))*12+MONTH(Lists!D$21)-MONTH($J36)))&gt;Lists!D$21)+1)))-MIN(MAX(0,$H36),N($K36)*IF(Lists!D$22&lt;$J36,0,(((YEAR(Lists!D$22)-YEAR($J36))*12+MONTH(Lists!D$22)-MONTH($J36))-(EDATE($J36,((YEAR(Lists!D$22)-YEAR($J36))*12+MONTH(Lists!D$22)-MONTH($J36)))&gt;Lists!D$22)+1)))),N($C36)*IF($AE36-$AD36&lt;1,($AD36&gt;Lists!D$22)*($AD36&lt;=Lists!D$21),MAX(0,MIN(Lists!D$21,$AE36)-MAX(Lists!D$22,$AD36))/($AE36-$AD36))+N($D36)*IF($AG36-$AF36&lt;1,($AF36&gt;Lists!D$22)*($AF36&lt;=Lists!D$21),MAX(0,MIN(Lists!D$21,$AG36)-MAX(Lists!D$22,$AF36))/($AG36-$AF36))+N($E36)*IF($AI36-$AH36&lt;1,($AH36&gt;Lists!D$22)*($AH36&lt;=Lists!D$21),MAX(0,MIN(Lists!D$21,$AI36)-MAX(Lists!D$22,$AH36))/($AI36-$AH36))+N($F36)*IF($AK36-$AJ36&lt;1,($AJ36&gt;Lists!D$22)*($AJ36&lt;=Lists!D$21),MAX(0,MIN(Lists!D$21,$AK36)-MAX(Lists!D$22,$AJ36))/($AK36-$AJ36))+N($G36)*IF($AM36-$AL36&lt;1,($AL36&gt;Lists!D$22)*($AL36&lt;=Lists!D$21),MAX(0,MIN(Lists!D$21,$AM36)-MAX(Lists!D$22,$AL36))/($AM36-$AL36))))))))</f>
        <v>0</v>
      </c>
      <c r="O36" s="53" t="n">
        <f aca="false">IF($H36=0,0,IF($AP36="X",0,IF($AP36="S",$H36/$AO36*(MIN($AO36,MAX(0,INT((Lists!E$21-N($J36))/7)+1))-MIN($AO36,MAX(0,INT((Lists!E$22-N($J36))/7)+1))),IF($AP36="D",$H36*MAX(0,MIN(Lists!E$21,N($J36)+$AO36)-MAX(Lists!E$22,N($J36)))/$AO36,IF($AP36="M",$H36/$AO36*(IF(Lists!E$21&lt;$J36,0,MIN($AO36,(((YEAR(Lists!E$21)-YEAR($J36))*12+MONTH(Lists!E$21)-MONTH($J36))-(EDATE($J36,((YEAR(Lists!E$21)-YEAR($J36))*12+MONTH(Lists!E$21)-MONTH($J36)))&gt;Lists!E$21)+1)))-IF(Lists!E$22&lt;$J36,0,MIN($AO36,(((YEAR(Lists!E$22)-YEAR($J36))*12+MONTH(Lists!E$22)-MONTH($J36))-(EDATE($J36,((YEAR(Lists!E$22)-YEAR($J36))*12+MONTH(Lists!E$22)-MONTH($J36)))&gt;Lists!E$22)+1)))),IF($AP36="F",IF(N($K36)&lt;=0,0,MIN(MAX(0,$H36),N($K36)*IF(Lists!E$21&lt;$J36,0,(((YEAR(Lists!E$21)-YEAR($J36))*12+MONTH(Lists!E$21)-MONTH($J36))-(EDATE($J36,((YEAR(Lists!E$21)-YEAR($J36))*12+MONTH(Lists!E$21)-MONTH($J36)))&gt;Lists!E$21)+1)))-MIN(MAX(0,$H36),N($K36)*IF(Lists!E$22&lt;$J36,0,(((YEAR(Lists!E$22)-YEAR($J36))*12+MONTH(Lists!E$22)-MONTH($J36))-(EDATE($J36,((YEAR(Lists!E$22)-YEAR($J36))*12+MONTH(Lists!E$22)-MONTH($J36)))&gt;Lists!E$22)+1)))),N($C36)*IF($AE36-$AD36&lt;1,($AD36&gt;Lists!E$22)*($AD36&lt;=Lists!E$21),MAX(0,MIN(Lists!E$21,$AE36)-MAX(Lists!E$22,$AD36))/($AE36-$AD36))+N($D36)*IF($AG36-$AF36&lt;1,($AF36&gt;Lists!E$22)*($AF36&lt;=Lists!E$21),MAX(0,MIN(Lists!E$21,$AG36)-MAX(Lists!E$22,$AF36))/($AG36-$AF36))+N($E36)*IF($AI36-$AH36&lt;1,($AH36&gt;Lists!E$22)*($AH36&lt;=Lists!E$21),MAX(0,MIN(Lists!E$21,$AI36)-MAX(Lists!E$22,$AH36))/($AI36-$AH36))+N($F36)*IF($AK36-$AJ36&lt;1,($AJ36&gt;Lists!E$22)*($AJ36&lt;=Lists!E$21),MAX(0,MIN(Lists!E$21,$AK36)-MAX(Lists!E$22,$AJ36))/($AK36-$AJ36))+N($G36)*IF($AM36-$AL36&lt;1,($AL36&gt;Lists!E$22)*($AL36&lt;=Lists!E$21),MAX(0,MIN(Lists!E$21,$AM36)-MAX(Lists!E$22,$AL36))/($AM36-$AL36))))))))</f>
        <v>0</v>
      </c>
      <c r="P36" s="53" t="n">
        <f aca="false">IF($H36=0,0,IF($AP36="X",0,IF($AP36="S",$H36/$AO36*(MIN($AO36,MAX(0,INT((Lists!F$21-N($J36))/7)+1))-MIN($AO36,MAX(0,INT((Lists!F$22-N($J36))/7)+1))),IF($AP36="D",$H36*MAX(0,MIN(Lists!F$21,N($J36)+$AO36)-MAX(Lists!F$22,N($J36)))/$AO36,IF($AP36="M",$H36/$AO36*(IF(Lists!F$21&lt;$J36,0,MIN($AO36,(((YEAR(Lists!F$21)-YEAR($J36))*12+MONTH(Lists!F$21)-MONTH($J36))-(EDATE($J36,((YEAR(Lists!F$21)-YEAR($J36))*12+MONTH(Lists!F$21)-MONTH($J36)))&gt;Lists!F$21)+1)))-IF(Lists!F$22&lt;$J36,0,MIN($AO36,(((YEAR(Lists!F$22)-YEAR($J36))*12+MONTH(Lists!F$22)-MONTH($J36))-(EDATE($J36,((YEAR(Lists!F$22)-YEAR($J36))*12+MONTH(Lists!F$22)-MONTH($J36)))&gt;Lists!F$22)+1)))),IF($AP36="F",IF(N($K36)&lt;=0,0,MIN(MAX(0,$H36),N($K36)*IF(Lists!F$21&lt;$J36,0,(((YEAR(Lists!F$21)-YEAR($J36))*12+MONTH(Lists!F$21)-MONTH($J36))-(EDATE($J36,((YEAR(Lists!F$21)-YEAR($J36))*12+MONTH(Lists!F$21)-MONTH($J36)))&gt;Lists!F$21)+1)))-MIN(MAX(0,$H36),N($K36)*IF(Lists!F$22&lt;$J36,0,(((YEAR(Lists!F$22)-YEAR($J36))*12+MONTH(Lists!F$22)-MONTH($J36))-(EDATE($J36,((YEAR(Lists!F$22)-YEAR($J36))*12+MONTH(Lists!F$22)-MONTH($J36)))&gt;Lists!F$22)+1)))),N($C36)*IF($AE36-$AD36&lt;1,($AD36&gt;Lists!F$22)*($AD36&lt;=Lists!F$21),MAX(0,MIN(Lists!F$21,$AE36)-MAX(Lists!F$22,$AD36))/($AE36-$AD36))+N($D36)*IF($AG36-$AF36&lt;1,($AF36&gt;Lists!F$22)*($AF36&lt;=Lists!F$21),MAX(0,MIN(Lists!F$21,$AG36)-MAX(Lists!F$22,$AF36))/($AG36-$AF36))+N($E36)*IF($AI36-$AH36&lt;1,($AH36&gt;Lists!F$22)*($AH36&lt;=Lists!F$21),MAX(0,MIN(Lists!F$21,$AI36)-MAX(Lists!F$22,$AH36))/($AI36-$AH36))+N($F36)*IF($AK36-$AJ36&lt;1,($AJ36&gt;Lists!F$22)*($AJ36&lt;=Lists!F$21),MAX(0,MIN(Lists!F$21,$AK36)-MAX(Lists!F$22,$AJ36))/($AK36-$AJ36))+N($G36)*IF($AM36-$AL36&lt;1,($AL36&gt;Lists!F$22)*($AL36&lt;=Lists!F$21),MAX(0,MIN(Lists!F$21,$AM36)-MAX(Lists!F$22,$AL36))/($AM36-$AL36))))))))</f>
        <v>0</v>
      </c>
      <c r="Q36" s="53" t="n">
        <f aca="false">IF($H36=0,0,IF($AP36="X",0,IF($AP36="S",$H36/$AO36*(MIN($AO36,MAX(0,INT((Lists!G$21-N($J36))/7)+1))-MIN($AO36,MAX(0,INT((Lists!G$22-N($J36))/7)+1))),IF($AP36="D",$H36*MAX(0,MIN(Lists!G$21,N($J36)+$AO36)-MAX(Lists!G$22,N($J36)))/$AO36,IF($AP36="M",$H36/$AO36*(IF(Lists!G$21&lt;$J36,0,MIN($AO36,(((YEAR(Lists!G$21)-YEAR($J36))*12+MONTH(Lists!G$21)-MONTH($J36))-(EDATE($J36,((YEAR(Lists!G$21)-YEAR($J36))*12+MONTH(Lists!G$21)-MONTH($J36)))&gt;Lists!G$21)+1)))-IF(Lists!G$22&lt;$J36,0,MIN($AO36,(((YEAR(Lists!G$22)-YEAR($J36))*12+MONTH(Lists!G$22)-MONTH($J36))-(EDATE($J36,((YEAR(Lists!G$22)-YEAR($J36))*12+MONTH(Lists!G$22)-MONTH($J36)))&gt;Lists!G$22)+1)))),IF($AP36="F",IF(N($K36)&lt;=0,0,MIN(MAX(0,$H36),N($K36)*IF(Lists!G$21&lt;$J36,0,(((YEAR(Lists!G$21)-YEAR($J36))*12+MONTH(Lists!G$21)-MONTH($J36))-(EDATE($J36,((YEAR(Lists!G$21)-YEAR($J36))*12+MONTH(Lists!G$21)-MONTH($J36)))&gt;Lists!G$21)+1)))-MIN(MAX(0,$H36),N($K36)*IF(Lists!G$22&lt;$J36,0,(((YEAR(Lists!G$22)-YEAR($J36))*12+MONTH(Lists!G$22)-MONTH($J36))-(EDATE($J36,((YEAR(Lists!G$22)-YEAR($J36))*12+MONTH(Lists!G$22)-MONTH($J36)))&gt;Lists!G$22)+1)))),N($C36)*IF($AE36-$AD36&lt;1,($AD36&gt;Lists!G$22)*($AD36&lt;=Lists!G$21),MAX(0,MIN(Lists!G$21,$AE36)-MAX(Lists!G$22,$AD36))/($AE36-$AD36))+N($D36)*IF($AG36-$AF36&lt;1,($AF36&gt;Lists!G$22)*($AF36&lt;=Lists!G$21),MAX(0,MIN(Lists!G$21,$AG36)-MAX(Lists!G$22,$AF36))/($AG36-$AF36))+N($E36)*IF($AI36-$AH36&lt;1,($AH36&gt;Lists!G$22)*($AH36&lt;=Lists!G$21),MAX(0,MIN(Lists!G$21,$AI36)-MAX(Lists!G$22,$AH36))/($AI36-$AH36))+N($F36)*IF($AK36-$AJ36&lt;1,($AJ36&gt;Lists!G$22)*($AJ36&lt;=Lists!G$21),MAX(0,MIN(Lists!G$21,$AK36)-MAX(Lists!G$22,$AJ36))/($AK36-$AJ36))+N($G36)*IF($AM36-$AL36&lt;1,($AL36&gt;Lists!G$22)*($AL36&lt;=Lists!G$21),MAX(0,MIN(Lists!G$21,$AM36)-MAX(Lists!G$22,$AL36))/($AM36-$AL36))))))))</f>
        <v>0</v>
      </c>
      <c r="R36" s="53" t="n">
        <f aca="false">IF($H36=0,0,IF($AP36="X",0,IF($AP36="S",$H36/$AO36*(MIN($AO36,MAX(0,INT((Lists!H$21-N($J36))/7)+1))-MIN($AO36,MAX(0,INT((Lists!H$22-N($J36))/7)+1))),IF($AP36="D",$H36*MAX(0,MIN(Lists!H$21,N($J36)+$AO36)-MAX(Lists!H$22,N($J36)))/$AO36,IF($AP36="M",$H36/$AO36*(IF(Lists!H$21&lt;$J36,0,MIN($AO36,(((YEAR(Lists!H$21)-YEAR($J36))*12+MONTH(Lists!H$21)-MONTH($J36))-(EDATE($J36,((YEAR(Lists!H$21)-YEAR($J36))*12+MONTH(Lists!H$21)-MONTH($J36)))&gt;Lists!H$21)+1)))-IF(Lists!H$22&lt;$J36,0,MIN($AO36,(((YEAR(Lists!H$22)-YEAR($J36))*12+MONTH(Lists!H$22)-MONTH($J36))-(EDATE($J36,((YEAR(Lists!H$22)-YEAR($J36))*12+MONTH(Lists!H$22)-MONTH($J36)))&gt;Lists!H$22)+1)))),IF($AP36="F",IF(N($K36)&lt;=0,0,MIN(MAX(0,$H36),N($K36)*IF(Lists!H$21&lt;$J36,0,(((YEAR(Lists!H$21)-YEAR($J36))*12+MONTH(Lists!H$21)-MONTH($J36))-(EDATE($J36,((YEAR(Lists!H$21)-YEAR($J36))*12+MONTH(Lists!H$21)-MONTH($J36)))&gt;Lists!H$21)+1)))-MIN(MAX(0,$H36),N($K36)*IF(Lists!H$22&lt;$J36,0,(((YEAR(Lists!H$22)-YEAR($J36))*12+MONTH(Lists!H$22)-MONTH($J36))-(EDATE($J36,((YEAR(Lists!H$22)-YEAR($J36))*12+MONTH(Lists!H$22)-MONTH($J36)))&gt;Lists!H$22)+1)))),N($C36)*IF($AE36-$AD36&lt;1,($AD36&gt;Lists!H$22)*($AD36&lt;=Lists!H$21),MAX(0,MIN(Lists!H$21,$AE36)-MAX(Lists!H$22,$AD36))/($AE36-$AD36))+N($D36)*IF($AG36-$AF36&lt;1,($AF36&gt;Lists!H$22)*($AF36&lt;=Lists!H$21),MAX(0,MIN(Lists!H$21,$AG36)-MAX(Lists!H$22,$AF36))/($AG36-$AF36))+N($E36)*IF($AI36-$AH36&lt;1,($AH36&gt;Lists!H$22)*($AH36&lt;=Lists!H$21),MAX(0,MIN(Lists!H$21,$AI36)-MAX(Lists!H$22,$AH36))/($AI36-$AH36))+N($F36)*IF($AK36-$AJ36&lt;1,($AJ36&gt;Lists!H$22)*($AJ36&lt;=Lists!H$21),MAX(0,MIN(Lists!H$21,$AK36)-MAX(Lists!H$22,$AJ36))/($AK36-$AJ36))+N($G36)*IF($AM36-$AL36&lt;1,($AL36&gt;Lists!H$22)*($AL36&lt;=Lists!H$21),MAX(0,MIN(Lists!H$21,$AM36)-MAX(Lists!H$22,$AL36))/($AM36-$AL36))))))))</f>
        <v>0</v>
      </c>
      <c r="S36" s="53" t="n">
        <f aca="false">IF($H36=0,0,IF($AP36="X",0,IF($AP36="S",$H36/$AO36*(MIN($AO36,MAX(0,INT((Lists!I$21-N($J36))/7)+1))-MIN($AO36,MAX(0,INT((Lists!I$22-N($J36))/7)+1))),IF($AP36="D",$H36*MAX(0,MIN(Lists!I$21,N($J36)+$AO36)-MAX(Lists!I$22,N($J36)))/$AO36,IF($AP36="M",$H36/$AO36*(IF(Lists!I$21&lt;$J36,0,MIN($AO36,(((YEAR(Lists!I$21)-YEAR($J36))*12+MONTH(Lists!I$21)-MONTH($J36))-(EDATE($J36,((YEAR(Lists!I$21)-YEAR($J36))*12+MONTH(Lists!I$21)-MONTH($J36)))&gt;Lists!I$21)+1)))-IF(Lists!I$22&lt;$J36,0,MIN($AO36,(((YEAR(Lists!I$22)-YEAR($J36))*12+MONTH(Lists!I$22)-MONTH($J36))-(EDATE($J36,((YEAR(Lists!I$22)-YEAR($J36))*12+MONTH(Lists!I$22)-MONTH($J36)))&gt;Lists!I$22)+1)))),IF($AP36="F",IF(N($K36)&lt;=0,0,MIN(MAX(0,$H36),N($K36)*IF(Lists!I$21&lt;$J36,0,(((YEAR(Lists!I$21)-YEAR($J36))*12+MONTH(Lists!I$21)-MONTH($J36))-(EDATE($J36,((YEAR(Lists!I$21)-YEAR($J36))*12+MONTH(Lists!I$21)-MONTH($J36)))&gt;Lists!I$21)+1)))-MIN(MAX(0,$H36),N($K36)*IF(Lists!I$22&lt;$J36,0,(((YEAR(Lists!I$22)-YEAR($J36))*12+MONTH(Lists!I$22)-MONTH($J36))-(EDATE($J36,((YEAR(Lists!I$22)-YEAR($J36))*12+MONTH(Lists!I$22)-MONTH($J36)))&gt;Lists!I$22)+1)))),N($C36)*IF($AE36-$AD36&lt;1,($AD36&gt;Lists!I$22)*($AD36&lt;=Lists!I$21),MAX(0,MIN(Lists!I$21,$AE36)-MAX(Lists!I$22,$AD36))/($AE36-$AD36))+N($D36)*IF($AG36-$AF36&lt;1,($AF36&gt;Lists!I$22)*($AF36&lt;=Lists!I$21),MAX(0,MIN(Lists!I$21,$AG36)-MAX(Lists!I$22,$AF36))/($AG36-$AF36))+N($E36)*IF($AI36-$AH36&lt;1,($AH36&gt;Lists!I$22)*($AH36&lt;=Lists!I$21),MAX(0,MIN(Lists!I$21,$AI36)-MAX(Lists!I$22,$AH36))/($AI36-$AH36))+N($F36)*IF($AK36-$AJ36&lt;1,($AJ36&gt;Lists!I$22)*($AJ36&lt;=Lists!I$21),MAX(0,MIN(Lists!I$21,$AK36)-MAX(Lists!I$22,$AJ36))/($AK36-$AJ36))+N($G36)*IF($AM36-$AL36&lt;1,($AL36&gt;Lists!I$22)*($AL36&lt;=Lists!I$21),MAX(0,MIN(Lists!I$21,$AM36)-MAX(Lists!I$22,$AL36))/($AM36-$AL36))))))))</f>
        <v>0</v>
      </c>
      <c r="T36" s="53" t="n">
        <f aca="false">IF($H36=0,0,IF($AP36="X",0,IF($AP36="S",$H36/$AO36*(MIN($AO36,MAX(0,INT((Lists!J$21-N($J36))/7)+1))-MIN($AO36,MAX(0,INT((Lists!J$22-N($J36))/7)+1))),IF($AP36="D",$H36*MAX(0,MIN(Lists!J$21,N($J36)+$AO36)-MAX(Lists!J$22,N($J36)))/$AO36,IF($AP36="M",$H36/$AO36*(IF(Lists!J$21&lt;$J36,0,MIN($AO36,(((YEAR(Lists!J$21)-YEAR($J36))*12+MONTH(Lists!J$21)-MONTH($J36))-(EDATE($J36,((YEAR(Lists!J$21)-YEAR($J36))*12+MONTH(Lists!J$21)-MONTH($J36)))&gt;Lists!J$21)+1)))-IF(Lists!J$22&lt;$J36,0,MIN($AO36,(((YEAR(Lists!J$22)-YEAR($J36))*12+MONTH(Lists!J$22)-MONTH($J36))-(EDATE($J36,((YEAR(Lists!J$22)-YEAR($J36))*12+MONTH(Lists!J$22)-MONTH($J36)))&gt;Lists!J$22)+1)))),IF($AP36="F",IF(N($K36)&lt;=0,0,MIN(MAX(0,$H36),N($K36)*IF(Lists!J$21&lt;$J36,0,(((YEAR(Lists!J$21)-YEAR($J36))*12+MONTH(Lists!J$21)-MONTH($J36))-(EDATE($J36,((YEAR(Lists!J$21)-YEAR($J36))*12+MONTH(Lists!J$21)-MONTH($J36)))&gt;Lists!J$21)+1)))-MIN(MAX(0,$H36),N($K36)*IF(Lists!J$22&lt;$J36,0,(((YEAR(Lists!J$22)-YEAR($J36))*12+MONTH(Lists!J$22)-MONTH($J36))-(EDATE($J36,((YEAR(Lists!J$22)-YEAR($J36))*12+MONTH(Lists!J$22)-MONTH($J36)))&gt;Lists!J$22)+1)))),N($C36)*IF($AE36-$AD36&lt;1,($AD36&gt;Lists!J$22)*($AD36&lt;=Lists!J$21),MAX(0,MIN(Lists!J$21,$AE36)-MAX(Lists!J$22,$AD36))/($AE36-$AD36))+N($D36)*IF($AG36-$AF36&lt;1,($AF36&gt;Lists!J$22)*($AF36&lt;=Lists!J$21),MAX(0,MIN(Lists!J$21,$AG36)-MAX(Lists!J$22,$AF36))/($AG36-$AF36))+N($E36)*IF($AI36-$AH36&lt;1,($AH36&gt;Lists!J$22)*($AH36&lt;=Lists!J$21),MAX(0,MIN(Lists!J$21,$AI36)-MAX(Lists!J$22,$AH36))/($AI36-$AH36))+N($F36)*IF($AK36-$AJ36&lt;1,($AJ36&gt;Lists!J$22)*($AJ36&lt;=Lists!J$21),MAX(0,MIN(Lists!J$21,$AK36)-MAX(Lists!J$22,$AJ36))/($AK36-$AJ36))+N($G36)*IF($AM36-$AL36&lt;1,($AL36&gt;Lists!J$22)*($AL36&lt;=Lists!J$21),MAX(0,MIN(Lists!J$21,$AM36)-MAX(Lists!J$22,$AL36))/($AM36-$AL36))))))))</f>
        <v>0</v>
      </c>
      <c r="U36" s="53" t="n">
        <f aca="false">IF($H36=0,0,IF($AP36="X",0,IF($AP36="S",$H36/$AO36*(MIN($AO36,MAX(0,INT((Lists!K$21-N($J36))/7)+1))-MIN($AO36,MAX(0,INT((Lists!K$22-N($J36))/7)+1))),IF($AP36="D",$H36*MAX(0,MIN(Lists!K$21,N($J36)+$AO36)-MAX(Lists!K$22,N($J36)))/$AO36,IF($AP36="M",$H36/$AO36*(IF(Lists!K$21&lt;$J36,0,MIN($AO36,(((YEAR(Lists!K$21)-YEAR($J36))*12+MONTH(Lists!K$21)-MONTH($J36))-(EDATE($J36,((YEAR(Lists!K$21)-YEAR($J36))*12+MONTH(Lists!K$21)-MONTH($J36)))&gt;Lists!K$21)+1)))-IF(Lists!K$22&lt;$J36,0,MIN($AO36,(((YEAR(Lists!K$22)-YEAR($J36))*12+MONTH(Lists!K$22)-MONTH($J36))-(EDATE($J36,((YEAR(Lists!K$22)-YEAR($J36))*12+MONTH(Lists!K$22)-MONTH($J36)))&gt;Lists!K$22)+1)))),IF($AP36="F",IF(N($K36)&lt;=0,0,MIN(MAX(0,$H36),N($K36)*IF(Lists!K$21&lt;$J36,0,(((YEAR(Lists!K$21)-YEAR($J36))*12+MONTH(Lists!K$21)-MONTH($J36))-(EDATE($J36,((YEAR(Lists!K$21)-YEAR($J36))*12+MONTH(Lists!K$21)-MONTH($J36)))&gt;Lists!K$21)+1)))-MIN(MAX(0,$H36),N($K36)*IF(Lists!K$22&lt;$J36,0,(((YEAR(Lists!K$22)-YEAR($J36))*12+MONTH(Lists!K$22)-MONTH($J36))-(EDATE($J36,((YEAR(Lists!K$22)-YEAR($J36))*12+MONTH(Lists!K$22)-MONTH($J36)))&gt;Lists!K$22)+1)))),N($C36)*IF($AE36-$AD36&lt;1,($AD36&gt;Lists!K$22)*($AD36&lt;=Lists!K$21),MAX(0,MIN(Lists!K$21,$AE36)-MAX(Lists!K$22,$AD36))/($AE36-$AD36))+N($D36)*IF($AG36-$AF36&lt;1,($AF36&gt;Lists!K$22)*($AF36&lt;=Lists!K$21),MAX(0,MIN(Lists!K$21,$AG36)-MAX(Lists!K$22,$AF36))/($AG36-$AF36))+N($E36)*IF($AI36-$AH36&lt;1,($AH36&gt;Lists!K$22)*($AH36&lt;=Lists!K$21),MAX(0,MIN(Lists!K$21,$AI36)-MAX(Lists!K$22,$AH36))/($AI36-$AH36))+N($F36)*IF($AK36-$AJ36&lt;1,($AJ36&gt;Lists!K$22)*($AJ36&lt;=Lists!K$21),MAX(0,MIN(Lists!K$21,$AK36)-MAX(Lists!K$22,$AJ36))/($AK36-$AJ36))+N($G36)*IF($AM36-$AL36&lt;1,($AL36&gt;Lists!K$22)*($AL36&lt;=Lists!K$21),MAX(0,MIN(Lists!K$21,$AM36)-MAX(Lists!K$22,$AL36))/($AM36-$AL36))))))))</f>
        <v>0</v>
      </c>
      <c r="V36" s="53" t="n">
        <f aca="false">IF($H36=0,0,IF($AP36="X",0,IF($AP36="S",$H36/$AO36*(MIN($AO36,MAX(0,INT((Lists!L$21-N($J36))/7)+1))-MIN($AO36,MAX(0,INT((Lists!L$22-N($J36))/7)+1))),IF($AP36="D",$H36*MAX(0,MIN(Lists!L$21,N($J36)+$AO36)-MAX(Lists!L$22,N($J36)))/$AO36,IF($AP36="M",$H36/$AO36*(IF(Lists!L$21&lt;$J36,0,MIN($AO36,(((YEAR(Lists!L$21)-YEAR($J36))*12+MONTH(Lists!L$21)-MONTH($J36))-(EDATE($J36,((YEAR(Lists!L$21)-YEAR($J36))*12+MONTH(Lists!L$21)-MONTH($J36)))&gt;Lists!L$21)+1)))-IF(Lists!L$22&lt;$J36,0,MIN($AO36,(((YEAR(Lists!L$22)-YEAR($J36))*12+MONTH(Lists!L$22)-MONTH($J36))-(EDATE($J36,((YEAR(Lists!L$22)-YEAR($J36))*12+MONTH(Lists!L$22)-MONTH($J36)))&gt;Lists!L$22)+1)))),IF($AP36="F",IF(N($K36)&lt;=0,0,MIN(MAX(0,$H36),N($K36)*IF(Lists!L$21&lt;$J36,0,(((YEAR(Lists!L$21)-YEAR($J36))*12+MONTH(Lists!L$21)-MONTH($J36))-(EDATE($J36,((YEAR(Lists!L$21)-YEAR($J36))*12+MONTH(Lists!L$21)-MONTH($J36)))&gt;Lists!L$21)+1)))-MIN(MAX(0,$H36),N($K36)*IF(Lists!L$22&lt;$J36,0,(((YEAR(Lists!L$22)-YEAR($J36))*12+MONTH(Lists!L$22)-MONTH($J36))-(EDATE($J36,((YEAR(Lists!L$22)-YEAR($J36))*12+MONTH(Lists!L$22)-MONTH($J36)))&gt;Lists!L$22)+1)))),N($C36)*IF($AE36-$AD36&lt;1,($AD36&gt;Lists!L$22)*($AD36&lt;=Lists!L$21),MAX(0,MIN(Lists!L$21,$AE36)-MAX(Lists!L$22,$AD36))/($AE36-$AD36))+N($D36)*IF($AG36-$AF36&lt;1,($AF36&gt;Lists!L$22)*($AF36&lt;=Lists!L$21),MAX(0,MIN(Lists!L$21,$AG36)-MAX(Lists!L$22,$AF36))/($AG36-$AF36))+N($E36)*IF($AI36-$AH36&lt;1,($AH36&gt;Lists!L$22)*($AH36&lt;=Lists!L$21),MAX(0,MIN(Lists!L$21,$AI36)-MAX(Lists!L$22,$AH36))/($AI36-$AH36))+N($F36)*IF($AK36-$AJ36&lt;1,($AJ36&gt;Lists!L$22)*($AJ36&lt;=Lists!L$21),MAX(0,MIN(Lists!L$21,$AK36)-MAX(Lists!L$22,$AJ36))/($AK36-$AJ36))+N($G36)*IF($AM36-$AL36&lt;1,($AL36&gt;Lists!L$22)*($AL36&lt;=Lists!L$21),MAX(0,MIN(Lists!L$21,$AM36)-MAX(Lists!L$22,$AL36))/($AM36-$AL36))))))))</f>
        <v>0</v>
      </c>
      <c r="W36" s="53" t="n">
        <f aca="false">IF($H36=0,0,IF($AP36="X",0,IF($AP36="S",$H36/$AO36*(MIN($AO36,MAX(0,INT((Lists!M$21-N($J36))/7)+1))-MIN($AO36,MAX(0,INT((Lists!M$22-N($J36))/7)+1))),IF($AP36="D",$H36*MAX(0,MIN(Lists!M$21,N($J36)+$AO36)-MAX(Lists!M$22,N($J36)))/$AO36,IF($AP36="M",$H36/$AO36*(IF(Lists!M$21&lt;$J36,0,MIN($AO36,(((YEAR(Lists!M$21)-YEAR($J36))*12+MONTH(Lists!M$21)-MONTH($J36))-(EDATE($J36,((YEAR(Lists!M$21)-YEAR($J36))*12+MONTH(Lists!M$21)-MONTH($J36)))&gt;Lists!M$21)+1)))-IF(Lists!M$22&lt;$J36,0,MIN($AO36,(((YEAR(Lists!M$22)-YEAR($J36))*12+MONTH(Lists!M$22)-MONTH($J36))-(EDATE($J36,((YEAR(Lists!M$22)-YEAR($J36))*12+MONTH(Lists!M$22)-MONTH($J36)))&gt;Lists!M$22)+1)))),IF($AP36="F",IF(N($K36)&lt;=0,0,MIN(MAX(0,$H36),N($K36)*IF(Lists!M$21&lt;$J36,0,(((YEAR(Lists!M$21)-YEAR($J36))*12+MONTH(Lists!M$21)-MONTH($J36))-(EDATE($J36,((YEAR(Lists!M$21)-YEAR($J36))*12+MONTH(Lists!M$21)-MONTH($J36)))&gt;Lists!M$21)+1)))-MIN(MAX(0,$H36),N($K36)*IF(Lists!M$22&lt;$J36,0,(((YEAR(Lists!M$22)-YEAR($J36))*12+MONTH(Lists!M$22)-MONTH($J36))-(EDATE($J36,((YEAR(Lists!M$22)-YEAR($J36))*12+MONTH(Lists!M$22)-MONTH($J36)))&gt;Lists!M$22)+1)))),N($C36)*IF($AE36-$AD36&lt;1,($AD36&gt;Lists!M$22)*($AD36&lt;=Lists!M$21),MAX(0,MIN(Lists!M$21,$AE36)-MAX(Lists!M$22,$AD36))/($AE36-$AD36))+N($D36)*IF($AG36-$AF36&lt;1,($AF36&gt;Lists!M$22)*($AF36&lt;=Lists!M$21),MAX(0,MIN(Lists!M$21,$AG36)-MAX(Lists!M$22,$AF36))/($AG36-$AF36))+N($E36)*IF($AI36-$AH36&lt;1,($AH36&gt;Lists!M$22)*($AH36&lt;=Lists!M$21),MAX(0,MIN(Lists!M$21,$AI36)-MAX(Lists!M$22,$AH36))/($AI36-$AH36))+N($F36)*IF($AK36-$AJ36&lt;1,($AJ36&gt;Lists!M$22)*($AJ36&lt;=Lists!M$21),MAX(0,MIN(Lists!M$21,$AK36)-MAX(Lists!M$22,$AJ36))/($AK36-$AJ36))+N($G36)*IF($AM36-$AL36&lt;1,($AL36&gt;Lists!M$22)*($AL36&lt;=Lists!M$21),MAX(0,MIN(Lists!M$21,$AM36)-MAX(Lists!M$22,$AL36))/($AM36-$AL36))))))))</f>
        <v>0</v>
      </c>
      <c r="X36" s="53" t="n">
        <f aca="false">IF($H36=0,0,IF($AP36="X",0,IF($AP36="S",$H36/$AO36*(MIN($AO36,MAX(0,INT((Lists!N$21-N($J36))/7)+1))-MIN($AO36,MAX(0,INT((Lists!N$22-N($J36))/7)+1))),IF($AP36="D",$H36*MAX(0,MIN(Lists!N$21,N($J36)+$AO36)-MAX(Lists!N$22,N($J36)))/$AO36,IF($AP36="M",$H36/$AO36*(IF(Lists!N$21&lt;$J36,0,MIN($AO36,(((YEAR(Lists!N$21)-YEAR($J36))*12+MONTH(Lists!N$21)-MONTH($J36))-(EDATE($J36,((YEAR(Lists!N$21)-YEAR($J36))*12+MONTH(Lists!N$21)-MONTH($J36)))&gt;Lists!N$21)+1)))-IF(Lists!N$22&lt;$J36,0,MIN($AO36,(((YEAR(Lists!N$22)-YEAR($J36))*12+MONTH(Lists!N$22)-MONTH($J36))-(EDATE($J36,((YEAR(Lists!N$22)-YEAR($J36))*12+MONTH(Lists!N$22)-MONTH($J36)))&gt;Lists!N$22)+1)))),IF($AP36="F",IF(N($K36)&lt;=0,0,MIN(MAX(0,$H36),N($K36)*IF(Lists!N$21&lt;$J36,0,(((YEAR(Lists!N$21)-YEAR($J36))*12+MONTH(Lists!N$21)-MONTH($J36))-(EDATE($J36,((YEAR(Lists!N$21)-YEAR($J36))*12+MONTH(Lists!N$21)-MONTH($J36)))&gt;Lists!N$21)+1)))-MIN(MAX(0,$H36),N($K36)*IF(Lists!N$22&lt;$J36,0,(((YEAR(Lists!N$22)-YEAR($J36))*12+MONTH(Lists!N$22)-MONTH($J36))-(EDATE($J36,((YEAR(Lists!N$22)-YEAR($J36))*12+MONTH(Lists!N$22)-MONTH($J36)))&gt;Lists!N$22)+1)))),N($C36)*IF($AE36-$AD36&lt;1,($AD36&gt;Lists!N$22)*($AD36&lt;=Lists!N$21),MAX(0,MIN(Lists!N$21,$AE36)-MAX(Lists!N$22,$AD36))/($AE36-$AD36))+N($D36)*IF($AG36-$AF36&lt;1,($AF36&gt;Lists!N$22)*($AF36&lt;=Lists!N$21),MAX(0,MIN(Lists!N$21,$AG36)-MAX(Lists!N$22,$AF36))/($AG36-$AF36))+N($E36)*IF($AI36-$AH36&lt;1,($AH36&gt;Lists!N$22)*($AH36&lt;=Lists!N$21),MAX(0,MIN(Lists!N$21,$AI36)-MAX(Lists!N$22,$AH36))/($AI36-$AH36))+N($F36)*IF($AK36-$AJ36&lt;1,($AJ36&gt;Lists!N$22)*($AJ36&lt;=Lists!N$21),MAX(0,MIN(Lists!N$21,$AK36)-MAX(Lists!N$22,$AJ36))/($AK36-$AJ36))+N($G36)*IF($AM36-$AL36&lt;1,($AL36&gt;Lists!N$22)*($AL36&lt;=Lists!N$21),MAX(0,MIN(Lists!N$21,$AM36)-MAX(Lists!N$22,$AL36))/($AM36-$AL36))))))))</f>
        <v>0</v>
      </c>
      <c r="Y36" s="53" t="n">
        <f aca="false">IF($H36=0,0,IF($AP36="X",0,IF($AP36="S",$H36/$AO36*(MIN($AO36,MAX(0,INT((Lists!O$21-N($J36))/7)+1))-MIN($AO36,MAX(0,INT((Lists!O$22-N($J36))/7)+1))),IF($AP36="D",$H36*MAX(0,MIN(Lists!O$21,N($J36)+$AO36)-MAX(Lists!O$22,N($J36)))/$AO36,IF($AP36="M",$H36/$AO36*(IF(Lists!O$21&lt;$J36,0,MIN($AO36,(((YEAR(Lists!O$21)-YEAR($J36))*12+MONTH(Lists!O$21)-MONTH($J36))-(EDATE($J36,((YEAR(Lists!O$21)-YEAR($J36))*12+MONTH(Lists!O$21)-MONTH($J36)))&gt;Lists!O$21)+1)))-IF(Lists!O$22&lt;$J36,0,MIN($AO36,(((YEAR(Lists!O$22)-YEAR($J36))*12+MONTH(Lists!O$22)-MONTH($J36))-(EDATE($J36,((YEAR(Lists!O$22)-YEAR($J36))*12+MONTH(Lists!O$22)-MONTH($J36)))&gt;Lists!O$22)+1)))),IF($AP36="F",IF(N($K36)&lt;=0,0,MIN(MAX(0,$H36),N($K36)*IF(Lists!O$21&lt;$J36,0,(((YEAR(Lists!O$21)-YEAR($J36))*12+MONTH(Lists!O$21)-MONTH($J36))-(EDATE($J36,((YEAR(Lists!O$21)-YEAR($J36))*12+MONTH(Lists!O$21)-MONTH($J36)))&gt;Lists!O$21)+1)))-MIN(MAX(0,$H36),N($K36)*IF(Lists!O$22&lt;$J36,0,(((YEAR(Lists!O$22)-YEAR($J36))*12+MONTH(Lists!O$22)-MONTH($J36))-(EDATE($J36,((YEAR(Lists!O$22)-YEAR($J36))*12+MONTH(Lists!O$22)-MONTH($J36)))&gt;Lists!O$22)+1)))),N($C36)*IF($AE36-$AD36&lt;1,($AD36&gt;Lists!O$22)*($AD36&lt;=Lists!O$21),MAX(0,MIN(Lists!O$21,$AE36)-MAX(Lists!O$22,$AD36))/($AE36-$AD36))+N($D36)*IF($AG36-$AF36&lt;1,($AF36&gt;Lists!O$22)*($AF36&lt;=Lists!O$21),MAX(0,MIN(Lists!O$21,$AG36)-MAX(Lists!O$22,$AF36))/($AG36-$AF36))+N($E36)*IF($AI36-$AH36&lt;1,($AH36&gt;Lists!O$22)*($AH36&lt;=Lists!O$21),MAX(0,MIN(Lists!O$21,$AI36)-MAX(Lists!O$22,$AH36))/($AI36-$AH36))+N($F36)*IF($AK36-$AJ36&lt;1,($AJ36&gt;Lists!O$22)*($AJ36&lt;=Lists!O$21),MAX(0,MIN(Lists!O$21,$AK36)-MAX(Lists!O$22,$AJ36))/($AK36-$AJ36))+N($G36)*IF($AM36-$AL36&lt;1,($AL36&gt;Lists!O$22)*($AL36&lt;=Lists!O$21),MAX(0,MIN(Lists!O$21,$AM36)-MAX(Lists!O$22,$AL36))/($AM36-$AL36))))))))</f>
        <v>0</v>
      </c>
      <c r="Z36" s="46" t="n">
        <f aca="false">SUM(M36:Y36)</f>
        <v>0</v>
      </c>
      <c r="AA36" s="92" t="n">
        <f aca="false">H36-Z36</f>
        <v>0</v>
      </c>
      <c r="AB36" s="55"/>
      <c r="AC36" s="2"/>
      <c r="AD36" s="93" t="n">
        <f aca="false">Setup!$D$10+MAX(0,$AN36-30)</f>
        <v>46345</v>
      </c>
      <c r="AE36" s="93" t="n">
        <f aca="false">Setup!$D$10+IF($AN36-30&lt;0,MAX(Setup!$D$22,$AN36-0),$AN36-0)</f>
        <v>46375</v>
      </c>
      <c r="AF36" s="93" t="n">
        <f aca="false">Setup!$D$10+MAX(0,$AN36-60)</f>
        <v>46335</v>
      </c>
      <c r="AG36" s="93" t="n">
        <f aca="false">Setup!$D$10+IF($AN36-60&lt;0,MAX(Setup!$D$22,$AN36-31),$AN36-31)</f>
        <v>46363</v>
      </c>
      <c r="AH36" s="93" t="n">
        <f aca="false">Setup!$D$10+MAX(0,$AN36-90)</f>
        <v>46335</v>
      </c>
      <c r="AI36" s="93" t="n">
        <f aca="false">Setup!$D$10+IF($AN36-90&lt;0,MAX(Setup!$D$22,$AN36-61),$AN36-61)</f>
        <v>46363</v>
      </c>
      <c r="AJ36" s="93" t="n">
        <f aca="false">Setup!$D$10+MAX(0,$AN36-120)</f>
        <v>46335</v>
      </c>
      <c r="AK36" s="93" t="n">
        <f aca="false">Setup!$D$10+IF($AN36-120&lt;0,MAX(Setup!$D$22,$AN36-91),$AN36-91)</f>
        <v>46363</v>
      </c>
      <c r="AL36" s="93" t="n">
        <f aca="false">Setup!$D$10</f>
        <v>46335</v>
      </c>
      <c r="AM36" s="93" t="n">
        <f aca="false">IF(AL36=2958465,AL36,Setup!$D$10+Setup!$D$22)</f>
        <v>46363</v>
      </c>
      <c r="AN36" s="94" t="n">
        <f aca="false">IF(N(L36)=0,Setup!$D$21,L36)</f>
        <v>40</v>
      </c>
      <c r="AO36" s="94" t="n">
        <f aca="false">MAX(1,ROUND(N(K36),0))</f>
        <v>1</v>
      </c>
      <c r="AP36" s="95" t="str">
        <f aca="false">IF(I36="On hold","X",IF(N(J36)=0,"A",IF(I36="Specific date","S",IF(I36="Spread over days","D",IF(I36="Monthly on set day","M",IF(I36="Monthly fixed amount","F","A"))))))</f>
        <v>A</v>
      </c>
    </row>
    <row r="37" customFormat="false" ht="15" hidden="false" customHeight="false" outlineLevel="0" collapsed="false">
      <c r="A37" s="87" t="n">
        <v>29</v>
      </c>
      <c r="B37" s="55"/>
      <c r="C37" s="88"/>
      <c r="D37" s="88"/>
      <c r="E37" s="88"/>
      <c r="F37" s="88"/>
      <c r="G37" s="88"/>
      <c r="H37" s="89" t="n">
        <f aca="false">SUM(C37:G37)</f>
        <v>0</v>
      </c>
      <c r="I37" s="58"/>
      <c r="J37" s="90"/>
      <c r="K37" s="91"/>
      <c r="L37" s="80"/>
      <c r="M37" s="53" t="n">
        <f aca="false">IF($H37=0,0,IF($AP37="X",0,IF($AP37="S",$H37/$AO37*(MIN($AO37,MAX(0,INT((Lists!C$21-N($J37))/7)+1))-MIN($AO37,MAX(0,INT((Lists!C$22-N($J37))/7)+1))),IF($AP37="D",$H37*MAX(0,MIN(Lists!C$21,N($J37)+$AO37)-MAX(Lists!C$22,N($J37)))/$AO37,IF($AP37="M",$H37/$AO37*(IF(Lists!C$21&lt;$J37,0,MIN($AO37,(((YEAR(Lists!C$21)-YEAR($J37))*12+MONTH(Lists!C$21)-MONTH($J37))-(EDATE($J37,((YEAR(Lists!C$21)-YEAR($J37))*12+MONTH(Lists!C$21)-MONTH($J37)))&gt;Lists!C$21)+1)))-IF(Lists!C$22&lt;$J37,0,MIN($AO37,(((YEAR(Lists!C$22)-YEAR($J37))*12+MONTH(Lists!C$22)-MONTH($J37))-(EDATE($J37,((YEAR(Lists!C$22)-YEAR($J37))*12+MONTH(Lists!C$22)-MONTH($J37)))&gt;Lists!C$22)+1)))),IF($AP37="F",IF(N($K37)&lt;=0,0,MIN(MAX(0,$H37),N($K37)*IF(Lists!C$21&lt;$J37,0,(((YEAR(Lists!C$21)-YEAR($J37))*12+MONTH(Lists!C$21)-MONTH($J37))-(EDATE($J37,((YEAR(Lists!C$21)-YEAR($J37))*12+MONTH(Lists!C$21)-MONTH($J37)))&gt;Lists!C$21)+1)))-MIN(MAX(0,$H37),N($K37)*IF(Lists!C$22&lt;$J37,0,(((YEAR(Lists!C$22)-YEAR($J37))*12+MONTH(Lists!C$22)-MONTH($J37))-(EDATE($J37,((YEAR(Lists!C$22)-YEAR($J37))*12+MONTH(Lists!C$22)-MONTH($J37)))&gt;Lists!C$22)+1)))),N($C37)*IF($AE37-$AD37&lt;1,($AD37&gt;Lists!C$22)*($AD37&lt;=Lists!C$21),MAX(0,MIN(Lists!C$21,$AE37)-MAX(Lists!C$22,$AD37))/($AE37-$AD37))+N($D37)*IF($AG37-$AF37&lt;1,($AF37&gt;Lists!C$22)*($AF37&lt;=Lists!C$21),MAX(0,MIN(Lists!C$21,$AG37)-MAX(Lists!C$22,$AF37))/($AG37-$AF37))+N($E37)*IF($AI37-$AH37&lt;1,($AH37&gt;Lists!C$22)*($AH37&lt;=Lists!C$21),MAX(0,MIN(Lists!C$21,$AI37)-MAX(Lists!C$22,$AH37))/($AI37-$AH37))+N($F37)*IF($AK37-$AJ37&lt;1,($AJ37&gt;Lists!C$22)*($AJ37&lt;=Lists!C$21),MAX(0,MIN(Lists!C$21,$AK37)-MAX(Lists!C$22,$AJ37))/($AK37-$AJ37))+N($G37)*IF($AM37-$AL37&lt;1,($AL37&gt;Lists!C$22)*($AL37&lt;=Lists!C$21),MAX(0,MIN(Lists!C$21,$AM37)-MAX(Lists!C$22,$AL37))/($AM37-$AL37))))))))</f>
        <v>0</v>
      </c>
      <c r="N37" s="53" t="n">
        <f aca="false">IF($H37=0,0,IF($AP37="X",0,IF($AP37="S",$H37/$AO37*(MIN($AO37,MAX(0,INT((Lists!D$21-N($J37))/7)+1))-MIN($AO37,MAX(0,INT((Lists!D$22-N($J37))/7)+1))),IF($AP37="D",$H37*MAX(0,MIN(Lists!D$21,N($J37)+$AO37)-MAX(Lists!D$22,N($J37)))/$AO37,IF($AP37="M",$H37/$AO37*(IF(Lists!D$21&lt;$J37,0,MIN($AO37,(((YEAR(Lists!D$21)-YEAR($J37))*12+MONTH(Lists!D$21)-MONTH($J37))-(EDATE($J37,((YEAR(Lists!D$21)-YEAR($J37))*12+MONTH(Lists!D$21)-MONTH($J37)))&gt;Lists!D$21)+1)))-IF(Lists!D$22&lt;$J37,0,MIN($AO37,(((YEAR(Lists!D$22)-YEAR($J37))*12+MONTH(Lists!D$22)-MONTH($J37))-(EDATE($J37,((YEAR(Lists!D$22)-YEAR($J37))*12+MONTH(Lists!D$22)-MONTH($J37)))&gt;Lists!D$22)+1)))),IF($AP37="F",IF(N($K37)&lt;=0,0,MIN(MAX(0,$H37),N($K37)*IF(Lists!D$21&lt;$J37,0,(((YEAR(Lists!D$21)-YEAR($J37))*12+MONTH(Lists!D$21)-MONTH($J37))-(EDATE($J37,((YEAR(Lists!D$21)-YEAR($J37))*12+MONTH(Lists!D$21)-MONTH($J37)))&gt;Lists!D$21)+1)))-MIN(MAX(0,$H37),N($K37)*IF(Lists!D$22&lt;$J37,0,(((YEAR(Lists!D$22)-YEAR($J37))*12+MONTH(Lists!D$22)-MONTH($J37))-(EDATE($J37,((YEAR(Lists!D$22)-YEAR($J37))*12+MONTH(Lists!D$22)-MONTH($J37)))&gt;Lists!D$22)+1)))),N($C37)*IF($AE37-$AD37&lt;1,($AD37&gt;Lists!D$22)*($AD37&lt;=Lists!D$21),MAX(0,MIN(Lists!D$21,$AE37)-MAX(Lists!D$22,$AD37))/($AE37-$AD37))+N($D37)*IF($AG37-$AF37&lt;1,($AF37&gt;Lists!D$22)*($AF37&lt;=Lists!D$21),MAX(0,MIN(Lists!D$21,$AG37)-MAX(Lists!D$22,$AF37))/($AG37-$AF37))+N($E37)*IF($AI37-$AH37&lt;1,($AH37&gt;Lists!D$22)*($AH37&lt;=Lists!D$21),MAX(0,MIN(Lists!D$21,$AI37)-MAX(Lists!D$22,$AH37))/($AI37-$AH37))+N($F37)*IF($AK37-$AJ37&lt;1,($AJ37&gt;Lists!D$22)*($AJ37&lt;=Lists!D$21),MAX(0,MIN(Lists!D$21,$AK37)-MAX(Lists!D$22,$AJ37))/($AK37-$AJ37))+N($G37)*IF($AM37-$AL37&lt;1,($AL37&gt;Lists!D$22)*($AL37&lt;=Lists!D$21),MAX(0,MIN(Lists!D$21,$AM37)-MAX(Lists!D$22,$AL37))/($AM37-$AL37))))))))</f>
        <v>0</v>
      </c>
      <c r="O37" s="53" t="n">
        <f aca="false">IF($H37=0,0,IF($AP37="X",0,IF($AP37="S",$H37/$AO37*(MIN($AO37,MAX(0,INT((Lists!E$21-N($J37))/7)+1))-MIN($AO37,MAX(0,INT((Lists!E$22-N($J37))/7)+1))),IF($AP37="D",$H37*MAX(0,MIN(Lists!E$21,N($J37)+$AO37)-MAX(Lists!E$22,N($J37)))/$AO37,IF($AP37="M",$H37/$AO37*(IF(Lists!E$21&lt;$J37,0,MIN($AO37,(((YEAR(Lists!E$21)-YEAR($J37))*12+MONTH(Lists!E$21)-MONTH($J37))-(EDATE($J37,((YEAR(Lists!E$21)-YEAR($J37))*12+MONTH(Lists!E$21)-MONTH($J37)))&gt;Lists!E$21)+1)))-IF(Lists!E$22&lt;$J37,0,MIN($AO37,(((YEAR(Lists!E$22)-YEAR($J37))*12+MONTH(Lists!E$22)-MONTH($J37))-(EDATE($J37,((YEAR(Lists!E$22)-YEAR($J37))*12+MONTH(Lists!E$22)-MONTH($J37)))&gt;Lists!E$22)+1)))),IF($AP37="F",IF(N($K37)&lt;=0,0,MIN(MAX(0,$H37),N($K37)*IF(Lists!E$21&lt;$J37,0,(((YEAR(Lists!E$21)-YEAR($J37))*12+MONTH(Lists!E$21)-MONTH($J37))-(EDATE($J37,((YEAR(Lists!E$21)-YEAR($J37))*12+MONTH(Lists!E$21)-MONTH($J37)))&gt;Lists!E$21)+1)))-MIN(MAX(0,$H37),N($K37)*IF(Lists!E$22&lt;$J37,0,(((YEAR(Lists!E$22)-YEAR($J37))*12+MONTH(Lists!E$22)-MONTH($J37))-(EDATE($J37,((YEAR(Lists!E$22)-YEAR($J37))*12+MONTH(Lists!E$22)-MONTH($J37)))&gt;Lists!E$22)+1)))),N($C37)*IF($AE37-$AD37&lt;1,($AD37&gt;Lists!E$22)*($AD37&lt;=Lists!E$21),MAX(0,MIN(Lists!E$21,$AE37)-MAX(Lists!E$22,$AD37))/($AE37-$AD37))+N($D37)*IF($AG37-$AF37&lt;1,($AF37&gt;Lists!E$22)*($AF37&lt;=Lists!E$21),MAX(0,MIN(Lists!E$21,$AG37)-MAX(Lists!E$22,$AF37))/($AG37-$AF37))+N($E37)*IF($AI37-$AH37&lt;1,($AH37&gt;Lists!E$22)*($AH37&lt;=Lists!E$21),MAX(0,MIN(Lists!E$21,$AI37)-MAX(Lists!E$22,$AH37))/($AI37-$AH37))+N($F37)*IF($AK37-$AJ37&lt;1,($AJ37&gt;Lists!E$22)*($AJ37&lt;=Lists!E$21),MAX(0,MIN(Lists!E$21,$AK37)-MAX(Lists!E$22,$AJ37))/($AK37-$AJ37))+N($G37)*IF($AM37-$AL37&lt;1,($AL37&gt;Lists!E$22)*($AL37&lt;=Lists!E$21),MAX(0,MIN(Lists!E$21,$AM37)-MAX(Lists!E$22,$AL37))/($AM37-$AL37))))))))</f>
        <v>0</v>
      </c>
      <c r="P37" s="53" t="n">
        <f aca="false">IF($H37=0,0,IF($AP37="X",0,IF($AP37="S",$H37/$AO37*(MIN($AO37,MAX(0,INT((Lists!F$21-N($J37))/7)+1))-MIN($AO37,MAX(0,INT((Lists!F$22-N($J37))/7)+1))),IF($AP37="D",$H37*MAX(0,MIN(Lists!F$21,N($J37)+$AO37)-MAX(Lists!F$22,N($J37)))/$AO37,IF($AP37="M",$H37/$AO37*(IF(Lists!F$21&lt;$J37,0,MIN($AO37,(((YEAR(Lists!F$21)-YEAR($J37))*12+MONTH(Lists!F$21)-MONTH($J37))-(EDATE($J37,((YEAR(Lists!F$21)-YEAR($J37))*12+MONTH(Lists!F$21)-MONTH($J37)))&gt;Lists!F$21)+1)))-IF(Lists!F$22&lt;$J37,0,MIN($AO37,(((YEAR(Lists!F$22)-YEAR($J37))*12+MONTH(Lists!F$22)-MONTH($J37))-(EDATE($J37,((YEAR(Lists!F$22)-YEAR($J37))*12+MONTH(Lists!F$22)-MONTH($J37)))&gt;Lists!F$22)+1)))),IF($AP37="F",IF(N($K37)&lt;=0,0,MIN(MAX(0,$H37),N($K37)*IF(Lists!F$21&lt;$J37,0,(((YEAR(Lists!F$21)-YEAR($J37))*12+MONTH(Lists!F$21)-MONTH($J37))-(EDATE($J37,((YEAR(Lists!F$21)-YEAR($J37))*12+MONTH(Lists!F$21)-MONTH($J37)))&gt;Lists!F$21)+1)))-MIN(MAX(0,$H37),N($K37)*IF(Lists!F$22&lt;$J37,0,(((YEAR(Lists!F$22)-YEAR($J37))*12+MONTH(Lists!F$22)-MONTH($J37))-(EDATE($J37,((YEAR(Lists!F$22)-YEAR($J37))*12+MONTH(Lists!F$22)-MONTH($J37)))&gt;Lists!F$22)+1)))),N($C37)*IF($AE37-$AD37&lt;1,($AD37&gt;Lists!F$22)*($AD37&lt;=Lists!F$21),MAX(0,MIN(Lists!F$21,$AE37)-MAX(Lists!F$22,$AD37))/($AE37-$AD37))+N($D37)*IF($AG37-$AF37&lt;1,($AF37&gt;Lists!F$22)*($AF37&lt;=Lists!F$21),MAX(0,MIN(Lists!F$21,$AG37)-MAX(Lists!F$22,$AF37))/($AG37-$AF37))+N($E37)*IF($AI37-$AH37&lt;1,($AH37&gt;Lists!F$22)*($AH37&lt;=Lists!F$21),MAX(0,MIN(Lists!F$21,$AI37)-MAX(Lists!F$22,$AH37))/($AI37-$AH37))+N($F37)*IF($AK37-$AJ37&lt;1,($AJ37&gt;Lists!F$22)*($AJ37&lt;=Lists!F$21),MAX(0,MIN(Lists!F$21,$AK37)-MAX(Lists!F$22,$AJ37))/($AK37-$AJ37))+N($G37)*IF($AM37-$AL37&lt;1,($AL37&gt;Lists!F$22)*($AL37&lt;=Lists!F$21),MAX(0,MIN(Lists!F$21,$AM37)-MAX(Lists!F$22,$AL37))/($AM37-$AL37))))))))</f>
        <v>0</v>
      </c>
      <c r="Q37" s="53" t="n">
        <f aca="false">IF($H37=0,0,IF($AP37="X",0,IF($AP37="S",$H37/$AO37*(MIN($AO37,MAX(0,INT((Lists!G$21-N($J37))/7)+1))-MIN($AO37,MAX(0,INT((Lists!G$22-N($J37))/7)+1))),IF($AP37="D",$H37*MAX(0,MIN(Lists!G$21,N($J37)+$AO37)-MAX(Lists!G$22,N($J37)))/$AO37,IF($AP37="M",$H37/$AO37*(IF(Lists!G$21&lt;$J37,0,MIN($AO37,(((YEAR(Lists!G$21)-YEAR($J37))*12+MONTH(Lists!G$21)-MONTH($J37))-(EDATE($J37,((YEAR(Lists!G$21)-YEAR($J37))*12+MONTH(Lists!G$21)-MONTH($J37)))&gt;Lists!G$21)+1)))-IF(Lists!G$22&lt;$J37,0,MIN($AO37,(((YEAR(Lists!G$22)-YEAR($J37))*12+MONTH(Lists!G$22)-MONTH($J37))-(EDATE($J37,((YEAR(Lists!G$22)-YEAR($J37))*12+MONTH(Lists!G$22)-MONTH($J37)))&gt;Lists!G$22)+1)))),IF($AP37="F",IF(N($K37)&lt;=0,0,MIN(MAX(0,$H37),N($K37)*IF(Lists!G$21&lt;$J37,0,(((YEAR(Lists!G$21)-YEAR($J37))*12+MONTH(Lists!G$21)-MONTH($J37))-(EDATE($J37,((YEAR(Lists!G$21)-YEAR($J37))*12+MONTH(Lists!G$21)-MONTH($J37)))&gt;Lists!G$21)+1)))-MIN(MAX(0,$H37),N($K37)*IF(Lists!G$22&lt;$J37,0,(((YEAR(Lists!G$22)-YEAR($J37))*12+MONTH(Lists!G$22)-MONTH($J37))-(EDATE($J37,((YEAR(Lists!G$22)-YEAR($J37))*12+MONTH(Lists!G$22)-MONTH($J37)))&gt;Lists!G$22)+1)))),N($C37)*IF($AE37-$AD37&lt;1,($AD37&gt;Lists!G$22)*($AD37&lt;=Lists!G$21),MAX(0,MIN(Lists!G$21,$AE37)-MAX(Lists!G$22,$AD37))/($AE37-$AD37))+N($D37)*IF($AG37-$AF37&lt;1,($AF37&gt;Lists!G$22)*($AF37&lt;=Lists!G$21),MAX(0,MIN(Lists!G$21,$AG37)-MAX(Lists!G$22,$AF37))/($AG37-$AF37))+N($E37)*IF($AI37-$AH37&lt;1,($AH37&gt;Lists!G$22)*($AH37&lt;=Lists!G$21),MAX(0,MIN(Lists!G$21,$AI37)-MAX(Lists!G$22,$AH37))/($AI37-$AH37))+N($F37)*IF($AK37-$AJ37&lt;1,($AJ37&gt;Lists!G$22)*($AJ37&lt;=Lists!G$21),MAX(0,MIN(Lists!G$21,$AK37)-MAX(Lists!G$22,$AJ37))/($AK37-$AJ37))+N($G37)*IF($AM37-$AL37&lt;1,($AL37&gt;Lists!G$22)*($AL37&lt;=Lists!G$21),MAX(0,MIN(Lists!G$21,$AM37)-MAX(Lists!G$22,$AL37))/($AM37-$AL37))))))))</f>
        <v>0</v>
      </c>
      <c r="R37" s="53" t="n">
        <f aca="false">IF($H37=0,0,IF($AP37="X",0,IF($AP37="S",$H37/$AO37*(MIN($AO37,MAX(0,INT((Lists!H$21-N($J37))/7)+1))-MIN($AO37,MAX(0,INT((Lists!H$22-N($J37))/7)+1))),IF($AP37="D",$H37*MAX(0,MIN(Lists!H$21,N($J37)+$AO37)-MAX(Lists!H$22,N($J37)))/$AO37,IF($AP37="M",$H37/$AO37*(IF(Lists!H$21&lt;$J37,0,MIN($AO37,(((YEAR(Lists!H$21)-YEAR($J37))*12+MONTH(Lists!H$21)-MONTH($J37))-(EDATE($J37,((YEAR(Lists!H$21)-YEAR($J37))*12+MONTH(Lists!H$21)-MONTH($J37)))&gt;Lists!H$21)+1)))-IF(Lists!H$22&lt;$J37,0,MIN($AO37,(((YEAR(Lists!H$22)-YEAR($J37))*12+MONTH(Lists!H$22)-MONTH($J37))-(EDATE($J37,((YEAR(Lists!H$22)-YEAR($J37))*12+MONTH(Lists!H$22)-MONTH($J37)))&gt;Lists!H$22)+1)))),IF($AP37="F",IF(N($K37)&lt;=0,0,MIN(MAX(0,$H37),N($K37)*IF(Lists!H$21&lt;$J37,0,(((YEAR(Lists!H$21)-YEAR($J37))*12+MONTH(Lists!H$21)-MONTH($J37))-(EDATE($J37,((YEAR(Lists!H$21)-YEAR($J37))*12+MONTH(Lists!H$21)-MONTH($J37)))&gt;Lists!H$21)+1)))-MIN(MAX(0,$H37),N($K37)*IF(Lists!H$22&lt;$J37,0,(((YEAR(Lists!H$22)-YEAR($J37))*12+MONTH(Lists!H$22)-MONTH($J37))-(EDATE($J37,((YEAR(Lists!H$22)-YEAR($J37))*12+MONTH(Lists!H$22)-MONTH($J37)))&gt;Lists!H$22)+1)))),N($C37)*IF($AE37-$AD37&lt;1,($AD37&gt;Lists!H$22)*($AD37&lt;=Lists!H$21),MAX(0,MIN(Lists!H$21,$AE37)-MAX(Lists!H$22,$AD37))/($AE37-$AD37))+N($D37)*IF($AG37-$AF37&lt;1,($AF37&gt;Lists!H$22)*($AF37&lt;=Lists!H$21),MAX(0,MIN(Lists!H$21,$AG37)-MAX(Lists!H$22,$AF37))/($AG37-$AF37))+N($E37)*IF($AI37-$AH37&lt;1,($AH37&gt;Lists!H$22)*($AH37&lt;=Lists!H$21),MAX(0,MIN(Lists!H$21,$AI37)-MAX(Lists!H$22,$AH37))/($AI37-$AH37))+N($F37)*IF($AK37-$AJ37&lt;1,($AJ37&gt;Lists!H$22)*($AJ37&lt;=Lists!H$21),MAX(0,MIN(Lists!H$21,$AK37)-MAX(Lists!H$22,$AJ37))/($AK37-$AJ37))+N($G37)*IF($AM37-$AL37&lt;1,($AL37&gt;Lists!H$22)*($AL37&lt;=Lists!H$21),MAX(0,MIN(Lists!H$21,$AM37)-MAX(Lists!H$22,$AL37))/($AM37-$AL37))))))))</f>
        <v>0</v>
      </c>
      <c r="S37" s="53" t="n">
        <f aca="false">IF($H37=0,0,IF($AP37="X",0,IF($AP37="S",$H37/$AO37*(MIN($AO37,MAX(0,INT((Lists!I$21-N($J37))/7)+1))-MIN($AO37,MAX(0,INT((Lists!I$22-N($J37))/7)+1))),IF($AP37="D",$H37*MAX(0,MIN(Lists!I$21,N($J37)+$AO37)-MAX(Lists!I$22,N($J37)))/$AO37,IF($AP37="M",$H37/$AO37*(IF(Lists!I$21&lt;$J37,0,MIN($AO37,(((YEAR(Lists!I$21)-YEAR($J37))*12+MONTH(Lists!I$21)-MONTH($J37))-(EDATE($J37,((YEAR(Lists!I$21)-YEAR($J37))*12+MONTH(Lists!I$21)-MONTH($J37)))&gt;Lists!I$21)+1)))-IF(Lists!I$22&lt;$J37,0,MIN($AO37,(((YEAR(Lists!I$22)-YEAR($J37))*12+MONTH(Lists!I$22)-MONTH($J37))-(EDATE($J37,((YEAR(Lists!I$22)-YEAR($J37))*12+MONTH(Lists!I$22)-MONTH($J37)))&gt;Lists!I$22)+1)))),IF($AP37="F",IF(N($K37)&lt;=0,0,MIN(MAX(0,$H37),N($K37)*IF(Lists!I$21&lt;$J37,0,(((YEAR(Lists!I$21)-YEAR($J37))*12+MONTH(Lists!I$21)-MONTH($J37))-(EDATE($J37,((YEAR(Lists!I$21)-YEAR($J37))*12+MONTH(Lists!I$21)-MONTH($J37)))&gt;Lists!I$21)+1)))-MIN(MAX(0,$H37),N($K37)*IF(Lists!I$22&lt;$J37,0,(((YEAR(Lists!I$22)-YEAR($J37))*12+MONTH(Lists!I$22)-MONTH($J37))-(EDATE($J37,((YEAR(Lists!I$22)-YEAR($J37))*12+MONTH(Lists!I$22)-MONTH($J37)))&gt;Lists!I$22)+1)))),N($C37)*IF($AE37-$AD37&lt;1,($AD37&gt;Lists!I$22)*($AD37&lt;=Lists!I$21),MAX(0,MIN(Lists!I$21,$AE37)-MAX(Lists!I$22,$AD37))/($AE37-$AD37))+N($D37)*IF($AG37-$AF37&lt;1,($AF37&gt;Lists!I$22)*($AF37&lt;=Lists!I$21),MAX(0,MIN(Lists!I$21,$AG37)-MAX(Lists!I$22,$AF37))/($AG37-$AF37))+N($E37)*IF($AI37-$AH37&lt;1,($AH37&gt;Lists!I$22)*($AH37&lt;=Lists!I$21),MAX(0,MIN(Lists!I$21,$AI37)-MAX(Lists!I$22,$AH37))/($AI37-$AH37))+N($F37)*IF($AK37-$AJ37&lt;1,($AJ37&gt;Lists!I$22)*($AJ37&lt;=Lists!I$21),MAX(0,MIN(Lists!I$21,$AK37)-MAX(Lists!I$22,$AJ37))/($AK37-$AJ37))+N($G37)*IF($AM37-$AL37&lt;1,($AL37&gt;Lists!I$22)*($AL37&lt;=Lists!I$21),MAX(0,MIN(Lists!I$21,$AM37)-MAX(Lists!I$22,$AL37))/($AM37-$AL37))))))))</f>
        <v>0</v>
      </c>
      <c r="T37" s="53" t="n">
        <f aca="false">IF($H37=0,0,IF($AP37="X",0,IF($AP37="S",$H37/$AO37*(MIN($AO37,MAX(0,INT((Lists!J$21-N($J37))/7)+1))-MIN($AO37,MAX(0,INT((Lists!J$22-N($J37))/7)+1))),IF($AP37="D",$H37*MAX(0,MIN(Lists!J$21,N($J37)+$AO37)-MAX(Lists!J$22,N($J37)))/$AO37,IF($AP37="M",$H37/$AO37*(IF(Lists!J$21&lt;$J37,0,MIN($AO37,(((YEAR(Lists!J$21)-YEAR($J37))*12+MONTH(Lists!J$21)-MONTH($J37))-(EDATE($J37,((YEAR(Lists!J$21)-YEAR($J37))*12+MONTH(Lists!J$21)-MONTH($J37)))&gt;Lists!J$21)+1)))-IF(Lists!J$22&lt;$J37,0,MIN($AO37,(((YEAR(Lists!J$22)-YEAR($J37))*12+MONTH(Lists!J$22)-MONTH($J37))-(EDATE($J37,((YEAR(Lists!J$22)-YEAR($J37))*12+MONTH(Lists!J$22)-MONTH($J37)))&gt;Lists!J$22)+1)))),IF($AP37="F",IF(N($K37)&lt;=0,0,MIN(MAX(0,$H37),N($K37)*IF(Lists!J$21&lt;$J37,0,(((YEAR(Lists!J$21)-YEAR($J37))*12+MONTH(Lists!J$21)-MONTH($J37))-(EDATE($J37,((YEAR(Lists!J$21)-YEAR($J37))*12+MONTH(Lists!J$21)-MONTH($J37)))&gt;Lists!J$21)+1)))-MIN(MAX(0,$H37),N($K37)*IF(Lists!J$22&lt;$J37,0,(((YEAR(Lists!J$22)-YEAR($J37))*12+MONTH(Lists!J$22)-MONTH($J37))-(EDATE($J37,((YEAR(Lists!J$22)-YEAR($J37))*12+MONTH(Lists!J$22)-MONTH($J37)))&gt;Lists!J$22)+1)))),N($C37)*IF($AE37-$AD37&lt;1,($AD37&gt;Lists!J$22)*($AD37&lt;=Lists!J$21),MAX(0,MIN(Lists!J$21,$AE37)-MAX(Lists!J$22,$AD37))/($AE37-$AD37))+N($D37)*IF($AG37-$AF37&lt;1,($AF37&gt;Lists!J$22)*($AF37&lt;=Lists!J$21),MAX(0,MIN(Lists!J$21,$AG37)-MAX(Lists!J$22,$AF37))/($AG37-$AF37))+N($E37)*IF($AI37-$AH37&lt;1,($AH37&gt;Lists!J$22)*($AH37&lt;=Lists!J$21),MAX(0,MIN(Lists!J$21,$AI37)-MAX(Lists!J$22,$AH37))/($AI37-$AH37))+N($F37)*IF($AK37-$AJ37&lt;1,($AJ37&gt;Lists!J$22)*($AJ37&lt;=Lists!J$21),MAX(0,MIN(Lists!J$21,$AK37)-MAX(Lists!J$22,$AJ37))/($AK37-$AJ37))+N($G37)*IF($AM37-$AL37&lt;1,($AL37&gt;Lists!J$22)*($AL37&lt;=Lists!J$21),MAX(0,MIN(Lists!J$21,$AM37)-MAX(Lists!J$22,$AL37))/($AM37-$AL37))))))))</f>
        <v>0</v>
      </c>
      <c r="U37" s="53" t="n">
        <f aca="false">IF($H37=0,0,IF($AP37="X",0,IF($AP37="S",$H37/$AO37*(MIN($AO37,MAX(0,INT((Lists!K$21-N($J37))/7)+1))-MIN($AO37,MAX(0,INT((Lists!K$22-N($J37))/7)+1))),IF($AP37="D",$H37*MAX(0,MIN(Lists!K$21,N($J37)+$AO37)-MAX(Lists!K$22,N($J37)))/$AO37,IF($AP37="M",$H37/$AO37*(IF(Lists!K$21&lt;$J37,0,MIN($AO37,(((YEAR(Lists!K$21)-YEAR($J37))*12+MONTH(Lists!K$21)-MONTH($J37))-(EDATE($J37,((YEAR(Lists!K$21)-YEAR($J37))*12+MONTH(Lists!K$21)-MONTH($J37)))&gt;Lists!K$21)+1)))-IF(Lists!K$22&lt;$J37,0,MIN($AO37,(((YEAR(Lists!K$22)-YEAR($J37))*12+MONTH(Lists!K$22)-MONTH($J37))-(EDATE($J37,((YEAR(Lists!K$22)-YEAR($J37))*12+MONTH(Lists!K$22)-MONTH($J37)))&gt;Lists!K$22)+1)))),IF($AP37="F",IF(N($K37)&lt;=0,0,MIN(MAX(0,$H37),N($K37)*IF(Lists!K$21&lt;$J37,0,(((YEAR(Lists!K$21)-YEAR($J37))*12+MONTH(Lists!K$21)-MONTH($J37))-(EDATE($J37,((YEAR(Lists!K$21)-YEAR($J37))*12+MONTH(Lists!K$21)-MONTH($J37)))&gt;Lists!K$21)+1)))-MIN(MAX(0,$H37),N($K37)*IF(Lists!K$22&lt;$J37,0,(((YEAR(Lists!K$22)-YEAR($J37))*12+MONTH(Lists!K$22)-MONTH($J37))-(EDATE($J37,((YEAR(Lists!K$22)-YEAR($J37))*12+MONTH(Lists!K$22)-MONTH($J37)))&gt;Lists!K$22)+1)))),N($C37)*IF($AE37-$AD37&lt;1,($AD37&gt;Lists!K$22)*($AD37&lt;=Lists!K$21),MAX(0,MIN(Lists!K$21,$AE37)-MAX(Lists!K$22,$AD37))/($AE37-$AD37))+N($D37)*IF($AG37-$AF37&lt;1,($AF37&gt;Lists!K$22)*($AF37&lt;=Lists!K$21),MAX(0,MIN(Lists!K$21,$AG37)-MAX(Lists!K$22,$AF37))/($AG37-$AF37))+N($E37)*IF($AI37-$AH37&lt;1,($AH37&gt;Lists!K$22)*($AH37&lt;=Lists!K$21),MAX(0,MIN(Lists!K$21,$AI37)-MAX(Lists!K$22,$AH37))/($AI37-$AH37))+N($F37)*IF($AK37-$AJ37&lt;1,($AJ37&gt;Lists!K$22)*($AJ37&lt;=Lists!K$21),MAX(0,MIN(Lists!K$21,$AK37)-MAX(Lists!K$22,$AJ37))/($AK37-$AJ37))+N($G37)*IF($AM37-$AL37&lt;1,($AL37&gt;Lists!K$22)*($AL37&lt;=Lists!K$21),MAX(0,MIN(Lists!K$21,$AM37)-MAX(Lists!K$22,$AL37))/($AM37-$AL37))))))))</f>
        <v>0</v>
      </c>
      <c r="V37" s="53" t="n">
        <f aca="false">IF($H37=0,0,IF($AP37="X",0,IF($AP37="S",$H37/$AO37*(MIN($AO37,MAX(0,INT((Lists!L$21-N($J37))/7)+1))-MIN($AO37,MAX(0,INT((Lists!L$22-N($J37))/7)+1))),IF($AP37="D",$H37*MAX(0,MIN(Lists!L$21,N($J37)+$AO37)-MAX(Lists!L$22,N($J37)))/$AO37,IF($AP37="M",$H37/$AO37*(IF(Lists!L$21&lt;$J37,0,MIN($AO37,(((YEAR(Lists!L$21)-YEAR($J37))*12+MONTH(Lists!L$21)-MONTH($J37))-(EDATE($J37,((YEAR(Lists!L$21)-YEAR($J37))*12+MONTH(Lists!L$21)-MONTH($J37)))&gt;Lists!L$21)+1)))-IF(Lists!L$22&lt;$J37,0,MIN($AO37,(((YEAR(Lists!L$22)-YEAR($J37))*12+MONTH(Lists!L$22)-MONTH($J37))-(EDATE($J37,((YEAR(Lists!L$22)-YEAR($J37))*12+MONTH(Lists!L$22)-MONTH($J37)))&gt;Lists!L$22)+1)))),IF($AP37="F",IF(N($K37)&lt;=0,0,MIN(MAX(0,$H37),N($K37)*IF(Lists!L$21&lt;$J37,0,(((YEAR(Lists!L$21)-YEAR($J37))*12+MONTH(Lists!L$21)-MONTH($J37))-(EDATE($J37,((YEAR(Lists!L$21)-YEAR($J37))*12+MONTH(Lists!L$21)-MONTH($J37)))&gt;Lists!L$21)+1)))-MIN(MAX(0,$H37),N($K37)*IF(Lists!L$22&lt;$J37,0,(((YEAR(Lists!L$22)-YEAR($J37))*12+MONTH(Lists!L$22)-MONTH($J37))-(EDATE($J37,((YEAR(Lists!L$22)-YEAR($J37))*12+MONTH(Lists!L$22)-MONTH($J37)))&gt;Lists!L$22)+1)))),N($C37)*IF($AE37-$AD37&lt;1,($AD37&gt;Lists!L$22)*($AD37&lt;=Lists!L$21),MAX(0,MIN(Lists!L$21,$AE37)-MAX(Lists!L$22,$AD37))/($AE37-$AD37))+N($D37)*IF($AG37-$AF37&lt;1,($AF37&gt;Lists!L$22)*($AF37&lt;=Lists!L$21),MAX(0,MIN(Lists!L$21,$AG37)-MAX(Lists!L$22,$AF37))/($AG37-$AF37))+N($E37)*IF($AI37-$AH37&lt;1,($AH37&gt;Lists!L$22)*($AH37&lt;=Lists!L$21),MAX(0,MIN(Lists!L$21,$AI37)-MAX(Lists!L$22,$AH37))/($AI37-$AH37))+N($F37)*IF($AK37-$AJ37&lt;1,($AJ37&gt;Lists!L$22)*($AJ37&lt;=Lists!L$21),MAX(0,MIN(Lists!L$21,$AK37)-MAX(Lists!L$22,$AJ37))/($AK37-$AJ37))+N($G37)*IF($AM37-$AL37&lt;1,($AL37&gt;Lists!L$22)*($AL37&lt;=Lists!L$21),MAX(0,MIN(Lists!L$21,$AM37)-MAX(Lists!L$22,$AL37))/($AM37-$AL37))))))))</f>
        <v>0</v>
      </c>
      <c r="W37" s="53" t="n">
        <f aca="false">IF($H37=0,0,IF($AP37="X",0,IF($AP37="S",$H37/$AO37*(MIN($AO37,MAX(0,INT((Lists!M$21-N($J37))/7)+1))-MIN($AO37,MAX(0,INT((Lists!M$22-N($J37))/7)+1))),IF($AP37="D",$H37*MAX(0,MIN(Lists!M$21,N($J37)+$AO37)-MAX(Lists!M$22,N($J37)))/$AO37,IF($AP37="M",$H37/$AO37*(IF(Lists!M$21&lt;$J37,0,MIN($AO37,(((YEAR(Lists!M$21)-YEAR($J37))*12+MONTH(Lists!M$21)-MONTH($J37))-(EDATE($J37,((YEAR(Lists!M$21)-YEAR($J37))*12+MONTH(Lists!M$21)-MONTH($J37)))&gt;Lists!M$21)+1)))-IF(Lists!M$22&lt;$J37,0,MIN($AO37,(((YEAR(Lists!M$22)-YEAR($J37))*12+MONTH(Lists!M$22)-MONTH($J37))-(EDATE($J37,((YEAR(Lists!M$22)-YEAR($J37))*12+MONTH(Lists!M$22)-MONTH($J37)))&gt;Lists!M$22)+1)))),IF($AP37="F",IF(N($K37)&lt;=0,0,MIN(MAX(0,$H37),N($K37)*IF(Lists!M$21&lt;$J37,0,(((YEAR(Lists!M$21)-YEAR($J37))*12+MONTH(Lists!M$21)-MONTH($J37))-(EDATE($J37,((YEAR(Lists!M$21)-YEAR($J37))*12+MONTH(Lists!M$21)-MONTH($J37)))&gt;Lists!M$21)+1)))-MIN(MAX(0,$H37),N($K37)*IF(Lists!M$22&lt;$J37,0,(((YEAR(Lists!M$22)-YEAR($J37))*12+MONTH(Lists!M$22)-MONTH($J37))-(EDATE($J37,((YEAR(Lists!M$22)-YEAR($J37))*12+MONTH(Lists!M$22)-MONTH($J37)))&gt;Lists!M$22)+1)))),N($C37)*IF($AE37-$AD37&lt;1,($AD37&gt;Lists!M$22)*($AD37&lt;=Lists!M$21),MAX(0,MIN(Lists!M$21,$AE37)-MAX(Lists!M$22,$AD37))/($AE37-$AD37))+N($D37)*IF($AG37-$AF37&lt;1,($AF37&gt;Lists!M$22)*($AF37&lt;=Lists!M$21),MAX(0,MIN(Lists!M$21,$AG37)-MAX(Lists!M$22,$AF37))/($AG37-$AF37))+N($E37)*IF($AI37-$AH37&lt;1,($AH37&gt;Lists!M$22)*($AH37&lt;=Lists!M$21),MAX(0,MIN(Lists!M$21,$AI37)-MAX(Lists!M$22,$AH37))/($AI37-$AH37))+N($F37)*IF($AK37-$AJ37&lt;1,($AJ37&gt;Lists!M$22)*($AJ37&lt;=Lists!M$21),MAX(0,MIN(Lists!M$21,$AK37)-MAX(Lists!M$22,$AJ37))/($AK37-$AJ37))+N($G37)*IF($AM37-$AL37&lt;1,($AL37&gt;Lists!M$22)*($AL37&lt;=Lists!M$21),MAX(0,MIN(Lists!M$21,$AM37)-MAX(Lists!M$22,$AL37))/($AM37-$AL37))))))))</f>
        <v>0</v>
      </c>
      <c r="X37" s="53" t="n">
        <f aca="false">IF($H37=0,0,IF($AP37="X",0,IF($AP37="S",$H37/$AO37*(MIN($AO37,MAX(0,INT((Lists!N$21-N($J37))/7)+1))-MIN($AO37,MAX(0,INT((Lists!N$22-N($J37))/7)+1))),IF($AP37="D",$H37*MAX(0,MIN(Lists!N$21,N($J37)+$AO37)-MAX(Lists!N$22,N($J37)))/$AO37,IF($AP37="M",$H37/$AO37*(IF(Lists!N$21&lt;$J37,0,MIN($AO37,(((YEAR(Lists!N$21)-YEAR($J37))*12+MONTH(Lists!N$21)-MONTH($J37))-(EDATE($J37,((YEAR(Lists!N$21)-YEAR($J37))*12+MONTH(Lists!N$21)-MONTH($J37)))&gt;Lists!N$21)+1)))-IF(Lists!N$22&lt;$J37,0,MIN($AO37,(((YEAR(Lists!N$22)-YEAR($J37))*12+MONTH(Lists!N$22)-MONTH($J37))-(EDATE($J37,((YEAR(Lists!N$22)-YEAR($J37))*12+MONTH(Lists!N$22)-MONTH($J37)))&gt;Lists!N$22)+1)))),IF($AP37="F",IF(N($K37)&lt;=0,0,MIN(MAX(0,$H37),N($K37)*IF(Lists!N$21&lt;$J37,0,(((YEAR(Lists!N$21)-YEAR($J37))*12+MONTH(Lists!N$21)-MONTH($J37))-(EDATE($J37,((YEAR(Lists!N$21)-YEAR($J37))*12+MONTH(Lists!N$21)-MONTH($J37)))&gt;Lists!N$21)+1)))-MIN(MAX(0,$H37),N($K37)*IF(Lists!N$22&lt;$J37,0,(((YEAR(Lists!N$22)-YEAR($J37))*12+MONTH(Lists!N$22)-MONTH($J37))-(EDATE($J37,((YEAR(Lists!N$22)-YEAR($J37))*12+MONTH(Lists!N$22)-MONTH($J37)))&gt;Lists!N$22)+1)))),N($C37)*IF($AE37-$AD37&lt;1,($AD37&gt;Lists!N$22)*($AD37&lt;=Lists!N$21),MAX(0,MIN(Lists!N$21,$AE37)-MAX(Lists!N$22,$AD37))/($AE37-$AD37))+N($D37)*IF($AG37-$AF37&lt;1,($AF37&gt;Lists!N$22)*($AF37&lt;=Lists!N$21),MAX(0,MIN(Lists!N$21,$AG37)-MAX(Lists!N$22,$AF37))/($AG37-$AF37))+N($E37)*IF($AI37-$AH37&lt;1,($AH37&gt;Lists!N$22)*($AH37&lt;=Lists!N$21),MAX(0,MIN(Lists!N$21,$AI37)-MAX(Lists!N$22,$AH37))/($AI37-$AH37))+N($F37)*IF($AK37-$AJ37&lt;1,($AJ37&gt;Lists!N$22)*($AJ37&lt;=Lists!N$21),MAX(0,MIN(Lists!N$21,$AK37)-MAX(Lists!N$22,$AJ37))/($AK37-$AJ37))+N($G37)*IF($AM37-$AL37&lt;1,($AL37&gt;Lists!N$22)*($AL37&lt;=Lists!N$21),MAX(0,MIN(Lists!N$21,$AM37)-MAX(Lists!N$22,$AL37))/($AM37-$AL37))))))))</f>
        <v>0</v>
      </c>
      <c r="Y37" s="53" t="n">
        <f aca="false">IF($H37=0,0,IF($AP37="X",0,IF($AP37="S",$H37/$AO37*(MIN($AO37,MAX(0,INT((Lists!O$21-N($J37))/7)+1))-MIN($AO37,MAX(0,INT((Lists!O$22-N($J37))/7)+1))),IF($AP37="D",$H37*MAX(0,MIN(Lists!O$21,N($J37)+$AO37)-MAX(Lists!O$22,N($J37)))/$AO37,IF($AP37="M",$H37/$AO37*(IF(Lists!O$21&lt;$J37,0,MIN($AO37,(((YEAR(Lists!O$21)-YEAR($J37))*12+MONTH(Lists!O$21)-MONTH($J37))-(EDATE($J37,((YEAR(Lists!O$21)-YEAR($J37))*12+MONTH(Lists!O$21)-MONTH($J37)))&gt;Lists!O$21)+1)))-IF(Lists!O$22&lt;$J37,0,MIN($AO37,(((YEAR(Lists!O$22)-YEAR($J37))*12+MONTH(Lists!O$22)-MONTH($J37))-(EDATE($J37,((YEAR(Lists!O$22)-YEAR($J37))*12+MONTH(Lists!O$22)-MONTH($J37)))&gt;Lists!O$22)+1)))),IF($AP37="F",IF(N($K37)&lt;=0,0,MIN(MAX(0,$H37),N($K37)*IF(Lists!O$21&lt;$J37,0,(((YEAR(Lists!O$21)-YEAR($J37))*12+MONTH(Lists!O$21)-MONTH($J37))-(EDATE($J37,((YEAR(Lists!O$21)-YEAR($J37))*12+MONTH(Lists!O$21)-MONTH($J37)))&gt;Lists!O$21)+1)))-MIN(MAX(0,$H37),N($K37)*IF(Lists!O$22&lt;$J37,0,(((YEAR(Lists!O$22)-YEAR($J37))*12+MONTH(Lists!O$22)-MONTH($J37))-(EDATE($J37,((YEAR(Lists!O$22)-YEAR($J37))*12+MONTH(Lists!O$22)-MONTH($J37)))&gt;Lists!O$22)+1)))),N($C37)*IF($AE37-$AD37&lt;1,($AD37&gt;Lists!O$22)*($AD37&lt;=Lists!O$21),MAX(0,MIN(Lists!O$21,$AE37)-MAX(Lists!O$22,$AD37))/($AE37-$AD37))+N($D37)*IF($AG37-$AF37&lt;1,($AF37&gt;Lists!O$22)*($AF37&lt;=Lists!O$21),MAX(0,MIN(Lists!O$21,$AG37)-MAX(Lists!O$22,$AF37))/($AG37-$AF37))+N($E37)*IF($AI37-$AH37&lt;1,($AH37&gt;Lists!O$22)*($AH37&lt;=Lists!O$21),MAX(0,MIN(Lists!O$21,$AI37)-MAX(Lists!O$22,$AH37))/($AI37-$AH37))+N($F37)*IF($AK37-$AJ37&lt;1,($AJ37&gt;Lists!O$22)*($AJ37&lt;=Lists!O$21),MAX(0,MIN(Lists!O$21,$AK37)-MAX(Lists!O$22,$AJ37))/($AK37-$AJ37))+N($G37)*IF($AM37-$AL37&lt;1,($AL37&gt;Lists!O$22)*($AL37&lt;=Lists!O$21),MAX(0,MIN(Lists!O$21,$AM37)-MAX(Lists!O$22,$AL37))/($AM37-$AL37))))))))</f>
        <v>0</v>
      </c>
      <c r="Z37" s="46" t="n">
        <f aca="false">SUM(M37:Y37)</f>
        <v>0</v>
      </c>
      <c r="AA37" s="92" t="n">
        <f aca="false">H37-Z37</f>
        <v>0</v>
      </c>
      <c r="AB37" s="55"/>
      <c r="AC37" s="2"/>
      <c r="AD37" s="93" t="n">
        <f aca="false">Setup!$D$10+MAX(0,$AN37-30)</f>
        <v>46345</v>
      </c>
      <c r="AE37" s="93" t="n">
        <f aca="false">Setup!$D$10+IF($AN37-30&lt;0,MAX(Setup!$D$22,$AN37-0),$AN37-0)</f>
        <v>46375</v>
      </c>
      <c r="AF37" s="93" t="n">
        <f aca="false">Setup!$D$10+MAX(0,$AN37-60)</f>
        <v>46335</v>
      </c>
      <c r="AG37" s="93" t="n">
        <f aca="false">Setup!$D$10+IF($AN37-60&lt;0,MAX(Setup!$D$22,$AN37-31),$AN37-31)</f>
        <v>46363</v>
      </c>
      <c r="AH37" s="93" t="n">
        <f aca="false">Setup!$D$10+MAX(0,$AN37-90)</f>
        <v>46335</v>
      </c>
      <c r="AI37" s="93" t="n">
        <f aca="false">Setup!$D$10+IF($AN37-90&lt;0,MAX(Setup!$D$22,$AN37-61),$AN37-61)</f>
        <v>46363</v>
      </c>
      <c r="AJ37" s="93" t="n">
        <f aca="false">Setup!$D$10+MAX(0,$AN37-120)</f>
        <v>46335</v>
      </c>
      <c r="AK37" s="93" t="n">
        <f aca="false">Setup!$D$10+IF($AN37-120&lt;0,MAX(Setup!$D$22,$AN37-91),$AN37-91)</f>
        <v>46363</v>
      </c>
      <c r="AL37" s="93" t="n">
        <f aca="false">Setup!$D$10</f>
        <v>46335</v>
      </c>
      <c r="AM37" s="93" t="n">
        <f aca="false">IF(AL37=2958465,AL37,Setup!$D$10+Setup!$D$22)</f>
        <v>46363</v>
      </c>
      <c r="AN37" s="94" t="n">
        <f aca="false">IF(N(L37)=0,Setup!$D$21,L37)</f>
        <v>40</v>
      </c>
      <c r="AO37" s="94" t="n">
        <f aca="false">MAX(1,ROUND(N(K37),0))</f>
        <v>1</v>
      </c>
      <c r="AP37" s="95" t="str">
        <f aca="false">IF(I37="On hold","X",IF(N(J37)=0,"A",IF(I37="Specific date","S",IF(I37="Spread over days","D",IF(I37="Monthly on set day","M",IF(I37="Monthly fixed amount","F","A"))))))</f>
        <v>A</v>
      </c>
    </row>
    <row r="38" customFormat="false" ht="15" hidden="false" customHeight="false" outlineLevel="0" collapsed="false">
      <c r="A38" s="87" t="n">
        <v>30</v>
      </c>
      <c r="B38" s="55"/>
      <c r="C38" s="88"/>
      <c r="D38" s="88"/>
      <c r="E38" s="88"/>
      <c r="F38" s="88"/>
      <c r="G38" s="88"/>
      <c r="H38" s="89" t="n">
        <f aca="false">SUM(C38:G38)</f>
        <v>0</v>
      </c>
      <c r="I38" s="58"/>
      <c r="J38" s="90"/>
      <c r="K38" s="91"/>
      <c r="L38" s="80"/>
      <c r="M38" s="53" t="n">
        <f aca="false">IF($H38=0,0,IF($AP38="X",0,IF($AP38="S",$H38/$AO38*(MIN($AO38,MAX(0,INT((Lists!C$21-N($J38))/7)+1))-MIN($AO38,MAX(0,INT((Lists!C$22-N($J38))/7)+1))),IF($AP38="D",$H38*MAX(0,MIN(Lists!C$21,N($J38)+$AO38)-MAX(Lists!C$22,N($J38)))/$AO38,IF($AP38="M",$H38/$AO38*(IF(Lists!C$21&lt;$J38,0,MIN($AO38,(((YEAR(Lists!C$21)-YEAR($J38))*12+MONTH(Lists!C$21)-MONTH($J38))-(EDATE($J38,((YEAR(Lists!C$21)-YEAR($J38))*12+MONTH(Lists!C$21)-MONTH($J38)))&gt;Lists!C$21)+1)))-IF(Lists!C$22&lt;$J38,0,MIN($AO38,(((YEAR(Lists!C$22)-YEAR($J38))*12+MONTH(Lists!C$22)-MONTH($J38))-(EDATE($J38,((YEAR(Lists!C$22)-YEAR($J38))*12+MONTH(Lists!C$22)-MONTH($J38)))&gt;Lists!C$22)+1)))),IF($AP38="F",IF(N($K38)&lt;=0,0,MIN(MAX(0,$H38),N($K38)*IF(Lists!C$21&lt;$J38,0,(((YEAR(Lists!C$21)-YEAR($J38))*12+MONTH(Lists!C$21)-MONTH($J38))-(EDATE($J38,((YEAR(Lists!C$21)-YEAR($J38))*12+MONTH(Lists!C$21)-MONTH($J38)))&gt;Lists!C$21)+1)))-MIN(MAX(0,$H38),N($K38)*IF(Lists!C$22&lt;$J38,0,(((YEAR(Lists!C$22)-YEAR($J38))*12+MONTH(Lists!C$22)-MONTH($J38))-(EDATE($J38,((YEAR(Lists!C$22)-YEAR($J38))*12+MONTH(Lists!C$22)-MONTH($J38)))&gt;Lists!C$22)+1)))),N($C38)*IF($AE38-$AD38&lt;1,($AD38&gt;Lists!C$22)*($AD38&lt;=Lists!C$21),MAX(0,MIN(Lists!C$21,$AE38)-MAX(Lists!C$22,$AD38))/($AE38-$AD38))+N($D38)*IF($AG38-$AF38&lt;1,($AF38&gt;Lists!C$22)*($AF38&lt;=Lists!C$21),MAX(0,MIN(Lists!C$21,$AG38)-MAX(Lists!C$22,$AF38))/($AG38-$AF38))+N($E38)*IF($AI38-$AH38&lt;1,($AH38&gt;Lists!C$22)*($AH38&lt;=Lists!C$21),MAX(0,MIN(Lists!C$21,$AI38)-MAX(Lists!C$22,$AH38))/($AI38-$AH38))+N($F38)*IF($AK38-$AJ38&lt;1,($AJ38&gt;Lists!C$22)*($AJ38&lt;=Lists!C$21),MAX(0,MIN(Lists!C$21,$AK38)-MAX(Lists!C$22,$AJ38))/($AK38-$AJ38))+N($G38)*IF($AM38-$AL38&lt;1,($AL38&gt;Lists!C$22)*($AL38&lt;=Lists!C$21),MAX(0,MIN(Lists!C$21,$AM38)-MAX(Lists!C$22,$AL38))/($AM38-$AL38))))))))</f>
        <v>0</v>
      </c>
      <c r="N38" s="53" t="n">
        <f aca="false">IF($H38=0,0,IF($AP38="X",0,IF($AP38="S",$H38/$AO38*(MIN($AO38,MAX(0,INT((Lists!D$21-N($J38))/7)+1))-MIN($AO38,MAX(0,INT((Lists!D$22-N($J38))/7)+1))),IF($AP38="D",$H38*MAX(0,MIN(Lists!D$21,N($J38)+$AO38)-MAX(Lists!D$22,N($J38)))/$AO38,IF($AP38="M",$H38/$AO38*(IF(Lists!D$21&lt;$J38,0,MIN($AO38,(((YEAR(Lists!D$21)-YEAR($J38))*12+MONTH(Lists!D$21)-MONTH($J38))-(EDATE($J38,((YEAR(Lists!D$21)-YEAR($J38))*12+MONTH(Lists!D$21)-MONTH($J38)))&gt;Lists!D$21)+1)))-IF(Lists!D$22&lt;$J38,0,MIN($AO38,(((YEAR(Lists!D$22)-YEAR($J38))*12+MONTH(Lists!D$22)-MONTH($J38))-(EDATE($J38,((YEAR(Lists!D$22)-YEAR($J38))*12+MONTH(Lists!D$22)-MONTH($J38)))&gt;Lists!D$22)+1)))),IF($AP38="F",IF(N($K38)&lt;=0,0,MIN(MAX(0,$H38),N($K38)*IF(Lists!D$21&lt;$J38,0,(((YEAR(Lists!D$21)-YEAR($J38))*12+MONTH(Lists!D$21)-MONTH($J38))-(EDATE($J38,((YEAR(Lists!D$21)-YEAR($J38))*12+MONTH(Lists!D$21)-MONTH($J38)))&gt;Lists!D$21)+1)))-MIN(MAX(0,$H38),N($K38)*IF(Lists!D$22&lt;$J38,0,(((YEAR(Lists!D$22)-YEAR($J38))*12+MONTH(Lists!D$22)-MONTH($J38))-(EDATE($J38,((YEAR(Lists!D$22)-YEAR($J38))*12+MONTH(Lists!D$22)-MONTH($J38)))&gt;Lists!D$22)+1)))),N($C38)*IF($AE38-$AD38&lt;1,($AD38&gt;Lists!D$22)*($AD38&lt;=Lists!D$21),MAX(0,MIN(Lists!D$21,$AE38)-MAX(Lists!D$22,$AD38))/($AE38-$AD38))+N($D38)*IF($AG38-$AF38&lt;1,($AF38&gt;Lists!D$22)*($AF38&lt;=Lists!D$21),MAX(0,MIN(Lists!D$21,$AG38)-MAX(Lists!D$22,$AF38))/($AG38-$AF38))+N($E38)*IF($AI38-$AH38&lt;1,($AH38&gt;Lists!D$22)*($AH38&lt;=Lists!D$21),MAX(0,MIN(Lists!D$21,$AI38)-MAX(Lists!D$22,$AH38))/($AI38-$AH38))+N($F38)*IF($AK38-$AJ38&lt;1,($AJ38&gt;Lists!D$22)*($AJ38&lt;=Lists!D$21),MAX(0,MIN(Lists!D$21,$AK38)-MAX(Lists!D$22,$AJ38))/($AK38-$AJ38))+N($G38)*IF($AM38-$AL38&lt;1,($AL38&gt;Lists!D$22)*($AL38&lt;=Lists!D$21),MAX(0,MIN(Lists!D$21,$AM38)-MAX(Lists!D$22,$AL38))/($AM38-$AL38))))))))</f>
        <v>0</v>
      </c>
      <c r="O38" s="53" t="n">
        <f aca="false">IF($H38=0,0,IF($AP38="X",0,IF($AP38="S",$H38/$AO38*(MIN($AO38,MAX(0,INT((Lists!E$21-N($J38))/7)+1))-MIN($AO38,MAX(0,INT((Lists!E$22-N($J38))/7)+1))),IF($AP38="D",$H38*MAX(0,MIN(Lists!E$21,N($J38)+$AO38)-MAX(Lists!E$22,N($J38)))/$AO38,IF($AP38="M",$H38/$AO38*(IF(Lists!E$21&lt;$J38,0,MIN($AO38,(((YEAR(Lists!E$21)-YEAR($J38))*12+MONTH(Lists!E$21)-MONTH($J38))-(EDATE($J38,((YEAR(Lists!E$21)-YEAR($J38))*12+MONTH(Lists!E$21)-MONTH($J38)))&gt;Lists!E$21)+1)))-IF(Lists!E$22&lt;$J38,0,MIN($AO38,(((YEAR(Lists!E$22)-YEAR($J38))*12+MONTH(Lists!E$22)-MONTH($J38))-(EDATE($J38,((YEAR(Lists!E$22)-YEAR($J38))*12+MONTH(Lists!E$22)-MONTH($J38)))&gt;Lists!E$22)+1)))),IF($AP38="F",IF(N($K38)&lt;=0,0,MIN(MAX(0,$H38),N($K38)*IF(Lists!E$21&lt;$J38,0,(((YEAR(Lists!E$21)-YEAR($J38))*12+MONTH(Lists!E$21)-MONTH($J38))-(EDATE($J38,((YEAR(Lists!E$21)-YEAR($J38))*12+MONTH(Lists!E$21)-MONTH($J38)))&gt;Lists!E$21)+1)))-MIN(MAX(0,$H38),N($K38)*IF(Lists!E$22&lt;$J38,0,(((YEAR(Lists!E$22)-YEAR($J38))*12+MONTH(Lists!E$22)-MONTH($J38))-(EDATE($J38,((YEAR(Lists!E$22)-YEAR($J38))*12+MONTH(Lists!E$22)-MONTH($J38)))&gt;Lists!E$22)+1)))),N($C38)*IF($AE38-$AD38&lt;1,($AD38&gt;Lists!E$22)*($AD38&lt;=Lists!E$21),MAX(0,MIN(Lists!E$21,$AE38)-MAX(Lists!E$22,$AD38))/($AE38-$AD38))+N($D38)*IF($AG38-$AF38&lt;1,($AF38&gt;Lists!E$22)*($AF38&lt;=Lists!E$21),MAX(0,MIN(Lists!E$21,$AG38)-MAX(Lists!E$22,$AF38))/($AG38-$AF38))+N($E38)*IF($AI38-$AH38&lt;1,($AH38&gt;Lists!E$22)*($AH38&lt;=Lists!E$21),MAX(0,MIN(Lists!E$21,$AI38)-MAX(Lists!E$22,$AH38))/($AI38-$AH38))+N($F38)*IF($AK38-$AJ38&lt;1,($AJ38&gt;Lists!E$22)*($AJ38&lt;=Lists!E$21),MAX(0,MIN(Lists!E$21,$AK38)-MAX(Lists!E$22,$AJ38))/($AK38-$AJ38))+N($G38)*IF($AM38-$AL38&lt;1,($AL38&gt;Lists!E$22)*($AL38&lt;=Lists!E$21),MAX(0,MIN(Lists!E$21,$AM38)-MAX(Lists!E$22,$AL38))/($AM38-$AL38))))))))</f>
        <v>0</v>
      </c>
      <c r="P38" s="53" t="n">
        <f aca="false">IF($H38=0,0,IF($AP38="X",0,IF($AP38="S",$H38/$AO38*(MIN($AO38,MAX(0,INT((Lists!F$21-N($J38))/7)+1))-MIN($AO38,MAX(0,INT((Lists!F$22-N($J38))/7)+1))),IF($AP38="D",$H38*MAX(0,MIN(Lists!F$21,N($J38)+$AO38)-MAX(Lists!F$22,N($J38)))/$AO38,IF($AP38="M",$H38/$AO38*(IF(Lists!F$21&lt;$J38,0,MIN($AO38,(((YEAR(Lists!F$21)-YEAR($J38))*12+MONTH(Lists!F$21)-MONTH($J38))-(EDATE($J38,((YEAR(Lists!F$21)-YEAR($J38))*12+MONTH(Lists!F$21)-MONTH($J38)))&gt;Lists!F$21)+1)))-IF(Lists!F$22&lt;$J38,0,MIN($AO38,(((YEAR(Lists!F$22)-YEAR($J38))*12+MONTH(Lists!F$22)-MONTH($J38))-(EDATE($J38,((YEAR(Lists!F$22)-YEAR($J38))*12+MONTH(Lists!F$22)-MONTH($J38)))&gt;Lists!F$22)+1)))),IF($AP38="F",IF(N($K38)&lt;=0,0,MIN(MAX(0,$H38),N($K38)*IF(Lists!F$21&lt;$J38,0,(((YEAR(Lists!F$21)-YEAR($J38))*12+MONTH(Lists!F$21)-MONTH($J38))-(EDATE($J38,((YEAR(Lists!F$21)-YEAR($J38))*12+MONTH(Lists!F$21)-MONTH($J38)))&gt;Lists!F$21)+1)))-MIN(MAX(0,$H38),N($K38)*IF(Lists!F$22&lt;$J38,0,(((YEAR(Lists!F$22)-YEAR($J38))*12+MONTH(Lists!F$22)-MONTH($J38))-(EDATE($J38,((YEAR(Lists!F$22)-YEAR($J38))*12+MONTH(Lists!F$22)-MONTH($J38)))&gt;Lists!F$22)+1)))),N($C38)*IF($AE38-$AD38&lt;1,($AD38&gt;Lists!F$22)*($AD38&lt;=Lists!F$21),MAX(0,MIN(Lists!F$21,$AE38)-MAX(Lists!F$22,$AD38))/($AE38-$AD38))+N($D38)*IF($AG38-$AF38&lt;1,($AF38&gt;Lists!F$22)*($AF38&lt;=Lists!F$21),MAX(0,MIN(Lists!F$21,$AG38)-MAX(Lists!F$22,$AF38))/($AG38-$AF38))+N($E38)*IF($AI38-$AH38&lt;1,($AH38&gt;Lists!F$22)*($AH38&lt;=Lists!F$21),MAX(0,MIN(Lists!F$21,$AI38)-MAX(Lists!F$22,$AH38))/($AI38-$AH38))+N($F38)*IF($AK38-$AJ38&lt;1,($AJ38&gt;Lists!F$22)*($AJ38&lt;=Lists!F$21),MAX(0,MIN(Lists!F$21,$AK38)-MAX(Lists!F$22,$AJ38))/($AK38-$AJ38))+N($G38)*IF($AM38-$AL38&lt;1,($AL38&gt;Lists!F$22)*($AL38&lt;=Lists!F$21),MAX(0,MIN(Lists!F$21,$AM38)-MAX(Lists!F$22,$AL38))/($AM38-$AL38))))))))</f>
        <v>0</v>
      </c>
      <c r="Q38" s="53" t="n">
        <f aca="false">IF($H38=0,0,IF($AP38="X",0,IF($AP38="S",$H38/$AO38*(MIN($AO38,MAX(0,INT((Lists!G$21-N($J38))/7)+1))-MIN($AO38,MAX(0,INT((Lists!G$22-N($J38))/7)+1))),IF($AP38="D",$H38*MAX(0,MIN(Lists!G$21,N($J38)+$AO38)-MAX(Lists!G$22,N($J38)))/$AO38,IF($AP38="M",$H38/$AO38*(IF(Lists!G$21&lt;$J38,0,MIN($AO38,(((YEAR(Lists!G$21)-YEAR($J38))*12+MONTH(Lists!G$21)-MONTH($J38))-(EDATE($J38,((YEAR(Lists!G$21)-YEAR($J38))*12+MONTH(Lists!G$21)-MONTH($J38)))&gt;Lists!G$21)+1)))-IF(Lists!G$22&lt;$J38,0,MIN($AO38,(((YEAR(Lists!G$22)-YEAR($J38))*12+MONTH(Lists!G$22)-MONTH($J38))-(EDATE($J38,((YEAR(Lists!G$22)-YEAR($J38))*12+MONTH(Lists!G$22)-MONTH($J38)))&gt;Lists!G$22)+1)))),IF($AP38="F",IF(N($K38)&lt;=0,0,MIN(MAX(0,$H38),N($K38)*IF(Lists!G$21&lt;$J38,0,(((YEAR(Lists!G$21)-YEAR($J38))*12+MONTH(Lists!G$21)-MONTH($J38))-(EDATE($J38,((YEAR(Lists!G$21)-YEAR($J38))*12+MONTH(Lists!G$21)-MONTH($J38)))&gt;Lists!G$21)+1)))-MIN(MAX(0,$H38),N($K38)*IF(Lists!G$22&lt;$J38,0,(((YEAR(Lists!G$22)-YEAR($J38))*12+MONTH(Lists!G$22)-MONTH($J38))-(EDATE($J38,((YEAR(Lists!G$22)-YEAR($J38))*12+MONTH(Lists!G$22)-MONTH($J38)))&gt;Lists!G$22)+1)))),N($C38)*IF($AE38-$AD38&lt;1,($AD38&gt;Lists!G$22)*($AD38&lt;=Lists!G$21),MAX(0,MIN(Lists!G$21,$AE38)-MAX(Lists!G$22,$AD38))/($AE38-$AD38))+N($D38)*IF($AG38-$AF38&lt;1,($AF38&gt;Lists!G$22)*($AF38&lt;=Lists!G$21),MAX(0,MIN(Lists!G$21,$AG38)-MAX(Lists!G$22,$AF38))/($AG38-$AF38))+N($E38)*IF($AI38-$AH38&lt;1,($AH38&gt;Lists!G$22)*($AH38&lt;=Lists!G$21),MAX(0,MIN(Lists!G$21,$AI38)-MAX(Lists!G$22,$AH38))/($AI38-$AH38))+N($F38)*IF($AK38-$AJ38&lt;1,($AJ38&gt;Lists!G$22)*($AJ38&lt;=Lists!G$21),MAX(0,MIN(Lists!G$21,$AK38)-MAX(Lists!G$22,$AJ38))/($AK38-$AJ38))+N($G38)*IF($AM38-$AL38&lt;1,($AL38&gt;Lists!G$22)*($AL38&lt;=Lists!G$21),MAX(0,MIN(Lists!G$21,$AM38)-MAX(Lists!G$22,$AL38))/($AM38-$AL38))))))))</f>
        <v>0</v>
      </c>
      <c r="R38" s="53" t="n">
        <f aca="false">IF($H38=0,0,IF($AP38="X",0,IF($AP38="S",$H38/$AO38*(MIN($AO38,MAX(0,INT((Lists!H$21-N($J38))/7)+1))-MIN($AO38,MAX(0,INT((Lists!H$22-N($J38))/7)+1))),IF($AP38="D",$H38*MAX(0,MIN(Lists!H$21,N($J38)+$AO38)-MAX(Lists!H$22,N($J38)))/$AO38,IF($AP38="M",$H38/$AO38*(IF(Lists!H$21&lt;$J38,0,MIN($AO38,(((YEAR(Lists!H$21)-YEAR($J38))*12+MONTH(Lists!H$21)-MONTH($J38))-(EDATE($J38,((YEAR(Lists!H$21)-YEAR($J38))*12+MONTH(Lists!H$21)-MONTH($J38)))&gt;Lists!H$21)+1)))-IF(Lists!H$22&lt;$J38,0,MIN($AO38,(((YEAR(Lists!H$22)-YEAR($J38))*12+MONTH(Lists!H$22)-MONTH($J38))-(EDATE($J38,((YEAR(Lists!H$22)-YEAR($J38))*12+MONTH(Lists!H$22)-MONTH($J38)))&gt;Lists!H$22)+1)))),IF($AP38="F",IF(N($K38)&lt;=0,0,MIN(MAX(0,$H38),N($K38)*IF(Lists!H$21&lt;$J38,0,(((YEAR(Lists!H$21)-YEAR($J38))*12+MONTH(Lists!H$21)-MONTH($J38))-(EDATE($J38,((YEAR(Lists!H$21)-YEAR($J38))*12+MONTH(Lists!H$21)-MONTH($J38)))&gt;Lists!H$21)+1)))-MIN(MAX(0,$H38),N($K38)*IF(Lists!H$22&lt;$J38,0,(((YEAR(Lists!H$22)-YEAR($J38))*12+MONTH(Lists!H$22)-MONTH($J38))-(EDATE($J38,((YEAR(Lists!H$22)-YEAR($J38))*12+MONTH(Lists!H$22)-MONTH($J38)))&gt;Lists!H$22)+1)))),N($C38)*IF($AE38-$AD38&lt;1,($AD38&gt;Lists!H$22)*($AD38&lt;=Lists!H$21),MAX(0,MIN(Lists!H$21,$AE38)-MAX(Lists!H$22,$AD38))/($AE38-$AD38))+N($D38)*IF($AG38-$AF38&lt;1,($AF38&gt;Lists!H$22)*($AF38&lt;=Lists!H$21),MAX(0,MIN(Lists!H$21,$AG38)-MAX(Lists!H$22,$AF38))/($AG38-$AF38))+N($E38)*IF($AI38-$AH38&lt;1,($AH38&gt;Lists!H$22)*($AH38&lt;=Lists!H$21),MAX(0,MIN(Lists!H$21,$AI38)-MAX(Lists!H$22,$AH38))/($AI38-$AH38))+N($F38)*IF($AK38-$AJ38&lt;1,($AJ38&gt;Lists!H$22)*($AJ38&lt;=Lists!H$21),MAX(0,MIN(Lists!H$21,$AK38)-MAX(Lists!H$22,$AJ38))/($AK38-$AJ38))+N($G38)*IF($AM38-$AL38&lt;1,($AL38&gt;Lists!H$22)*($AL38&lt;=Lists!H$21),MAX(0,MIN(Lists!H$21,$AM38)-MAX(Lists!H$22,$AL38))/($AM38-$AL38))))))))</f>
        <v>0</v>
      </c>
      <c r="S38" s="53" t="n">
        <f aca="false">IF($H38=0,0,IF($AP38="X",0,IF($AP38="S",$H38/$AO38*(MIN($AO38,MAX(0,INT((Lists!I$21-N($J38))/7)+1))-MIN($AO38,MAX(0,INT((Lists!I$22-N($J38))/7)+1))),IF($AP38="D",$H38*MAX(0,MIN(Lists!I$21,N($J38)+$AO38)-MAX(Lists!I$22,N($J38)))/$AO38,IF($AP38="M",$H38/$AO38*(IF(Lists!I$21&lt;$J38,0,MIN($AO38,(((YEAR(Lists!I$21)-YEAR($J38))*12+MONTH(Lists!I$21)-MONTH($J38))-(EDATE($J38,((YEAR(Lists!I$21)-YEAR($J38))*12+MONTH(Lists!I$21)-MONTH($J38)))&gt;Lists!I$21)+1)))-IF(Lists!I$22&lt;$J38,0,MIN($AO38,(((YEAR(Lists!I$22)-YEAR($J38))*12+MONTH(Lists!I$22)-MONTH($J38))-(EDATE($J38,((YEAR(Lists!I$22)-YEAR($J38))*12+MONTH(Lists!I$22)-MONTH($J38)))&gt;Lists!I$22)+1)))),IF($AP38="F",IF(N($K38)&lt;=0,0,MIN(MAX(0,$H38),N($K38)*IF(Lists!I$21&lt;$J38,0,(((YEAR(Lists!I$21)-YEAR($J38))*12+MONTH(Lists!I$21)-MONTH($J38))-(EDATE($J38,((YEAR(Lists!I$21)-YEAR($J38))*12+MONTH(Lists!I$21)-MONTH($J38)))&gt;Lists!I$21)+1)))-MIN(MAX(0,$H38),N($K38)*IF(Lists!I$22&lt;$J38,0,(((YEAR(Lists!I$22)-YEAR($J38))*12+MONTH(Lists!I$22)-MONTH($J38))-(EDATE($J38,((YEAR(Lists!I$22)-YEAR($J38))*12+MONTH(Lists!I$22)-MONTH($J38)))&gt;Lists!I$22)+1)))),N($C38)*IF($AE38-$AD38&lt;1,($AD38&gt;Lists!I$22)*($AD38&lt;=Lists!I$21),MAX(0,MIN(Lists!I$21,$AE38)-MAX(Lists!I$22,$AD38))/($AE38-$AD38))+N($D38)*IF($AG38-$AF38&lt;1,($AF38&gt;Lists!I$22)*($AF38&lt;=Lists!I$21),MAX(0,MIN(Lists!I$21,$AG38)-MAX(Lists!I$22,$AF38))/($AG38-$AF38))+N($E38)*IF($AI38-$AH38&lt;1,($AH38&gt;Lists!I$22)*($AH38&lt;=Lists!I$21),MAX(0,MIN(Lists!I$21,$AI38)-MAX(Lists!I$22,$AH38))/($AI38-$AH38))+N($F38)*IF($AK38-$AJ38&lt;1,($AJ38&gt;Lists!I$22)*($AJ38&lt;=Lists!I$21),MAX(0,MIN(Lists!I$21,$AK38)-MAX(Lists!I$22,$AJ38))/($AK38-$AJ38))+N($G38)*IF($AM38-$AL38&lt;1,($AL38&gt;Lists!I$22)*($AL38&lt;=Lists!I$21),MAX(0,MIN(Lists!I$21,$AM38)-MAX(Lists!I$22,$AL38))/($AM38-$AL38))))))))</f>
        <v>0</v>
      </c>
      <c r="T38" s="53" t="n">
        <f aca="false">IF($H38=0,0,IF($AP38="X",0,IF($AP38="S",$H38/$AO38*(MIN($AO38,MAX(0,INT((Lists!J$21-N($J38))/7)+1))-MIN($AO38,MAX(0,INT((Lists!J$22-N($J38))/7)+1))),IF($AP38="D",$H38*MAX(0,MIN(Lists!J$21,N($J38)+$AO38)-MAX(Lists!J$22,N($J38)))/$AO38,IF($AP38="M",$H38/$AO38*(IF(Lists!J$21&lt;$J38,0,MIN($AO38,(((YEAR(Lists!J$21)-YEAR($J38))*12+MONTH(Lists!J$21)-MONTH($J38))-(EDATE($J38,((YEAR(Lists!J$21)-YEAR($J38))*12+MONTH(Lists!J$21)-MONTH($J38)))&gt;Lists!J$21)+1)))-IF(Lists!J$22&lt;$J38,0,MIN($AO38,(((YEAR(Lists!J$22)-YEAR($J38))*12+MONTH(Lists!J$22)-MONTH($J38))-(EDATE($J38,((YEAR(Lists!J$22)-YEAR($J38))*12+MONTH(Lists!J$22)-MONTH($J38)))&gt;Lists!J$22)+1)))),IF($AP38="F",IF(N($K38)&lt;=0,0,MIN(MAX(0,$H38),N($K38)*IF(Lists!J$21&lt;$J38,0,(((YEAR(Lists!J$21)-YEAR($J38))*12+MONTH(Lists!J$21)-MONTH($J38))-(EDATE($J38,((YEAR(Lists!J$21)-YEAR($J38))*12+MONTH(Lists!J$21)-MONTH($J38)))&gt;Lists!J$21)+1)))-MIN(MAX(0,$H38),N($K38)*IF(Lists!J$22&lt;$J38,0,(((YEAR(Lists!J$22)-YEAR($J38))*12+MONTH(Lists!J$22)-MONTH($J38))-(EDATE($J38,((YEAR(Lists!J$22)-YEAR($J38))*12+MONTH(Lists!J$22)-MONTH($J38)))&gt;Lists!J$22)+1)))),N($C38)*IF($AE38-$AD38&lt;1,($AD38&gt;Lists!J$22)*($AD38&lt;=Lists!J$21),MAX(0,MIN(Lists!J$21,$AE38)-MAX(Lists!J$22,$AD38))/($AE38-$AD38))+N($D38)*IF($AG38-$AF38&lt;1,($AF38&gt;Lists!J$22)*($AF38&lt;=Lists!J$21),MAX(0,MIN(Lists!J$21,$AG38)-MAX(Lists!J$22,$AF38))/($AG38-$AF38))+N($E38)*IF($AI38-$AH38&lt;1,($AH38&gt;Lists!J$22)*($AH38&lt;=Lists!J$21),MAX(0,MIN(Lists!J$21,$AI38)-MAX(Lists!J$22,$AH38))/($AI38-$AH38))+N($F38)*IF($AK38-$AJ38&lt;1,($AJ38&gt;Lists!J$22)*($AJ38&lt;=Lists!J$21),MAX(0,MIN(Lists!J$21,$AK38)-MAX(Lists!J$22,$AJ38))/($AK38-$AJ38))+N($G38)*IF($AM38-$AL38&lt;1,($AL38&gt;Lists!J$22)*($AL38&lt;=Lists!J$21),MAX(0,MIN(Lists!J$21,$AM38)-MAX(Lists!J$22,$AL38))/($AM38-$AL38))))))))</f>
        <v>0</v>
      </c>
      <c r="U38" s="53" t="n">
        <f aca="false">IF($H38=0,0,IF($AP38="X",0,IF($AP38="S",$H38/$AO38*(MIN($AO38,MAX(0,INT((Lists!K$21-N($J38))/7)+1))-MIN($AO38,MAX(0,INT((Lists!K$22-N($J38))/7)+1))),IF($AP38="D",$H38*MAX(0,MIN(Lists!K$21,N($J38)+$AO38)-MAX(Lists!K$22,N($J38)))/$AO38,IF($AP38="M",$H38/$AO38*(IF(Lists!K$21&lt;$J38,0,MIN($AO38,(((YEAR(Lists!K$21)-YEAR($J38))*12+MONTH(Lists!K$21)-MONTH($J38))-(EDATE($J38,((YEAR(Lists!K$21)-YEAR($J38))*12+MONTH(Lists!K$21)-MONTH($J38)))&gt;Lists!K$21)+1)))-IF(Lists!K$22&lt;$J38,0,MIN($AO38,(((YEAR(Lists!K$22)-YEAR($J38))*12+MONTH(Lists!K$22)-MONTH($J38))-(EDATE($J38,((YEAR(Lists!K$22)-YEAR($J38))*12+MONTH(Lists!K$22)-MONTH($J38)))&gt;Lists!K$22)+1)))),IF($AP38="F",IF(N($K38)&lt;=0,0,MIN(MAX(0,$H38),N($K38)*IF(Lists!K$21&lt;$J38,0,(((YEAR(Lists!K$21)-YEAR($J38))*12+MONTH(Lists!K$21)-MONTH($J38))-(EDATE($J38,((YEAR(Lists!K$21)-YEAR($J38))*12+MONTH(Lists!K$21)-MONTH($J38)))&gt;Lists!K$21)+1)))-MIN(MAX(0,$H38),N($K38)*IF(Lists!K$22&lt;$J38,0,(((YEAR(Lists!K$22)-YEAR($J38))*12+MONTH(Lists!K$22)-MONTH($J38))-(EDATE($J38,((YEAR(Lists!K$22)-YEAR($J38))*12+MONTH(Lists!K$22)-MONTH($J38)))&gt;Lists!K$22)+1)))),N($C38)*IF($AE38-$AD38&lt;1,($AD38&gt;Lists!K$22)*($AD38&lt;=Lists!K$21),MAX(0,MIN(Lists!K$21,$AE38)-MAX(Lists!K$22,$AD38))/($AE38-$AD38))+N($D38)*IF($AG38-$AF38&lt;1,($AF38&gt;Lists!K$22)*($AF38&lt;=Lists!K$21),MAX(0,MIN(Lists!K$21,$AG38)-MAX(Lists!K$22,$AF38))/($AG38-$AF38))+N($E38)*IF($AI38-$AH38&lt;1,($AH38&gt;Lists!K$22)*($AH38&lt;=Lists!K$21),MAX(0,MIN(Lists!K$21,$AI38)-MAX(Lists!K$22,$AH38))/($AI38-$AH38))+N($F38)*IF($AK38-$AJ38&lt;1,($AJ38&gt;Lists!K$22)*($AJ38&lt;=Lists!K$21),MAX(0,MIN(Lists!K$21,$AK38)-MAX(Lists!K$22,$AJ38))/($AK38-$AJ38))+N($G38)*IF($AM38-$AL38&lt;1,($AL38&gt;Lists!K$22)*($AL38&lt;=Lists!K$21),MAX(0,MIN(Lists!K$21,$AM38)-MAX(Lists!K$22,$AL38))/($AM38-$AL38))))))))</f>
        <v>0</v>
      </c>
      <c r="V38" s="53" t="n">
        <f aca="false">IF($H38=0,0,IF($AP38="X",0,IF($AP38="S",$H38/$AO38*(MIN($AO38,MAX(0,INT((Lists!L$21-N($J38))/7)+1))-MIN($AO38,MAX(0,INT((Lists!L$22-N($J38))/7)+1))),IF($AP38="D",$H38*MAX(0,MIN(Lists!L$21,N($J38)+$AO38)-MAX(Lists!L$22,N($J38)))/$AO38,IF($AP38="M",$H38/$AO38*(IF(Lists!L$21&lt;$J38,0,MIN($AO38,(((YEAR(Lists!L$21)-YEAR($J38))*12+MONTH(Lists!L$21)-MONTH($J38))-(EDATE($J38,((YEAR(Lists!L$21)-YEAR($J38))*12+MONTH(Lists!L$21)-MONTH($J38)))&gt;Lists!L$21)+1)))-IF(Lists!L$22&lt;$J38,0,MIN($AO38,(((YEAR(Lists!L$22)-YEAR($J38))*12+MONTH(Lists!L$22)-MONTH($J38))-(EDATE($J38,((YEAR(Lists!L$22)-YEAR($J38))*12+MONTH(Lists!L$22)-MONTH($J38)))&gt;Lists!L$22)+1)))),IF($AP38="F",IF(N($K38)&lt;=0,0,MIN(MAX(0,$H38),N($K38)*IF(Lists!L$21&lt;$J38,0,(((YEAR(Lists!L$21)-YEAR($J38))*12+MONTH(Lists!L$21)-MONTH($J38))-(EDATE($J38,((YEAR(Lists!L$21)-YEAR($J38))*12+MONTH(Lists!L$21)-MONTH($J38)))&gt;Lists!L$21)+1)))-MIN(MAX(0,$H38),N($K38)*IF(Lists!L$22&lt;$J38,0,(((YEAR(Lists!L$22)-YEAR($J38))*12+MONTH(Lists!L$22)-MONTH($J38))-(EDATE($J38,((YEAR(Lists!L$22)-YEAR($J38))*12+MONTH(Lists!L$22)-MONTH($J38)))&gt;Lists!L$22)+1)))),N($C38)*IF($AE38-$AD38&lt;1,($AD38&gt;Lists!L$22)*($AD38&lt;=Lists!L$21),MAX(0,MIN(Lists!L$21,$AE38)-MAX(Lists!L$22,$AD38))/($AE38-$AD38))+N($D38)*IF($AG38-$AF38&lt;1,($AF38&gt;Lists!L$22)*($AF38&lt;=Lists!L$21),MAX(0,MIN(Lists!L$21,$AG38)-MAX(Lists!L$22,$AF38))/($AG38-$AF38))+N($E38)*IF($AI38-$AH38&lt;1,($AH38&gt;Lists!L$22)*($AH38&lt;=Lists!L$21),MAX(0,MIN(Lists!L$21,$AI38)-MAX(Lists!L$22,$AH38))/($AI38-$AH38))+N($F38)*IF($AK38-$AJ38&lt;1,($AJ38&gt;Lists!L$22)*($AJ38&lt;=Lists!L$21),MAX(0,MIN(Lists!L$21,$AK38)-MAX(Lists!L$22,$AJ38))/($AK38-$AJ38))+N($G38)*IF($AM38-$AL38&lt;1,($AL38&gt;Lists!L$22)*($AL38&lt;=Lists!L$21),MAX(0,MIN(Lists!L$21,$AM38)-MAX(Lists!L$22,$AL38))/($AM38-$AL38))))))))</f>
        <v>0</v>
      </c>
      <c r="W38" s="53" t="n">
        <f aca="false">IF($H38=0,0,IF($AP38="X",0,IF($AP38="S",$H38/$AO38*(MIN($AO38,MAX(0,INT((Lists!M$21-N($J38))/7)+1))-MIN($AO38,MAX(0,INT((Lists!M$22-N($J38))/7)+1))),IF($AP38="D",$H38*MAX(0,MIN(Lists!M$21,N($J38)+$AO38)-MAX(Lists!M$22,N($J38)))/$AO38,IF($AP38="M",$H38/$AO38*(IF(Lists!M$21&lt;$J38,0,MIN($AO38,(((YEAR(Lists!M$21)-YEAR($J38))*12+MONTH(Lists!M$21)-MONTH($J38))-(EDATE($J38,((YEAR(Lists!M$21)-YEAR($J38))*12+MONTH(Lists!M$21)-MONTH($J38)))&gt;Lists!M$21)+1)))-IF(Lists!M$22&lt;$J38,0,MIN($AO38,(((YEAR(Lists!M$22)-YEAR($J38))*12+MONTH(Lists!M$22)-MONTH($J38))-(EDATE($J38,((YEAR(Lists!M$22)-YEAR($J38))*12+MONTH(Lists!M$22)-MONTH($J38)))&gt;Lists!M$22)+1)))),IF($AP38="F",IF(N($K38)&lt;=0,0,MIN(MAX(0,$H38),N($K38)*IF(Lists!M$21&lt;$J38,0,(((YEAR(Lists!M$21)-YEAR($J38))*12+MONTH(Lists!M$21)-MONTH($J38))-(EDATE($J38,((YEAR(Lists!M$21)-YEAR($J38))*12+MONTH(Lists!M$21)-MONTH($J38)))&gt;Lists!M$21)+1)))-MIN(MAX(0,$H38),N($K38)*IF(Lists!M$22&lt;$J38,0,(((YEAR(Lists!M$22)-YEAR($J38))*12+MONTH(Lists!M$22)-MONTH($J38))-(EDATE($J38,((YEAR(Lists!M$22)-YEAR($J38))*12+MONTH(Lists!M$22)-MONTH($J38)))&gt;Lists!M$22)+1)))),N($C38)*IF($AE38-$AD38&lt;1,($AD38&gt;Lists!M$22)*($AD38&lt;=Lists!M$21),MAX(0,MIN(Lists!M$21,$AE38)-MAX(Lists!M$22,$AD38))/($AE38-$AD38))+N($D38)*IF($AG38-$AF38&lt;1,($AF38&gt;Lists!M$22)*($AF38&lt;=Lists!M$21),MAX(0,MIN(Lists!M$21,$AG38)-MAX(Lists!M$22,$AF38))/($AG38-$AF38))+N($E38)*IF($AI38-$AH38&lt;1,($AH38&gt;Lists!M$22)*($AH38&lt;=Lists!M$21),MAX(0,MIN(Lists!M$21,$AI38)-MAX(Lists!M$22,$AH38))/($AI38-$AH38))+N($F38)*IF($AK38-$AJ38&lt;1,($AJ38&gt;Lists!M$22)*($AJ38&lt;=Lists!M$21),MAX(0,MIN(Lists!M$21,$AK38)-MAX(Lists!M$22,$AJ38))/($AK38-$AJ38))+N($G38)*IF($AM38-$AL38&lt;1,($AL38&gt;Lists!M$22)*($AL38&lt;=Lists!M$21),MAX(0,MIN(Lists!M$21,$AM38)-MAX(Lists!M$22,$AL38))/($AM38-$AL38))))))))</f>
        <v>0</v>
      </c>
      <c r="X38" s="53" t="n">
        <f aca="false">IF($H38=0,0,IF($AP38="X",0,IF($AP38="S",$H38/$AO38*(MIN($AO38,MAX(0,INT((Lists!N$21-N($J38))/7)+1))-MIN($AO38,MAX(0,INT((Lists!N$22-N($J38))/7)+1))),IF($AP38="D",$H38*MAX(0,MIN(Lists!N$21,N($J38)+$AO38)-MAX(Lists!N$22,N($J38)))/$AO38,IF($AP38="M",$H38/$AO38*(IF(Lists!N$21&lt;$J38,0,MIN($AO38,(((YEAR(Lists!N$21)-YEAR($J38))*12+MONTH(Lists!N$21)-MONTH($J38))-(EDATE($J38,((YEAR(Lists!N$21)-YEAR($J38))*12+MONTH(Lists!N$21)-MONTH($J38)))&gt;Lists!N$21)+1)))-IF(Lists!N$22&lt;$J38,0,MIN($AO38,(((YEAR(Lists!N$22)-YEAR($J38))*12+MONTH(Lists!N$22)-MONTH($J38))-(EDATE($J38,((YEAR(Lists!N$22)-YEAR($J38))*12+MONTH(Lists!N$22)-MONTH($J38)))&gt;Lists!N$22)+1)))),IF($AP38="F",IF(N($K38)&lt;=0,0,MIN(MAX(0,$H38),N($K38)*IF(Lists!N$21&lt;$J38,0,(((YEAR(Lists!N$21)-YEAR($J38))*12+MONTH(Lists!N$21)-MONTH($J38))-(EDATE($J38,((YEAR(Lists!N$21)-YEAR($J38))*12+MONTH(Lists!N$21)-MONTH($J38)))&gt;Lists!N$21)+1)))-MIN(MAX(0,$H38),N($K38)*IF(Lists!N$22&lt;$J38,0,(((YEAR(Lists!N$22)-YEAR($J38))*12+MONTH(Lists!N$22)-MONTH($J38))-(EDATE($J38,((YEAR(Lists!N$22)-YEAR($J38))*12+MONTH(Lists!N$22)-MONTH($J38)))&gt;Lists!N$22)+1)))),N($C38)*IF($AE38-$AD38&lt;1,($AD38&gt;Lists!N$22)*($AD38&lt;=Lists!N$21),MAX(0,MIN(Lists!N$21,$AE38)-MAX(Lists!N$22,$AD38))/($AE38-$AD38))+N($D38)*IF($AG38-$AF38&lt;1,($AF38&gt;Lists!N$22)*($AF38&lt;=Lists!N$21),MAX(0,MIN(Lists!N$21,$AG38)-MAX(Lists!N$22,$AF38))/($AG38-$AF38))+N($E38)*IF($AI38-$AH38&lt;1,($AH38&gt;Lists!N$22)*($AH38&lt;=Lists!N$21),MAX(0,MIN(Lists!N$21,$AI38)-MAX(Lists!N$22,$AH38))/($AI38-$AH38))+N($F38)*IF($AK38-$AJ38&lt;1,($AJ38&gt;Lists!N$22)*($AJ38&lt;=Lists!N$21),MAX(0,MIN(Lists!N$21,$AK38)-MAX(Lists!N$22,$AJ38))/($AK38-$AJ38))+N($G38)*IF($AM38-$AL38&lt;1,($AL38&gt;Lists!N$22)*($AL38&lt;=Lists!N$21),MAX(0,MIN(Lists!N$21,$AM38)-MAX(Lists!N$22,$AL38))/($AM38-$AL38))))))))</f>
        <v>0</v>
      </c>
      <c r="Y38" s="53" t="n">
        <f aca="false">IF($H38=0,0,IF($AP38="X",0,IF($AP38="S",$H38/$AO38*(MIN($AO38,MAX(0,INT((Lists!O$21-N($J38))/7)+1))-MIN($AO38,MAX(0,INT((Lists!O$22-N($J38))/7)+1))),IF($AP38="D",$H38*MAX(0,MIN(Lists!O$21,N($J38)+$AO38)-MAX(Lists!O$22,N($J38)))/$AO38,IF($AP38="M",$H38/$AO38*(IF(Lists!O$21&lt;$J38,0,MIN($AO38,(((YEAR(Lists!O$21)-YEAR($J38))*12+MONTH(Lists!O$21)-MONTH($J38))-(EDATE($J38,((YEAR(Lists!O$21)-YEAR($J38))*12+MONTH(Lists!O$21)-MONTH($J38)))&gt;Lists!O$21)+1)))-IF(Lists!O$22&lt;$J38,0,MIN($AO38,(((YEAR(Lists!O$22)-YEAR($J38))*12+MONTH(Lists!O$22)-MONTH($J38))-(EDATE($J38,((YEAR(Lists!O$22)-YEAR($J38))*12+MONTH(Lists!O$22)-MONTH($J38)))&gt;Lists!O$22)+1)))),IF($AP38="F",IF(N($K38)&lt;=0,0,MIN(MAX(0,$H38),N($K38)*IF(Lists!O$21&lt;$J38,0,(((YEAR(Lists!O$21)-YEAR($J38))*12+MONTH(Lists!O$21)-MONTH($J38))-(EDATE($J38,((YEAR(Lists!O$21)-YEAR($J38))*12+MONTH(Lists!O$21)-MONTH($J38)))&gt;Lists!O$21)+1)))-MIN(MAX(0,$H38),N($K38)*IF(Lists!O$22&lt;$J38,0,(((YEAR(Lists!O$22)-YEAR($J38))*12+MONTH(Lists!O$22)-MONTH($J38))-(EDATE($J38,((YEAR(Lists!O$22)-YEAR($J38))*12+MONTH(Lists!O$22)-MONTH($J38)))&gt;Lists!O$22)+1)))),N($C38)*IF($AE38-$AD38&lt;1,($AD38&gt;Lists!O$22)*($AD38&lt;=Lists!O$21),MAX(0,MIN(Lists!O$21,$AE38)-MAX(Lists!O$22,$AD38))/($AE38-$AD38))+N($D38)*IF($AG38-$AF38&lt;1,($AF38&gt;Lists!O$22)*($AF38&lt;=Lists!O$21),MAX(0,MIN(Lists!O$21,$AG38)-MAX(Lists!O$22,$AF38))/($AG38-$AF38))+N($E38)*IF($AI38-$AH38&lt;1,($AH38&gt;Lists!O$22)*($AH38&lt;=Lists!O$21),MAX(0,MIN(Lists!O$21,$AI38)-MAX(Lists!O$22,$AH38))/($AI38-$AH38))+N($F38)*IF($AK38-$AJ38&lt;1,($AJ38&gt;Lists!O$22)*($AJ38&lt;=Lists!O$21),MAX(0,MIN(Lists!O$21,$AK38)-MAX(Lists!O$22,$AJ38))/($AK38-$AJ38))+N($G38)*IF($AM38-$AL38&lt;1,($AL38&gt;Lists!O$22)*($AL38&lt;=Lists!O$21),MAX(0,MIN(Lists!O$21,$AM38)-MAX(Lists!O$22,$AL38))/($AM38-$AL38))))))))</f>
        <v>0</v>
      </c>
      <c r="Z38" s="46" t="n">
        <f aca="false">SUM(M38:Y38)</f>
        <v>0</v>
      </c>
      <c r="AA38" s="92" t="n">
        <f aca="false">H38-Z38</f>
        <v>0</v>
      </c>
      <c r="AB38" s="55"/>
      <c r="AC38" s="2"/>
      <c r="AD38" s="93" t="n">
        <f aca="false">Setup!$D$10+MAX(0,$AN38-30)</f>
        <v>46345</v>
      </c>
      <c r="AE38" s="93" t="n">
        <f aca="false">Setup!$D$10+IF($AN38-30&lt;0,MAX(Setup!$D$22,$AN38-0),$AN38-0)</f>
        <v>46375</v>
      </c>
      <c r="AF38" s="93" t="n">
        <f aca="false">Setup!$D$10+MAX(0,$AN38-60)</f>
        <v>46335</v>
      </c>
      <c r="AG38" s="93" t="n">
        <f aca="false">Setup!$D$10+IF($AN38-60&lt;0,MAX(Setup!$D$22,$AN38-31),$AN38-31)</f>
        <v>46363</v>
      </c>
      <c r="AH38" s="93" t="n">
        <f aca="false">Setup!$D$10+MAX(0,$AN38-90)</f>
        <v>46335</v>
      </c>
      <c r="AI38" s="93" t="n">
        <f aca="false">Setup!$D$10+IF($AN38-90&lt;0,MAX(Setup!$D$22,$AN38-61),$AN38-61)</f>
        <v>46363</v>
      </c>
      <c r="AJ38" s="93" t="n">
        <f aca="false">Setup!$D$10+MAX(0,$AN38-120)</f>
        <v>46335</v>
      </c>
      <c r="AK38" s="93" t="n">
        <f aca="false">Setup!$D$10+IF($AN38-120&lt;0,MAX(Setup!$D$22,$AN38-91),$AN38-91)</f>
        <v>46363</v>
      </c>
      <c r="AL38" s="93" t="n">
        <f aca="false">Setup!$D$10</f>
        <v>46335</v>
      </c>
      <c r="AM38" s="93" t="n">
        <f aca="false">IF(AL38=2958465,AL38,Setup!$D$10+Setup!$D$22)</f>
        <v>46363</v>
      </c>
      <c r="AN38" s="94" t="n">
        <f aca="false">IF(N(L38)=0,Setup!$D$21,L38)</f>
        <v>40</v>
      </c>
      <c r="AO38" s="94" t="n">
        <f aca="false">MAX(1,ROUND(N(K38),0))</f>
        <v>1</v>
      </c>
      <c r="AP38" s="95" t="str">
        <f aca="false">IF(I38="On hold","X",IF(N(J38)=0,"A",IF(I38="Specific date","S",IF(I38="Spread over days","D",IF(I38="Monthly on set day","M",IF(I38="Monthly fixed amount","F","A"))))))</f>
        <v>A</v>
      </c>
    </row>
    <row r="39" customFormat="false" ht="15" hidden="false" customHeight="false" outlineLevel="0" collapsed="false">
      <c r="A39" s="87" t="n">
        <v>31</v>
      </c>
      <c r="B39" s="55"/>
      <c r="C39" s="88"/>
      <c r="D39" s="88"/>
      <c r="E39" s="88"/>
      <c r="F39" s="88"/>
      <c r="G39" s="88"/>
      <c r="H39" s="89" t="n">
        <f aca="false">SUM(C39:G39)</f>
        <v>0</v>
      </c>
      <c r="I39" s="58"/>
      <c r="J39" s="90"/>
      <c r="K39" s="91"/>
      <c r="L39" s="80"/>
      <c r="M39" s="53" t="n">
        <f aca="false">IF($H39=0,0,IF($AP39="X",0,IF($AP39="S",$H39/$AO39*(MIN($AO39,MAX(0,INT((Lists!C$21-N($J39))/7)+1))-MIN($AO39,MAX(0,INT((Lists!C$22-N($J39))/7)+1))),IF($AP39="D",$H39*MAX(0,MIN(Lists!C$21,N($J39)+$AO39)-MAX(Lists!C$22,N($J39)))/$AO39,IF($AP39="M",$H39/$AO39*(IF(Lists!C$21&lt;$J39,0,MIN($AO39,(((YEAR(Lists!C$21)-YEAR($J39))*12+MONTH(Lists!C$21)-MONTH($J39))-(EDATE($J39,((YEAR(Lists!C$21)-YEAR($J39))*12+MONTH(Lists!C$21)-MONTH($J39)))&gt;Lists!C$21)+1)))-IF(Lists!C$22&lt;$J39,0,MIN($AO39,(((YEAR(Lists!C$22)-YEAR($J39))*12+MONTH(Lists!C$22)-MONTH($J39))-(EDATE($J39,((YEAR(Lists!C$22)-YEAR($J39))*12+MONTH(Lists!C$22)-MONTH($J39)))&gt;Lists!C$22)+1)))),IF($AP39="F",IF(N($K39)&lt;=0,0,MIN(MAX(0,$H39),N($K39)*IF(Lists!C$21&lt;$J39,0,(((YEAR(Lists!C$21)-YEAR($J39))*12+MONTH(Lists!C$21)-MONTH($J39))-(EDATE($J39,((YEAR(Lists!C$21)-YEAR($J39))*12+MONTH(Lists!C$21)-MONTH($J39)))&gt;Lists!C$21)+1)))-MIN(MAX(0,$H39),N($K39)*IF(Lists!C$22&lt;$J39,0,(((YEAR(Lists!C$22)-YEAR($J39))*12+MONTH(Lists!C$22)-MONTH($J39))-(EDATE($J39,((YEAR(Lists!C$22)-YEAR($J39))*12+MONTH(Lists!C$22)-MONTH($J39)))&gt;Lists!C$22)+1)))),N($C39)*IF($AE39-$AD39&lt;1,($AD39&gt;Lists!C$22)*($AD39&lt;=Lists!C$21),MAX(0,MIN(Lists!C$21,$AE39)-MAX(Lists!C$22,$AD39))/($AE39-$AD39))+N($D39)*IF($AG39-$AF39&lt;1,($AF39&gt;Lists!C$22)*($AF39&lt;=Lists!C$21),MAX(0,MIN(Lists!C$21,$AG39)-MAX(Lists!C$22,$AF39))/($AG39-$AF39))+N($E39)*IF($AI39-$AH39&lt;1,($AH39&gt;Lists!C$22)*($AH39&lt;=Lists!C$21),MAX(0,MIN(Lists!C$21,$AI39)-MAX(Lists!C$22,$AH39))/($AI39-$AH39))+N($F39)*IF($AK39-$AJ39&lt;1,($AJ39&gt;Lists!C$22)*($AJ39&lt;=Lists!C$21),MAX(0,MIN(Lists!C$21,$AK39)-MAX(Lists!C$22,$AJ39))/($AK39-$AJ39))+N($G39)*IF($AM39-$AL39&lt;1,($AL39&gt;Lists!C$22)*($AL39&lt;=Lists!C$21),MAX(0,MIN(Lists!C$21,$AM39)-MAX(Lists!C$22,$AL39))/($AM39-$AL39))))))))</f>
        <v>0</v>
      </c>
      <c r="N39" s="53" t="n">
        <f aca="false">IF($H39=0,0,IF($AP39="X",0,IF($AP39="S",$H39/$AO39*(MIN($AO39,MAX(0,INT((Lists!D$21-N($J39))/7)+1))-MIN($AO39,MAX(0,INT((Lists!D$22-N($J39))/7)+1))),IF($AP39="D",$H39*MAX(0,MIN(Lists!D$21,N($J39)+$AO39)-MAX(Lists!D$22,N($J39)))/$AO39,IF($AP39="M",$H39/$AO39*(IF(Lists!D$21&lt;$J39,0,MIN($AO39,(((YEAR(Lists!D$21)-YEAR($J39))*12+MONTH(Lists!D$21)-MONTH($J39))-(EDATE($J39,((YEAR(Lists!D$21)-YEAR($J39))*12+MONTH(Lists!D$21)-MONTH($J39)))&gt;Lists!D$21)+1)))-IF(Lists!D$22&lt;$J39,0,MIN($AO39,(((YEAR(Lists!D$22)-YEAR($J39))*12+MONTH(Lists!D$22)-MONTH($J39))-(EDATE($J39,((YEAR(Lists!D$22)-YEAR($J39))*12+MONTH(Lists!D$22)-MONTH($J39)))&gt;Lists!D$22)+1)))),IF($AP39="F",IF(N($K39)&lt;=0,0,MIN(MAX(0,$H39),N($K39)*IF(Lists!D$21&lt;$J39,0,(((YEAR(Lists!D$21)-YEAR($J39))*12+MONTH(Lists!D$21)-MONTH($J39))-(EDATE($J39,((YEAR(Lists!D$21)-YEAR($J39))*12+MONTH(Lists!D$21)-MONTH($J39)))&gt;Lists!D$21)+1)))-MIN(MAX(0,$H39),N($K39)*IF(Lists!D$22&lt;$J39,0,(((YEAR(Lists!D$22)-YEAR($J39))*12+MONTH(Lists!D$22)-MONTH($J39))-(EDATE($J39,((YEAR(Lists!D$22)-YEAR($J39))*12+MONTH(Lists!D$22)-MONTH($J39)))&gt;Lists!D$22)+1)))),N($C39)*IF($AE39-$AD39&lt;1,($AD39&gt;Lists!D$22)*($AD39&lt;=Lists!D$21),MAX(0,MIN(Lists!D$21,$AE39)-MAX(Lists!D$22,$AD39))/($AE39-$AD39))+N($D39)*IF($AG39-$AF39&lt;1,($AF39&gt;Lists!D$22)*($AF39&lt;=Lists!D$21),MAX(0,MIN(Lists!D$21,$AG39)-MAX(Lists!D$22,$AF39))/($AG39-$AF39))+N($E39)*IF($AI39-$AH39&lt;1,($AH39&gt;Lists!D$22)*($AH39&lt;=Lists!D$21),MAX(0,MIN(Lists!D$21,$AI39)-MAX(Lists!D$22,$AH39))/($AI39-$AH39))+N($F39)*IF($AK39-$AJ39&lt;1,($AJ39&gt;Lists!D$22)*($AJ39&lt;=Lists!D$21),MAX(0,MIN(Lists!D$21,$AK39)-MAX(Lists!D$22,$AJ39))/($AK39-$AJ39))+N($G39)*IF($AM39-$AL39&lt;1,($AL39&gt;Lists!D$22)*($AL39&lt;=Lists!D$21),MAX(0,MIN(Lists!D$21,$AM39)-MAX(Lists!D$22,$AL39))/($AM39-$AL39))))))))</f>
        <v>0</v>
      </c>
      <c r="O39" s="53" t="n">
        <f aca="false">IF($H39=0,0,IF($AP39="X",0,IF($AP39="S",$H39/$AO39*(MIN($AO39,MAX(0,INT((Lists!E$21-N($J39))/7)+1))-MIN($AO39,MAX(0,INT((Lists!E$22-N($J39))/7)+1))),IF($AP39="D",$H39*MAX(0,MIN(Lists!E$21,N($J39)+$AO39)-MAX(Lists!E$22,N($J39)))/$AO39,IF($AP39="M",$H39/$AO39*(IF(Lists!E$21&lt;$J39,0,MIN($AO39,(((YEAR(Lists!E$21)-YEAR($J39))*12+MONTH(Lists!E$21)-MONTH($J39))-(EDATE($J39,((YEAR(Lists!E$21)-YEAR($J39))*12+MONTH(Lists!E$21)-MONTH($J39)))&gt;Lists!E$21)+1)))-IF(Lists!E$22&lt;$J39,0,MIN($AO39,(((YEAR(Lists!E$22)-YEAR($J39))*12+MONTH(Lists!E$22)-MONTH($J39))-(EDATE($J39,((YEAR(Lists!E$22)-YEAR($J39))*12+MONTH(Lists!E$22)-MONTH($J39)))&gt;Lists!E$22)+1)))),IF($AP39="F",IF(N($K39)&lt;=0,0,MIN(MAX(0,$H39),N($K39)*IF(Lists!E$21&lt;$J39,0,(((YEAR(Lists!E$21)-YEAR($J39))*12+MONTH(Lists!E$21)-MONTH($J39))-(EDATE($J39,((YEAR(Lists!E$21)-YEAR($J39))*12+MONTH(Lists!E$21)-MONTH($J39)))&gt;Lists!E$21)+1)))-MIN(MAX(0,$H39),N($K39)*IF(Lists!E$22&lt;$J39,0,(((YEAR(Lists!E$22)-YEAR($J39))*12+MONTH(Lists!E$22)-MONTH($J39))-(EDATE($J39,((YEAR(Lists!E$22)-YEAR($J39))*12+MONTH(Lists!E$22)-MONTH($J39)))&gt;Lists!E$22)+1)))),N($C39)*IF($AE39-$AD39&lt;1,($AD39&gt;Lists!E$22)*($AD39&lt;=Lists!E$21),MAX(0,MIN(Lists!E$21,$AE39)-MAX(Lists!E$22,$AD39))/($AE39-$AD39))+N($D39)*IF($AG39-$AF39&lt;1,($AF39&gt;Lists!E$22)*($AF39&lt;=Lists!E$21),MAX(0,MIN(Lists!E$21,$AG39)-MAX(Lists!E$22,$AF39))/($AG39-$AF39))+N($E39)*IF($AI39-$AH39&lt;1,($AH39&gt;Lists!E$22)*($AH39&lt;=Lists!E$21),MAX(0,MIN(Lists!E$21,$AI39)-MAX(Lists!E$22,$AH39))/($AI39-$AH39))+N($F39)*IF($AK39-$AJ39&lt;1,($AJ39&gt;Lists!E$22)*($AJ39&lt;=Lists!E$21),MAX(0,MIN(Lists!E$21,$AK39)-MAX(Lists!E$22,$AJ39))/($AK39-$AJ39))+N($G39)*IF($AM39-$AL39&lt;1,($AL39&gt;Lists!E$22)*($AL39&lt;=Lists!E$21),MAX(0,MIN(Lists!E$21,$AM39)-MAX(Lists!E$22,$AL39))/($AM39-$AL39))))))))</f>
        <v>0</v>
      </c>
      <c r="P39" s="53" t="n">
        <f aca="false">IF($H39=0,0,IF($AP39="X",0,IF($AP39="S",$H39/$AO39*(MIN($AO39,MAX(0,INT((Lists!F$21-N($J39))/7)+1))-MIN($AO39,MAX(0,INT((Lists!F$22-N($J39))/7)+1))),IF($AP39="D",$H39*MAX(0,MIN(Lists!F$21,N($J39)+$AO39)-MAX(Lists!F$22,N($J39)))/$AO39,IF($AP39="M",$H39/$AO39*(IF(Lists!F$21&lt;$J39,0,MIN($AO39,(((YEAR(Lists!F$21)-YEAR($J39))*12+MONTH(Lists!F$21)-MONTH($J39))-(EDATE($J39,((YEAR(Lists!F$21)-YEAR($J39))*12+MONTH(Lists!F$21)-MONTH($J39)))&gt;Lists!F$21)+1)))-IF(Lists!F$22&lt;$J39,0,MIN($AO39,(((YEAR(Lists!F$22)-YEAR($J39))*12+MONTH(Lists!F$22)-MONTH($J39))-(EDATE($J39,((YEAR(Lists!F$22)-YEAR($J39))*12+MONTH(Lists!F$22)-MONTH($J39)))&gt;Lists!F$22)+1)))),IF($AP39="F",IF(N($K39)&lt;=0,0,MIN(MAX(0,$H39),N($K39)*IF(Lists!F$21&lt;$J39,0,(((YEAR(Lists!F$21)-YEAR($J39))*12+MONTH(Lists!F$21)-MONTH($J39))-(EDATE($J39,((YEAR(Lists!F$21)-YEAR($J39))*12+MONTH(Lists!F$21)-MONTH($J39)))&gt;Lists!F$21)+1)))-MIN(MAX(0,$H39),N($K39)*IF(Lists!F$22&lt;$J39,0,(((YEAR(Lists!F$22)-YEAR($J39))*12+MONTH(Lists!F$22)-MONTH($J39))-(EDATE($J39,((YEAR(Lists!F$22)-YEAR($J39))*12+MONTH(Lists!F$22)-MONTH($J39)))&gt;Lists!F$22)+1)))),N($C39)*IF($AE39-$AD39&lt;1,($AD39&gt;Lists!F$22)*($AD39&lt;=Lists!F$21),MAX(0,MIN(Lists!F$21,$AE39)-MAX(Lists!F$22,$AD39))/($AE39-$AD39))+N($D39)*IF($AG39-$AF39&lt;1,($AF39&gt;Lists!F$22)*($AF39&lt;=Lists!F$21),MAX(0,MIN(Lists!F$21,$AG39)-MAX(Lists!F$22,$AF39))/($AG39-$AF39))+N($E39)*IF($AI39-$AH39&lt;1,($AH39&gt;Lists!F$22)*($AH39&lt;=Lists!F$21),MAX(0,MIN(Lists!F$21,$AI39)-MAX(Lists!F$22,$AH39))/($AI39-$AH39))+N($F39)*IF($AK39-$AJ39&lt;1,($AJ39&gt;Lists!F$22)*($AJ39&lt;=Lists!F$21),MAX(0,MIN(Lists!F$21,$AK39)-MAX(Lists!F$22,$AJ39))/($AK39-$AJ39))+N($G39)*IF($AM39-$AL39&lt;1,($AL39&gt;Lists!F$22)*($AL39&lt;=Lists!F$21),MAX(0,MIN(Lists!F$21,$AM39)-MAX(Lists!F$22,$AL39))/($AM39-$AL39))))))))</f>
        <v>0</v>
      </c>
      <c r="Q39" s="53" t="n">
        <f aca="false">IF($H39=0,0,IF($AP39="X",0,IF($AP39="S",$H39/$AO39*(MIN($AO39,MAX(0,INT((Lists!G$21-N($J39))/7)+1))-MIN($AO39,MAX(0,INT((Lists!G$22-N($J39))/7)+1))),IF($AP39="D",$H39*MAX(0,MIN(Lists!G$21,N($J39)+$AO39)-MAX(Lists!G$22,N($J39)))/$AO39,IF($AP39="M",$H39/$AO39*(IF(Lists!G$21&lt;$J39,0,MIN($AO39,(((YEAR(Lists!G$21)-YEAR($J39))*12+MONTH(Lists!G$21)-MONTH($J39))-(EDATE($J39,((YEAR(Lists!G$21)-YEAR($J39))*12+MONTH(Lists!G$21)-MONTH($J39)))&gt;Lists!G$21)+1)))-IF(Lists!G$22&lt;$J39,0,MIN($AO39,(((YEAR(Lists!G$22)-YEAR($J39))*12+MONTH(Lists!G$22)-MONTH($J39))-(EDATE($J39,((YEAR(Lists!G$22)-YEAR($J39))*12+MONTH(Lists!G$22)-MONTH($J39)))&gt;Lists!G$22)+1)))),IF($AP39="F",IF(N($K39)&lt;=0,0,MIN(MAX(0,$H39),N($K39)*IF(Lists!G$21&lt;$J39,0,(((YEAR(Lists!G$21)-YEAR($J39))*12+MONTH(Lists!G$21)-MONTH($J39))-(EDATE($J39,((YEAR(Lists!G$21)-YEAR($J39))*12+MONTH(Lists!G$21)-MONTH($J39)))&gt;Lists!G$21)+1)))-MIN(MAX(0,$H39),N($K39)*IF(Lists!G$22&lt;$J39,0,(((YEAR(Lists!G$22)-YEAR($J39))*12+MONTH(Lists!G$22)-MONTH($J39))-(EDATE($J39,((YEAR(Lists!G$22)-YEAR($J39))*12+MONTH(Lists!G$22)-MONTH($J39)))&gt;Lists!G$22)+1)))),N($C39)*IF($AE39-$AD39&lt;1,($AD39&gt;Lists!G$22)*($AD39&lt;=Lists!G$21),MAX(0,MIN(Lists!G$21,$AE39)-MAX(Lists!G$22,$AD39))/($AE39-$AD39))+N($D39)*IF($AG39-$AF39&lt;1,($AF39&gt;Lists!G$22)*($AF39&lt;=Lists!G$21),MAX(0,MIN(Lists!G$21,$AG39)-MAX(Lists!G$22,$AF39))/($AG39-$AF39))+N($E39)*IF($AI39-$AH39&lt;1,($AH39&gt;Lists!G$22)*($AH39&lt;=Lists!G$21),MAX(0,MIN(Lists!G$21,$AI39)-MAX(Lists!G$22,$AH39))/($AI39-$AH39))+N($F39)*IF($AK39-$AJ39&lt;1,($AJ39&gt;Lists!G$22)*($AJ39&lt;=Lists!G$21),MAX(0,MIN(Lists!G$21,$AK39)-MAX(Lists!G$22,$AJ39))/($AK39-$AJ39))+N($G39)*IF($AM39-$AL39&lt;1,($AL39&gt;Lists!G$22)*($AL39&lt;=Lists!G$21),MAX(0,MIN(Lists!G$21,$AM39)-MAX(Lists!G$22,$AL39))/($AM39-$AL39))))))))</f>
        <v>0</v>
      </c>
      <c r="R39" s="53" t="n">
        <f aca="false">IF($H39=0,0,IF($AP39="X",0,IF($AP39="S",$H39/$AO39*(MIN($AO39,MAX(0,INT((Lists!H$21-N($J39))/7)+1))-MIN($AO39,MAX(0,INT((Lists!H$22-N($J39))/7)+1))),IF($AP39="D",$H39*MAX(0,MIN(Lists!H$21,N($J39)+$AO39)-MAX(Lists!H$22,N($J39)))/$AO39,IF($AP39="M",$H39/$AO39*(IF(Lists!H$21&lt;$J39,0,MIN($AO39,(((YEAR(Lists!H$21)-YEAR($J39))*12+MONTH(Lists!H$21)-MONTH($J39))-(EDATE($J39,((YEAR(Lists!H$21)-YEAR($J39))*12+MONTH(Lists!H$21)-MONTH($J39)))&gt;Lists!H$21)+1)))-IF(Lists!H$22&lt;$J39,0,MIN($AO39,(((YEAR(Lists!H$22)-YEAR($J39))*12+MONTH(Lists!H$22)-MONTH($J39))-(EDATE($J39,((YEAR(Lists!H$22)-YEAR($J39))*12+MONTH(Lists!H$22)-MONTH($J39)))&gt;Lists!H$22)+1)))),IF($AP39="F",IF(N($K39)&lt;=0,0,MIN(MAX(0,$H39),N($K39)*IF(Lists!H$21&lt;$J39,0,(((YEAR(Lists!H$21)-YEAR($J39))*12+MONTH(Lists!H$21)-MONTH($J39))-(EDATE($J39,((YEAR(Lists!H$21)-YEAR($J39))*12+MONTH(Lists!H$21)-MONTH($J39)))&gt;Lists!H$21)+1)))-MIN(MAX(0,$H39),N($K39)*IF(Lists!H$22&lt;$J39,0,(((YEAR(Lists!H$22)-YEAR($J39))*12+MONTH(Lists!H$22)-MONTH($J39))-(EDATE($J39,((YEAR(Lists!H$22)-YEAR($J39))*12+MONTH(Lists!H$22)-MONTH($J39)))&gt;Lists!H$22)+1)))),N($C39)*IF($AE39-$AD39&lt;1,($AD39&gt;Lists!H$22)*($AD39&lt;=Lists!H$21),MAX(0,MIN(Lists!H$21,$AE39)-MAX(Lists!H$22,$AD39))/($AE39-$AD39))+N($D39)*IF($AG39-$AF39&lt;1,($AF39&gt;Lists!H$22)*($AF39&lt;=Lists!H$21),MAX(0,MIN(Lists!H$21,$AG39)-MAX(Lists!H$22,$AF39))/($AG39-$AF39))+N($E39)*IF($AI39-$AH39&lt;1,($AH39&gt;Lists!H$22)*($AH39&lt;=Lists!H$21),MAX(0,MIN(Lists!H$21,$AI39)-MAX(Lists!H$22,$AH39))/($AI39-$AH39))+N($F39)*IF($AK39-$AJ39&lt;1,($AJ39&gt;Lists!H$22)*($AJ39&lt;=Lists!H$21),MAX(0,MIN(Lists!H$21,$AK39)-MAX(Lists!H$22,$AJ39))/($AK39-$AJ39))+N($G39)*IF($AM39-$AL39&lt;1,($AL39&gt;Lists!H$22)*($AL39&lt;=Lists!H$21),MAX(0,MIN(Lists!H$21,$AM39)-MAX(Lists!H$22,$AL39))/($AM39-$AL39))))))))</f>
        <v>0</v>
      </c>
      <c r="S39" s="53" t="n">
        <f aca="false">IF($H39=0,0,IF($AP39="X",0,IF($AP39="S",$H39/$AO39*(MIN($AO39,MAX(0,INT((Lists!I$21-N($J39))/7)+1))-MIN($AO39,MAX(0,INT((Lists!I$22-N($J39))/7)+1))),IF($AP39="D",$H39*MAX(0,MIN(Lists!I$21,N($J39)+$AO39)-MAX(Lists!I$22,N($J39)))/$AO39,IF($AP39="M",$H39/$AO39*(IF(Lists!I$21&lt;$J39,0,MIN($AO39,(((YEAR(Lists!I$21)-YEAR($J39))*12+MONTH(Lists!I$21)-MONTH($J39))-(EDATE($J39,((YEAR(Lists!I$21)-YEAR($J39))*12+MONTH(Lists!I$21)-MONTH($J39)))&gt;Lists!I$21)+1)))-IF(Lists!I$22&lt;$J39,0,MIN($AO39,(((YEAR(Lists!I$22)-YEAR($J39))*12+MONTH(Lists!I$22)-MONTH($J39))-(EDATE($J39,((YEAR(Lists!I$22)-YEAR($J39))*12+MONTH(Lists!I$22)-MONTH($J39)))&gt;Lists!I$22)+1)))),IF($AP39="F",IF(N($K39)&lt;=0,0,MIN(MAX(0,$H39),N($K39)*IF(Lists!I$21&lt;$J39,0,(((YEAR(Lists!I$21)-YEAR($J39))*12+MONTH(Lists!I$21)-MONTH($J39))-(EDATE($J39,((YEAR(Lists!I$21)-YEAR($J39))*12+MONTH(Lists!I$21)-MONTH($J39)))&gt;Lists!I$21)+1)))-MIN(MAX(0,$H39),N($K39)*IF(Lists!I$22&lt;$J39,0,(((YEAR(Lists!I$22)-YEAR($J39))*12+MONTH(Lists!I$22)-MONTH($J39))-(EDATE($J39,((YEAR(Lists!I$22)-YEAR($J39))*12+MONTH(Lists!I$22)-MONTH($J39)))&gt;Lists!I$22)+1)))),N($C39)*IF($AE39-$AD39&lt;1,($AD39&gt;Lists!I$22)*($AD39&lt;=Lists!I$21),MAX(0,MIN(Lists!I$21,$AE39)-MAX(Lists!I$22,$AD39))/($AE39-$AD39))+N($D39)*IF($AG39-$AF39&lt;1,($AF39&gt;Lists!I$22)*($AF39&lt;=Lists!I$21),MAX(0,MIN(Lists!I$21,$AG39)-MAX(Lists!I$22,$AF39))/($AG39-$AF39))+N($E39)*IF($AI39-$AH39&lt;1,($AH39&gt;Lists!I$22)*($AH39&lt;=Lists!I$21),MAX(0,MIN(Lists!I$21,$AI39)-MAX(Lists!I$22,$AH39))/($AI39-$AH39))+N($F39)*IF($AK39-$AJ39&lt;1,($AJ39&gt;Lists!I$22)*($AJ39&lt;=Lists!I$21),MAX(0,MIN(Lists!I$21,$AK39)-MAX(Lists!I$22,$AJ39))/($AK39-$AJ39))+N($G39)*IF($AM39-$AL39&lt;1,($AL39&gt;Lists!I$22)*($AL39&lt;=Lists!I$21),MAX(0,MIN(Lists!I$21,$AM39)-MAX(Lists!I$22,$AL39))/($AM39-$AL39))))))))</f>
        <v>0</v>
      </c>
      <c r="T39" s="53" t="n">
        <f aca="false">IF($H39=0,0,IF($AP39="X",0,IF($AP39="S",$H39/$AO39*(MIN($AO39,MAX(0,INT((Lists!J$21-N($J39))/7)+1))-MIN($AO39,MAX(0,INT((Lists!J$22-N($J39))/7)+1))),IF($AP39="D",$H39*MAX(0,MIN(Lists!J$21,N($J39)+$AO39)-MAX(Lists!J$22,N($J39)))/$AO39,IF($AP39="M",$H39/$AO39*(IF(Lists!J$21&lt;$J39,0,MIN($AO39,(((YEAR(Lists!J$21)-YEAR($J39))*12+MONTH(Lists!J$21)-MONTH($J39))-(EDATE($J39,((YEAR(Lists!J$21)-YEAR($J39))*12+MONTH(Lists!J$21)-MONTH($J39)))&gt;Lists!J$21)+1)))-IF(Lists!J$22&lt;$J39,0,MIN($AO39,(((YEAR(Lists!J$22)-YEAR($J39))*12+MONTH(Lists!J$22)-MONTH($J39))-(EDATE($J39,((YEAR(Lists!J$22)-YEAR($J39))*12+MONTH(Lists!J$22)-MONTH($J39)))&gt;Lists!J$22)+1)))),IF($AP39="F",IF(N($K39)&lt;=0,0,MIN(MAX(0,$H39),N($K39)*IF(Lists!J$21&lt;$J39,0,(((YEAR(Lists!J$21)-YEAR($J39))*12+MONTH(Lists!J$21)-MONTH($J39))-(EDATE($J39,((YEAR(Lists!J$21)-YEAR($J39))*12+MONTH(Lists!J$21)-MONTH($J39)))&gt;Lists!J$21)+1)))-MIN(MAX(0,$H39),N($K39)*IF(Lists!J$22&lt;$J39,0,(((YEAR(Lists!J$22)-YEAR($J39))*12+MONTH(Lists!J$22)-MONTH($J39))-(EDATE($J39,((YEAR(Lists!J$22)-YEAR($J39))*12+MONTH(Lists!J$22)-MONTH($J39)))&gt;Lists!J$22)+1)))),N($C39)*IF($AE39-$AD39&lt;1,($AD39&gt;Lists!J$22)*($AD39&lt;=Lists!J$21),MAX(0,MIN(Lists!J$21,$AE39)-MAX(Lists!J$22,$AD39))/($AE39-$AD39))+N($D39)*IF($AG39-$AF39&lt;1,($AF39&gt;Lists!J$22)*($AF39&lt;=Lists!J$21),MAX(0,MIN(Lists!J$21,$AG39)-MAX(Lists!J$22,$AF39))/($AG39-$AF39))+N($E39)*IF($AI39-$AH39&lt;1,($AH39&gt;Lists!J$22)*($AH39&lt;=Lists!J$21),MAX(0,MIN(Lists!J$21,$AI39)-MAX(Lists!J$22,$AH39))/($AI39-$AH39))+N($F39)*IF($AK39-$AJ39&lt;1,($AJ39&gt;Lists!J$22)*($AJ39&lt;=Lists!J$21),MAX(0,MIN(Lists!J$21,$AK39)-MAX(Lists!J$22,$AJ39))/($AK39-$AJ39))+N($G39)*IF($AM39-$AL39&lt;1,($AL39&gt;Lists!J$22)*($AL39&lt;=Lists!J$21),MAX(0,MIN(Lists!J$21,$AM39)-MAX(Lists!J$22,$AL39))/($AM39-$AL39))))))))</f>
        <v>0</v>
      </c>
      <c r="U39" s="53" t="n">
        <f aca="false">IF($H39=0,0,IF($AP39="X",0,IF($AP39="S",$H39/$AO39*(MIN($AO39,MAX(0,INT((Lists!K$21-N($J39))/7)+1))-MIN($AO39,MAX(0,INT((Lists!K$22-N($J39))/7)+1))),IF($AP39="D",$H39*MAX(0,MIN(Lists!K$21,N($J39)+$AO39)-MAX(Lists!K$22,N($J39)))/$AO39,IF($AP39="M",$H39/$AO39*(IF(Lists!K$21&lt;$J39,0,MIN($AO39,(((YEAR(Lists!K$21)-YEAR($J39))*12+MONTH(Lists!K$21)-MONTH($J39))-(EDATE($J39,((YEAR(Lists!K$21)-YEAR($J39))*12+MONTH(Lists!K$21)-MONTH($J39)))&gt;Lists!K$21)+1)))-IF(Lists!K$22&lt;$J39,0,MIN($AO39,(((YEAR(Lists!K$22)-YEAR($J39))*12+MONTH(Lists!K$22)-MONTH($J39))-(EDATE($J39,((YEAR(Lists!K$22)-YEAR($J39))*12+MONTH(Lists!K$22)-MONTH($J39)))&gt;Lists!K$22)+1)))),IF($AP39="F",IF(N($K39)&lt;=0,0,MIN(MAX(0,$H39),N($K39)*IF(Lists!K$21&lt;$J39,0,(((YEAR(Lists!K$21)-YEAR($J39))*12+MONTH(Lists!K$21)-MONTH($J39))-(EDATE($J39,((YEAR(Lists!K$21)-YEAR($J39))*12+MONTH(Lists!K$21)-MONTH($J39)))&gt;Lists!K$21)+1)))-MIN(MAX(0,$H39),N($K39)*IF(Lists!K$22&lt;$J39,0,(((YEAR(Lists!K$22)-YEAR($J39))*12+MONTH(Lists!K$22)-MONTH($J39))-(EDATE($J39,((YEAR(Lists!K$22)-YEAR($J39))*12+MONTH(Lists!K$22)-MONTH($J39)))&gt;Lists!K$22)+1)))),N($C39)*IF($AE39-$AD39&lt;1,($AD39&gt;Lists!K$22)*($AD39&lt;=Lists!K$21),MAX(0,MIN(Lists!K$21,$AE39)-MAX(Lists!K$22,$AD39))/($AE39-$AD39))+N($D39)*IF($AG39-$AF39&lt;1,($AF39&gt;Lists!K$22)*($AF39&lt;=Lists!K$21),MAX(0,MIN(Lists!K$21,$AG39)-MAX(Lists!K$22,$AF39))/($AG39-$AF39))+N($E39)*IF($AI39-$AH39&lt;1,($AH39&gt;Lists!K$22)*($AH39&lt;=Lists!K$21),MAX(0,MIN(Lists!K$21,$AI39)-MAX(Lists!K$22,$AH39))/($AI39-$AH39))+N($F39)*IF($AK39-$AJ39&lt;1,($AJ39&gt;Lists!K$22)*($AJ39&lt;=Lists!K$21),MAX(0,MIN(Lists!K$21,$AK39)-MAX(Lists!K$22,$AJ39))/($AK39-$AJ39))+N($G39)*IF($AM39-$AL39&lt;1,($AL39&gt;Lists!K$22)*($AL39&lt;=Lists!K$21),MAX(0,MIN(Lists!K$21,$AM39)-MAX(Lists!K$22,$AL39))/($AM39-$AL39))))))))</f>
        <v>0</v>
      </c>
      <c r="V39" s="53" t="n">
        <f aca="false">IF($H39=0,0,IF($AP39="X",0,IF($AP39="S",$H39/$AO39*(MIN($AO39,MAX(0,INT((Lists!L$21-N($J39))/7)+1))-MIN($AO39,MAX(0,INT((Lists!L$22-N($J39))/7)+1))),IF($AP39="D",$H39*MAX(0,MIN(Lists!L$21,N($J39)+$AO39)-MAX(Lists!L$22,N($J39)))/$AO39,IF($AP39="M",$H39/$AO39*(IF(Lists!L$21&lt;$J39,0,MIN($AO39,(((YEAR(Lists!L$21)-YEAR($J39))*12+MONTH(Lists!L$21)-MONTH($J39))-(EDATE($J39,((YEAR(Lists!L$21)-YEAR($J39))*12+MONTH(Lists!L$21)-MONTH($J39)))&gt;Lists!L$21)+1)))-IF(Lists!L$22&lt;$J39,0,MIN($AO39,(((YEAR(Lists!L$22)-YEAR($J39))*12+MONTH(Lists!L$22)-MONTH($J39))-(EDATE($J39,((YEAR(Lists!L$22)-YEAR($J39))*12+MONTH(Lists!L$22)-MONTH($J39)))&gt;Lists!L$22)+1)))),IF($AP39="F",IF(N($K39)&lt;=0,0,MIN(MAX(0,$H39),N($K39)*IF(Lists!L$21&lt;$J39,0,(((YEAR(Lists!L$21)-YEAR($J39))*12+MONTH(Lists!L$21)-MONTH($J39))-(EDATE($J39,((YEAR(Lists!L$21)-YEAR($J39))*12+MONTH(Lists!L$21)-MONTH($J39)))&gt;Lists!L$21)+1)))-MIN(MAX(0,$H39),N($K39)*IF(Lists!L$22&lt;$J39,0,(((YEAR(Lists!L$22)-YEAR($J39))*12+MONTH(Lists!L$22)-MONTH($J39))-(EDATE($J39,((YEAR(Lists!L$22)-YEAR($J39))*12+MONTH(Lists!L$22)-MONTH($J39)))&gt;Lists!L$22)+1)))),N($C39)*IF($AE39-$AD39&lt;1,($AD39&gt;Lists!L$22)*($AD39&lt;=Lists!L$21),MAX(0,MIN(Lists!L$21,$AE39)-MAX(Lists!L$22,$AD39))/($AE39-$AD39))+N($D39)*IF($AG39-$AF39&lt;1,($AF39&gt;Lists!L$22)*($AF39&lt;=Lists!L$21),MAX(0,MIN(Lists!L$21,$AG39)-MAX(Lists!L$22,$AF39))/($AG39-$AF39))+N($E39)*IF($AI39-$AH39&lt;1,($AH39&gt;Lists!L$22)*($AH39&lt;=Lists!L$21),MAX(0,MIN(Lists!L$21,$AI39)-MAX(Lists!L$22,$AH39))/($AI39-$AH39))+N($F39)*IF($AK39-$AJ39&lt;1,($AJ39&gt;Lists!L$22)*($AJ39&lt;=Lists!L$21),MAX(0,MIN(Lists!L$21,$AK39)-MAX(Lists!L$22,$AJ39))/($AK39-$AJ39))+N($G39)*IF($AM39-$AL39&lt;1,($AL39&gt;Lists!L$22)*($AL39&lt;=Lists!L$21),MAX(0,MIN(Lists!L$21,$AM39)-MAX(Lists!L$22,$AL39))/($AM39-$AL39))))))))</f>
        <v>0</v>
      </c>
      <c r="W39" s="53" t="n">
        <f aca="false">IF($H39=0,0,IF($AP39="X",0,IF($AP39="S",$H39/$AO39*(MIN($AO39,MAX(0,INT((Lists!M$21-N($J39))/7)+1))-MIN($AO39,MAX(0,INT((Lists!M$22-N($J39))/7)+1))),IF($AP39="D",$H39*MAX(0,MIN(Lists!M$21,N($J39)+$AO39)-MAX(Lists!M$22,N($J39)))/$AO39,IF($AP39="M",$H39/$AO39*(IF(Lists!M$21&lt;$J39,0,MIN($AO39,(((YEAR(Lists!M$21)-YEAR($J39))*12+MONTH(Lists!M$21)-MONTH($J39))-(EDATE($J39,((YEAR(Lists!M$21)-YEAR($J39))*12+MONTH(Lists!M$21)-MONTH($J39)))&gt;Lists!M$21)+1)))-IF(Lists!M$22&lt;$J39,0,MIN($AO39,(((YEAR(Lists!M$22)-YEAR($J39))*12+MONTH(Lists!M$22)-MONTH($J39))-(EDATE($J39,((YEAR(Lists!M$22)-YEAR($J39))*12+MONTH(Lists!M$22)-MONTH($J39)))&gt;Lists!M$22)+1)))),IF($AP39="F",IF(N($K39)&lt;=0,0,MIN(MAX(0,$H39),N($K39)*IF(Lists!M$21&lt;$J39,0,(((YEAR(Lists!M$21)-YEAR($J39))*12+MONTH(Lists!M$21)-MONTH($J39))-(EDATE($J39,((YEAR(Lists!M$21)-YEAR($J39))*12+MONTH(Lists!M$21)-MONTH($J39)))&gt;Lists!M$21)+1)))-MIN(MAX(0,$H39),N($K39)*IF(Lists!M$22&lt;$J39,0,(((YEAR(Lists!M$22)-YEAR($J39))*12+MONTH(Lists!M$22)-MONTH($J39))-(EDATE($J39,((YEAR(Lists!M$22)-YEAR($J39))*12+MONTH(Lists!M$22)-MONTH($J39)))&gt;Lists!M$22)+1)))),N($C39)*IF($AE39-$AD39&lt;1,($AD39&gt;Lists!M$22)*($AD39&lt;=Lists!M$21),MAX(0,MIN(Lists!M$21,$AE39)-MAX(Lists!M$22,$AD39))/($AE39-$AD39))+N($D39)*IF($AG39-$AF39&lt;1,($AF39&gt;Lists!M$22)*($AF39&lt;=Lists!M$21),MAX(0,MIN(Lists!M$21,$AG39)-MAX(Lists!M$22,$AF39))/($AG39-$AF39))+N($E39)*IF($AI39-$AH39&lt;1,($AH39&gt;Lists!M$22)*($AH39&lt;=Lists!M$21),MAX(0,MIN(Lists!M$21,$AI39)-MAX(Lists!M$22,$AH39))/($AI39-$AH39))+N($F39)*IF($AK39-$AJ39&lt;1,($AJ39&gt;Lists!M$22)*($AJ39&lt;=Lists!M$21),MAX(0,MIN(Lists!M$21,$AK39)-MAX(Lists!M$22,$AJ39))/($AK39-$AJ39))+N($G39)*IF($AM39-$AL39&lt;1,($AL39&gt;Lists!M$22)*($AL39&lt;=Lists!M$21),MAX(0,MIN(Lists!M$21,$AM39)-MAX(Lists!M$22,$AL39))/($AM39-$AL39))))))))</f>
        <v>0</v>
      </c>
      <c r="X39" s="53" t="n">
        <f aca="false">IF($H39=0,0,IF($AP39="X",0,IF($AP39="S",$H39/$AO39*(MIN($AO39,MAX(0,INT((Lists!N$21-N($J39))/7)+1))-MIN($AO39,MAX(0,INT((Lists!N$22-N($J39))/7)+1))),IF($AP39="D",$H39*MAX(0,MIN(Lists!N$21,N($J39)+$AO39)-MAX(Lists!N$22,N($J39)))/$AO39,IF($AP39="M",$H39/$AO39*(IF(Lists!N$21&lt;$J39,0,MIN($AO39,(((YEAR(Lists!N$21)-YEAR($J39))*12+MONTH(Lists!N$21)-MONTH($J39))-(EDATE($J39,((YEAR(Lists!N$21)-YEAR($J39))*12+MONTH(Lists!N$21)-MONTH($J39)))&gt;Lists!N$21)+1)))-IF(Lists!N$22&lt;$J39,0,MIN($AO39,(((YEAR(Lists!N$22)-YEAR($J39))*12+MONTH(Lists!N$22)-MONTH($J39))-(EDATE($J39,((YEAR(Lists!N$22)-YEAR($J39))*12+MONTH(Lists!N$22)-MONTH($J39)))&gt;Lists!N$22)+1)))),IF($AP39="F",IF(N($K39)&lt;=0,0,MIN(MAX(0,$H39),N($K39)*IF(Lists!N$21&lt;$J39,0,(((YEAR(Lists!N$21)-YEAR($J39))*12+MONTH(Lists!N$21)-MONTH($J39))-(EDATE($J39,((YEAR(Lists!N$21)-YEAR($J39))*12+MONTH(Lists!N$21)-MONTH($J39)))&gt;Lists!N$21)+1)))-MIN(MAX(0,$H39),N($K39)*IF(Lists!N$22&lt;$J39,0,(((YEAR(Lists!N$22)-YEAR($J39))*12+MONTH(Lists!N$22)-MONTH($J39))-(EDATE($J39,((YEAR(Lists!N$22)-YEAR($J39))*12+MONTH(Lists!N$22)-MONTH($J39)))&gt;Lists!N$22)+1)))),N($C39)*IF($AE39-$AD39&lt;1,($AD39&gt;Lists!N$22)*($AD39&lt;=Lists!N$21),MAX(0,MIN(Lists!N$21,$AE39)-MAX(Lists!N$22,$AD39))/($AE39-$AD39))+N($D39)*IF($AG39-$AF39&lt;1,($AF39&gt;Lists!N$22)*($AF39&lt;=Lists!N$21),MAX(0,MIN(Lists!N$21,$AG39)-MAX(Lists!N$22,$AF39))/($AG39-$AF39))+N($E39)*IF($AI39-$AH39&lt;1,($AH39&gt;Lists!N$22)*($AH39&lt;=Lists!N$21),MAX(0,MIN(Lists!N$21,$AI39)-MAX(Lists!N$22,$AH39))/($AI39-$AH39))+N($F39)*IF($AK39-$AJ39&lt;1,($AJ39&gt;Lists!N$22)*($AJ39&lt;=Lists!N$21),MAX(0,MIN(Lists!N$21,$AK39)-MAX(Lists!N$22,$AJ39))/($AK39-$AJ39))+N($G39)*IF($AM39-$AL39&lt;1,($AL39&gt;Lists!N$22)*($AL39&lt;=Lists!N$21),MAX(0,MIN(Lists!N$21,$AM39)-MAX(Lists!N$22,$AL39))/($AM39-$AL39))))))))</f>
        <v>0</v>
      </c>
      <c r="Y39" s="53" t="n">
        <f aca="false">IF($H39=0,0,IF($AP39="X",0,IF($AP39="S",$H39/$AO39*(MIN($AO39,MAX(0,INT((Lists!O$21-N($J39))/7)+1))-MIN($AO39,MAX(0,INT((Lists!O$22-N($J39))/7)+1))),IF($AP39="D",$H39*MAX(0,MIN(Lists!O$21,N($J39)+$AO39)-MAX(Lists!O$22,N($J39)))/$AO39,IF($AP39="M",$H39/$AO39*(IF(Lists!O$21&lt;$J39,0,MIN($AO39,(((YEAR(Lists!O$21)-YEAR($J39))*12+MONTH(Lists!O$21)-MONTH($J39))-(EDATE($J39,((YEAR(Lists!O$21)-YEAR($J39))*12+MONTH(Lists!O$21)-MONTH($J39)))&gt;Lists!O$21)+1)))-IF(Lists!O$22&lt;$J39,0,MIN($AO39,(((YEAR(Lists!O$22)-YEAR($J39))*12+MONTH(Lists!O$22)-MONTH($J39))-(EDATE($J39,((YEAR(Lists!O$22)-YEAR($J39))*12+MONTH(Lists!O$22)-MONTH($J39)))&gt;Lists!O$22)+1)))),IF($AP39="F",IF(N($K39)&lt;=0,0,MIN(MAX(0,$H39),N($K39)*IF(Lists!O$21&lt;$J39,0,(((YEAR(Lists!O$21)-YEAR($J39))*12+MONTH(Lists!O$21)-MONTH($J39))-(EDATE($J39,((YEAR(Lists!O$21)-YEAR($J39))*12+MONTH(Lists!O$21)-MONTH($J39)))&gt;Lists!O$21)+1)))-MIN(MAX(0,$H39),N($K39)*IF(Lists!O$22&lt;$J39,0,(((YEAR(Lists!O$22)-YEAR($J39))*12+MONTH(Lists!O$22)-MONTH($J39))-(EDATE($J39,((YEAR(Lists!O$22)-YEAR($J39))*12+MONTH(Lists!O$22)-MONTH($J39)))&gt;Lists!O$22)+1)))),N($C39)*IF($AE39-$AD39&lt;1,($AD39&gt;Lists!O$22)*($AD39&lt;=Lists!O$21),MAX(0,MIN(Lists!O$21,$AE39)-MAX(Lists!O$22,$AD39))/($AE39-$AD39))+N($D39)*IF($AG39-$AF39&lt;1,($AF39&gt;Lists!O$22)*($AF39&lt;=Lists!O$21),MAX(0,MIN(Lists!O$21,$AG39)-MAX(Lists!O$22,$AF39))/($AG39-$AF39))+N($E39)*IF($AI39-$AH39&lt;1,($AH39&gt;Lists!O$22)*($AH39&lt;=Lists!O$21),MAX(0,MIN(Lists!O$21,$AI39)-MAX(Lists!O$22,$AH39))/($AI39-$AH39))+N($F39)*IF($AK39-$AJ39&lt;1,($AJ39&gt;Lists!O$22)*($AJ39&lt;=Lists!O$21),MAX(0,MIN(Lists!O$21,$AK39)-MAX(Lists!O$22,$AJ39))/($AK39-$AJ39))+N($G39)*IF($AM39-$AL39&lt;1,($AL39&gt;Lists!O$22)*($AL39&lt;=Lists!O$21),MAX(0,MIN(Lists!O$21,$AM39)-MAX(Lists!O$22,$AL39))/($AM39-$AL39))))))))</f>
        <v>0</v>
      </c>
      <c r="Z39" s="46" t="n">
        <f aca="false">SUM(M39:Y39)</f>
        <v>0</v>
      </c>
      <c r="AA39" s="92" t="n">
        <f aca="false">H39-Z39</f>
        <v>0</v>
      </c>
      <c r="AB39" s="55"/>
      <c r="AC39" s="2"/>
      <c r="AD39" s="93" t="n">
        <f aca="false">Setup!$D$10+MAX(0,$AN39-30)</f>
        <v>46345</v>
      </c>
      <c r="AE39" s="93" t="n">
        <f aca="false">Setup!$D$10+IF($AN39-30&lt;0,MAX(Setup!$D$22,$AN39-0),$AN39-0)</f>
        <v>46375</v>
      </c>
      <c r="AF39" s="93" t="n">
        <f aca="false">Setup!$D$10+MAX(0,$AN39-60)</f>
        <v>46335</v>
      </c>
      <c r="AG39" s="93" t="n">
        <f aca="false">Setup!$D$10+IF($AN39-60&lt;0,MAX(Setup!$D$22,$AN39-31),$AN39-31)</f>
        <v>46363</v>
      </c>
      <c r="AH39" s="93" t="n">
        <f aca="false">Setup!$D$10+MAX(0,$AN39-90)</f>
        <v>46335</v>
      </c>
      <c r="AI39" s="93" t="n">
        <f aca="false">Setup!$D$10+IF($AN39-90&lt;0,MAX(Setup!$D$22,$AN39-61),$AN39-61)</f>
        <v>46363</v>
      </c>
      <c r="AJ39" s="93" t="n">
        <f aca="false">Setup!$D$10+MAX(0,$AN39-120)</f>
        <v>46335</v>
      </c>
      <c r="AK39" s="93" t="n">
        <f aca="false">Setup!$D$10+IF($AN39-120&lt;0,MAX(Setup!$D$22,$AN39-91),$AN39-91)</f>
        <v>46363</v>
      </c>
      <c r="AL39" s="93" t="n">
        <f aca="false">Setup!$D$10</f>
        <v>46335</v>
      </c>
      <c r="AM39" s="93" t="n">
        <f aca="false">IF(AL39=2958465,AL39,Setup!$D$10+Setup!$D$22)</f>
        <v>46363</v>
      </c>
      <c r="AN39" s="94" t="n">
        <f aca="false">IF(N(L39)=0,Setup!$D$21,L39)</f>
        <v>40</v>
      </c>
      <c r="AO39" s="94" t="n">
        <f aca="false">MAX(1,ROUND(N(K39),0))</f>
        <v>1</v>
      </c>
      <c r="AP39" s="95" t="str">
        <f aca="false">IF(I39="On hold","X",IF(N(J39)=0,"A",IF(I39="Specific date","S",IF(I39="Spread over days","D",IF(I39="Monthly on set day","M",IF(I39="Monthly fixed amount","F","A"))))))</f>
        <v>A</v>
      </c>
    </row>
    <row r="40" customFormat="false" ht="15" hidden="false" customHeight="false" outlineLevel="0" collapsed="false">
      <c r="A40" s="87" t="n">
        <v>32</v>
      </c>
      <c r="B40" s="55"/>
      <c r="C40" s="88"/>
      <c r="D40" s="88"/>
      <c r="E40" s="88"/>
      <c r="F40" s="88"/>
      <c r="G40" s="88"/>
      <c r="H40" s="89" t="n">
        <f aca="false">SUM(C40:G40)</f>
        <v>0</v>
      </c>
      <c r="I40" s="58"/>
      <c r="J40" s="90"/>
      <c r="K40" s="91"/>
      <c r="L40" s="80"/>
      <c r="M40" s="53" t="n">
        <f aca="false">IF($H40=0,0,IF($AP40="X",0,IF($AP40="S",$H40/$AO40*(MIN($AO40,MAX(0,INT((Lists!C$21-N($J40))/7)+1))-MIN($AO40,MAX(0,INT((Lists!C$22-N($J40))/7)+1))),IF($AP40="D",$H40*MAX(0,MIN(Lists!C$21,N($J40)+$AO40)-MAX(Lists!C$22,N($J40)))/$AO40,IF($AP40="M",$H40/$AO40*(IF(Lists!C$21&lt;$J40,0,MIN($AO40,(((YEAR(Lists!C$21)-YEAR($J40))*12+MONTH(Lists!C$21)-MONTH($J40))-(EDATE($J40,((YEAR(Lists!C$21)-YEAR($J40))*12+MONTH(Lists!C$21)-MONTH($J40)))&gt;Lists!C$21)+1)))-IF(Lists!C$22&lt;$J40,0,MIN($AO40,(((YEAR(Lists!C$22)-YEAR($J40))*12+MONTH(Lists!C$22)-MONTH($J40))-(EDATE($J40,((YEAR(Lists!C$22)-YEAR($J40))*12+MONTH(Lists!C$22)-MONTH($J40)))&gt;Lists!C$22)+1)))),IF($AP40="F",IF(N($K40)&lt;=0,0,MIN(MAX(0,$H40),N($K40)*IF(Lists!C$21&lt;$J40,0,(((YEAR(Lists!C$21)-YEAR($J40))*12+MONTH(Lists!C$21)-MONTH($J40))-(EDATE($J40,((YEAR(Lists!C$21)-YEAR($J40))*12+MONTH(Lists!C$21)-MONTH($J40)))&gt;Lists!C$21)+1)))-MIN(MAX(0,$H40),N($K40)*IF(Lists!C$22&lt;$J40,0,(((YEAR(Lists!C$22)-YEAR($J40))*12+MONTH(Lists!C$22)-MONTH($J40))-(EDATE($J40,((YEAR(Lists!C$22)-YEAR($J40))*12+MONTH(Lists!C$22)-MONTH($J40)))&gt;Lists!C$22)+1)))),N($C40)*IF($AE40-$AD40&lt;1,($AD40&gt;Lists!C$22)*($AD40&lt;=Lists!C$21),MAX(0,MIN(Lists!C$21,$AE40)-MAX(Lists!C$22,$AD40))/($AE40-$AD40))+N($D40)*IF($AG40-$AF40&lt;1,($AF40&gt;Lists!C$22)*($AF40&lt;=Lists!C$21),MAX(0,MIN(Lists!C$21,$AG40)-MAX(Lists!C$22,$AF40))/($AG40-$AF40))+N($E40)*IF($AI40-$AH40&lt;1,($AH40&gt;Lists!C$22)*($AH40&lt;=Lists!C$21),MAX(0,MIN(Lists!C$21,$AI40)-MAX(Lists!C$22,$AH40))/($AI40-$AH40))+N($F40)*IF($AK40-$AJ40&lt;1,($AJ40&gt;Lists!C$22)*($AJ40&lt;=Lists!C$21),MAX(0,MIN(Lists!C$21,$AK40)-MAX(Lists!C$22,$AJ40))/($AK40-$AJ40))+N($G40)*IF($AM40-$AL40&lt;1,($AL40&gt;Lists!C$22)*($AL40&lt;=Lists!C$21),MAX(0,MIN(Lists!C$21,$AM40)-MAX(Lists!C$22,$AL40))/($AM40-$AL40))))))))</f>
        <v>0</v>
      </c>
      <c r="N40" s="53" t="n">
        <f aca="false">IF($H40=0,0,IF($AP40="X",0,IF($AP40="S",$H40/$AO40*(MIN($AO40,MAX(0,INT((Lists!D$21-N($J40))/7)+1))-MIN($AO40,MAX(0,INT((Lists!D$22-N($J40))/7)+1))),IF($AP40="D",$H40*MAX(0,MIN(Lists!D$21,N($J40)+$AO40)-MAX(Lists!D$22,N($J40)))/$AO40,IF($AP40="M",$H40/$AO40*(IF(Lists!D$21&lt;$J40,0,MIN($AO40,(((YEAR(Lists!D$21)-YEAR($J40))*12+MONTH(Lists!D$21)-MONTH($J40))-(EDATE($J40,((YEAR(Lists!D$21)-YEAR($J40))*12+MONTH(Lists!D$21)-MONTH($J40)))&gt;Lists!D$21)+1)))-IF(Lists!D$22&lt;$J40,0,MIN($AO40,(((YEAR(Lists!D$22)-YEAR($J40))*12+MONTH(Lists!D$22)-MONTH($J40))-(EDATE($J40,((YEAR(Lists!D$22)-YEAR($J40))*12+MONTH(Lists!D$22)-MONTH($J40)))&gt;Lists!D$22)+1)))),IF($AP40="F",IF(N($K40)&lt;=0,0,MIN(MAX(0,$H40),N($K40)*IF(Lists!D$21&lt;$J40,0,(((YEAR(Lists!D$21)-YEAR($J40))*12+MONTH(Lists!D$21)-MONTH($J40))-(EDATE($J40,((YEAR(Lists!D$21)-YEAR($J40))*12+MONTH(Lists!D$21)-MONTH($J40)))&gt;Lists!D$21)+1)))-MIN(MAX(0,$H40),N($K40)*IF(Lists!D$22&lt;$J40,0,(((YEAR(Lists!D$22)-YEAR($J40))*12+MONTH(Lists!D$22)-MONTH($J40))-(EDATE($J40,((YEAR(Lists!D$22)-YEAR($J40))*12+MONTH(Lists!D$22)-MONTH($J40)))&gt;Lists!D$22)+1)))),N($C40)*IF($AE40-$AD40&lt;1,($AD40&gt;Lists!D$22)*($AD40&lt;=Lists!D$21),MAX(0,MIN(Lists!D$21,$AE40)-MAX(Lists!D$22,$AD40))/($AE40-$AD40))+N($D40)*IF($AG40-$AF40&lt;1,($AF40&gt;Lists!D$22)*($AF40&lt;=Lists!D$21),MAX(0,MIN(Lists!D$21,$AG40)-MAX(Lists!D$22,$AF40))/($AG40-$AF40))+N($E40)*IF($AI40-$AH40&lt;1,($AH40&gt;Lists!D$22)*($AH40&lt;=Lists!D$21),MAX(0,MIN(Lists!D$21,$AI40)-MAX(Lists!D$22,$AH40))/($AI40-$AH40))+N($F40)*IF($AK40-$AJ40&lt;1,($AJ40&gt;Lists!D$22)*($AJ40&lt;=Lists!D$21),MAX(0,MIN(Lists!D$21,$AK40)-MAX(Lists!D$22,$AJ40))/($AK40-$AJ40))+N($G40)*IF($AM40-$AL40&lt;1,($AL40&gt;Lists!D$22)*($AL40&lt;=Lists!D$21),MAX(0,MIN(Lists!D$21,$AM40)-MAX(Lists!D$22,$AL40))/($AM40-$AL40))))))))</f>
        <v>0</v>
      </c>
      <c r="O40" s="53" t="n">
        <f aca="false">IF($H40=0,0,IF($AP40="X",0,IF($AP40="S",$H40/$AO40*(MIN($AO40,MAX(0,INT((Lists!E$21-N($J40))/7)+1))-MIN($AO40,MAX(0,INT((Lists!E$22-N($J40))/7)+1))),IF($AP40="D",$H40*MAX(0,MIN(Lists!E$21,N($J40)+$AO40)-MAX(Lists!E$22,N($J40)))/$AO40,IF($AP40="M",$H40/$AO40*(IF(Lists!E$21&lt;$J40,0,MIN($AO40,(((YEAR(Lists!E$21)-YEAR($J40))*12+MONTH(Lists!E$21)-MONTH($J40))-(EDATE($J40,((YEAR(Lists!E$21)-YEAR($J40))*12+MONTH(Lists!E$21)-MONTH($J40)))&gt;Lists!E$21)+1)))-IF(Lists!E$22&lt;$J40,0,MIN($AO40,(((YEAR(Lists!E$22)-YEAR($J40))*12+MONTH(Lists!E$22)-MONTH($J40))-(EDATE($J40,((YEAR(Lists!E$22)-YEAR($J40))*12+MONTH(Lists!E$22)-MONTH($J40)))&gt;Lists!E$22)+1)))),IF($AP40="F",IF(N($K40)&lt;=0,0,MIN(MAX(0,$H40),N($K40)*IF(Lists!E$21&lt;$J40,0,(((YEAR(Lists!E$21)-YEAR($J40))*12+MONTH(Lists!E$21)-MONTH($J40))-(EDATE($J40,((YEAR(Lists!E$21)-YEAR($J40))*12+MONTH(Lists!E$21)-MONTH($J40)))&gt;Lists!E$21)+1)))-MIN(MAX(0,$H40),N($K40)*IF(Lists!E$22&lt;$J40,0,(((YEAR(Lists!E$22)-YEAR($J40))*12+MONTH(Lists!E$22)-MONTH($J40))-(EDATE($J40,((YEAR(Lists!E$22)-YEAR($J40))*12+MONTH(Lists!E$22)-MONTH($J40)))&gt;Lists!E$22)+1)))),N($C40)*IF($AE40-$AD40&lt;1,($AD40&gt;Lists!E$22)*($AD40&lt;=Lists!E$21),MAX(0,MIN(Lists!E$21,$AE40)-MAX(Lists!E$22,$AD40))/($AE40-$AD40))+N($D40)*IF($AG40-$AF40&lt;1,($AF40&gt;Lists!E$22)*($AF40&lt;=Lists!E$21),MAX(0,MIN(Lists!E$21,$AG40)-MAX(Lists!E$22,$AF40))/($AG40-$AF40))+N($E40)*IF($AI40-$AH40&lt;1,($AH40&gt;Lists!E$22)*($AH40&lt;=Lists!E$21),MAX(0,MIN(Lists!E$21,$AI40)-MAX(Lists!E$22,$AH40))/($AI40-$AH40))+N($F40)*IF($AK40-$AJ40&lt;1,($AJ40&gt;Lists!E$22)*($AJ40&lt;=Lists!E$21),MAX(0,MIN(Lists!E$21,$AK40)-MAX(Lists!E$22,$AJ40))/($AK40-$AJ40))+N($G40)*IF($AM40-$AL40&lt;1,($AL40&gt;Lists!E$22)*($AL40&lt;=Lists!E$21),MAX(0,MIN(Lists!E$21,$AM40)-MAX(Lists!E$22,$AL40))/($AM40-$AL40))))))))</f>
        <v>0</v>
      </c>
      <c r="P40" s="53" t="n">
        <f aca="false">IF($H40=0,0,IF($AP40="X",0,IF($AP40="S",$H40/$AO40*(MIN($AO40,MAX(0,INT((Lists!F$21-N($J40))/7)+1))-MIN($AO40,MAX(0,INT((Lists!F$22-N($J40))/7)+1))),IF($AP40="D",$H40*MAX(0,MIN(Lists!F$21,N($J40)+$AO40)-MAX(Lists!F$22,N($J40)))/$AO40,IF($AP40="M",$H40/$AO40*(IF(Lists!F$21&lt;$J40,0,MIN($AO40,(((YEAR(Lists!F$21)-YEAR($J40))*12+MONTH(Lists!F$21)-MONTH($J40))-(EDATE($J40,((YEAR(Lists!F$21)-YEAR($J40))*12+MONTH(Lists!F$21)-MONTH($J40)))&gt;Lists!F$21)+1)))-IF(Lists!F$22&lt;$J40,0,MIN($AO40,(((YEAR(Lists!F$22)-YEAR($J40))*12+MONTH(Lists!F$22)-MONTH($J40))-(EDATE($J40,((YEAR(Lists!F$22)-YEAR($J40))*12+MONTH(Lists!F$22)-MONTH($J40)))&gt;Lists!F$22)+1)))),IF($AP40="F",IF(N($K40)&lt;=0,0,MIN(MAX(0,$H40),N($K40)*IF(Lists!F$21&lt;$J40,0,(((YEAR(Lists!F$21)-YEAR($J40))*12+MONTH(Lists!F$21)-MONTH($J40))-(EDATE($J40,((YEAR(Lists!F$21)-YEAR($J40))*12+MONTH(Lists!F$21)-MONTH($J40)))&gt;Lists!F$21)+1)))-MIN(MAX(0,$H40),N($K40)*IF(Lists!F$22&lt;$J40,0,(((YEAR(Lists!F$22)-YEAR($J40))*12+MONTH(Lists!F$22)-MONTH($J40))-(EDATE($J40,((YEAR(Lists!F$22)-YEAR($J40))*12+MONTH(Lists!F$22)-MONTH($J40)))&gt;Lists!F$22)+1)))),N($C40)*IF($AE40-$AD40&lt;1,($AD40&gt;Lists!F$22)*($AD40&lt;=Lists!F$21),MAX(0,MIN(Lists!F$21,$AE40)-MAX(Lists!F$22,$AD40))/($AE40-$AD40))+N($D40)*IF($AG40-$AF40&lt;1,($AF40&gt;Lists!F$22)*($AF40&lt;=Lists!F$21),MAX(0,MIN(Lists!F$21,$AG40)-MAX(Lists!F$22,$AF40))/($AG40-$AF40))+N($E40)*IF($AI40-$AH40&lt;1,($AH40&gt;Lists!F$22)*($AH40&lt;=Lists!F$21),MAX(0,MIN(Lists!F$21,$AI40)-MAX(Lists!F$22,$AH40))/($AI40-$AH40))+N($F40)*IF($AK40-$AJ40&lt;1,($AJ40&gt;Lists!F$22)*($AJ40&lt;=Lists!F$21),MAX(0,MIN(Lists!F$21,$AK40)-MAX(Lists!F$22,$AJ40))/($AK40-$AJ40))+N($G40)*IF($AM40-$AL40&lt;1,($AL40&gt;Lists!F$22)*($AL40&lt;=Lists!F$21),MAX(0,MIN(Lists!F$21,$AM40)-MAX(Lists!F$22,$AL40))/($AM40-$AL40))))))))</f>
        <v>0</v>
      </c>
      <c r="Q40" s="53" t="n">
        <f aca="false">IF($H40=0,0,IF($AP40="X",0,IF($AP40="S",$H40/$AO40*(MIN($AO40,MAX(0,INT((Lists!G$21-N($J40))/7)+1))-MIN($AO40,MAX(0,INT((Lists!G$22-N($J40))/7)+1))),IF($AP40="D",$H40*MAX(0,MIN(Lists!G$21,N($J40)+$AO40)-MAX(Lists!G$22,N($J40)))/$AO40,IF($AP40="M",$H40/$AO40*(IF(Lists!G$21&lt;$J40,0,MIN($AO40,(((YEAR(Lists!G$21)-YEAR($J40))*12+MONTH(Lists!G$21)-MONTH($J40))-(EDATE($J40,((YEAR(Lists!G$21)-YEAR($J40))*12+MONTH(Lists!G$21)-MONTH($J40)))&gt;Lists!G$21)+1)))-IF(Lists!G$22&lt;$J40,0,MIN($AO40,(((YEAR(Lists!G$22)-YEAR($J40))*12+MONTH(Lists!G$22)-MONTH($J40))-(EDATE($J40,((YEAR(Lists!G$22)-YEAR($J40))*12+MONTH(Lists!G$22)-MONTH($J40)))&gt;Lists!G$22)+1)))),IF($AP40="F",IF(N($K40)&lt;=0,0,MIN(MAX(0,$H40),N($K40)*IF(Lists!G$21&lt;$J40,0,(((YEAR(Lists!G$21)-YEAR($J40))*12+MONTH(Lists!G$21)-MONTH($J40))-(EDATE($J40,((YEAR(Lists!G$21)-YEAR($J40))*12+MONTH(Lists!G$21)-MONTH($J40)))&gt;Lists!G$21)+1)))-MIN(MAX(0,$H40),N($K40)*IF(Lists!G$22&lt;$J40,0,(((YEAR(Lists!G$22)-YEAR($J40))*12+MONTH(Lists!G$22)-MONTH($J40))-(EDATE($J40,((YEAR(Lists!G$22)-YEAR($J40))*12+MONTH(Lists!G$22)-MONTH($J40)))&gt;Lists!G$22)+1)))),N($C40)*IF($AE40-$AD40&lt;1,($AD40&gt;Lists!G$22)*($AD40&lt;=Lists!G$21),MAX(0,MIN(Lists!G$21,$AE40)-MAX(Lists!G$22,$AD40))/($AE40-$AD40))+N($D40)*IF($AG40-$AF40&lt;1,($AF40&gt;Lists!G$22)*($AF40&lt;=Lists!G$21),MAX(0,MIN(Lists!G$21,$AG40)-MAX(Lists!G$22,$AF40))/($AG40-$AF40))+N($E40)*IF($AI40-$AH40&lt;1,($AH40&gt;Lists!G$22)*($AH40&lt;=Lists!G$21),MAX(0,MIN(Lists!G$21,$AI40)-MAX(Lists!G$22,$AH40))/($AI40-$AH40))+N($F40)*IF($AK40-$AJ40&lt;1,($AJ40&gt;Lists!G$22)*($AJ40&lt;=Lists!G$21),MAX(0,MIN(Lists!G$21,$AK40)-MAX(Lists!G$22,$AJ40))/($AK40-$AJ40))+N($G40)*IF($AM40-$AL40&lt;1,($AL40&gt;Lists!G$22)*($AL40&lt;=Lists!G$21),MAX(0,MIN(Lists!G$21,$AM40)-MAX(Lists!G$22,$AL40))/($AM40-$AL40))))))))</f>
        <v>0</v>
      </c>
      <c r="R40" s="53" t="n">
        <f aca="false">IF($H40=0,0,IF($AP40="X",0,IF($AP40="S",$H40/$AO40*(MIN($AO40,MAX(0,INT((Lists!H$21-N($J40))/7)+1))-MIN($AO40,MAX(0,INT((Lists!H$22-N($J40))/7)+1))),IF($AP40="D",$H40*MAX(0,MIN(Lists!H$21,N($J40)+$AO40)-MAX(Lists!H$22,N($J40)))/$AO40,IF($AP40="M",$H40/$AO40*(IF(Lists!H$21&lt;$J40,0,MIN($AO40,(((YEAR(Lists!H$21)-YEAR($J40))*12+MONTH(Lists!H$21)-MONTH($J40))-(EDATE($J40,((YEAR(Lists!H$21)-YEAR($J40))*12+MONTH(Lists!H$21)-MONTH($J40)))&gt;Lists!H$21)+1)))-IF(Lists!H$22&lt;$J40,0,MIN($AO40,(((YEAR(Lists!H$22)-YEAR($J40))*12+MONTH(Lists!H$22)-MONTH($J40))-(EDATE($J40,((YEAR(Lists!H$22)-YEAR($J40))*12+MONTH(Lists!H$22)-MONTH($J40)))&gt;Lists!H$22)+1)))),IF($AP40="F",IF(N($K40)&lt;=0,0,MIN(MAX(0,$H40),N($K40)*IF(Lists!H$21&lt;$J40,0,(((YEAR(Lists!H$21)-YEAR($J40))*12+MONTH(Lists!H$21)-MONTH($J40))-(EDATE($J40,((YEAR(Lists!H$21)-YEAR($J40))*12+MONTH(Lists!H$21)-MONTH($J40)))&gt;Lists!H$21)+1)))-MIN(MAX(0,$H40),N($K40)*IF(Lists!H$22&lt;$J40,0,(((YEAR(Lists!H$22)-YEAR($J40))*12+MONTH(Lists!H$22)-MONTH($J40))-(EDATE($J40,((YEAR(Lists!H$22)-YEAR($J40))*12+MONTH(Lists!H$22)-MONTH($J40)))&gt;Lists!H$22)+1)))),N($C40)*IF($AE40-$AD40&lt;1,($AD40&gt;Lists!H$22)*($AD40&lt;=Lists!H$21),MAX(0,MIN(Lists!H$21,$AE40)-MAX(Lists!H$22,$AD40))/($AE40-$AD40))+N($D40)*IF($AG40-$AF40&lt;1,($AF40&gt;Lists!H$22)*($AF40&lt;=Lists!H$21),MAX(0,MIN(Lists!H$21,$AG40)-MAX(Lists!H$22,$AF40))/($AG40-$AF40))+N($E40)*IF($AI40-$AH40&lt;1,($AH40&gt;Lists!H$22)*($AH40&lt;=Lists!H$21),MAX(0,MIN(Lists!H$21,$AI40)-MAX(Lists!H$22,$AH40))/($AI40-$AH40))+N($F40)*IF($AK40-$AJ40&lt;1,($AJ40&gt;Lists!H$22)*($AJ40&lt;=Lists!H$21),MAX(0,MIN(Lists!H$21,$AK40)-MAX(Lists!H$22,$AJ40))/($AK40-$AJ40))+N($G40)*IF($AM40-$AL40&lt;1,($AL40&gt;Lists!H$22)*($AL40&lt;=Lists!H$21),MAX(0,MIN(Lists!H$21,$AM40)-MAX(Lists!H$22,$AL40))/($AM40-$AL40))))))))</f>
        <v>0</v>
      </c>
      <c r="S40" s="53" t="n">
        <f aca="false">IF($H40=0,0,IF($AP40="X",0,IF($AP40="S",$H40/$AO40*(MIN($AO40,MAX(0,INT((Lists!I$21-N($J40))/7)+1))-MIN($AO40,MAX(0,INT((Lists!I$22-N($J40))/7)+1))),IF($AP40="D",$H40*MAX(0,MIN(Lists!I$21,N($J40)+$AO40)-MAX(Lists!I$22,N($J40)))/$AO40,IF($AP40="M",$H40/$AO40*(IF(Lists!I$21&lt;$J40,0,MIN($AO40,(((YEAR(Lists!I$21)-YEAR($J40))*12+MONTH(Lists!I$21)-MONTH($J40))-(EDATE($J40,((YEAR(Lists!I$21)-YEAR($J40))*12+MONTH(Lists!I$21)-MONTH($J40)))&gt;Lists!I$21)+1)))-IF(Lists!I$22&lt;$J40,0,MIN($AO40,(((YEAR(Lists!I$22)-YEAR($J40))*12+MONTH(Lists!I$22)-MONTH($J40))-(EDATE($J40,((YEAR(Lists!I$22)-YEAR($J40))*12+MONTH(Lists!I$22)-MONTH($J40)))&gt;Lists!I$22)+1)))),IF($AP40="F",IF(N($K40)&lt;=0,0,MIN(MAX(0,$H40),N($K40)*IF(Lists!I$21&lt;$J40,0,(((YEAR(Lists!I$21)-YEAR($J40))*12+MONTH(Lists!I$21)-MONTH($J40))-(EDATE($J40,((YEAR(Lists!I$21)-YEAR($J40))*12+MONTH(Lists!I$21)-MONTH($J40)))&gt;Lists!I$21)+1)))-MIN(MAX(0,$H40),N($K40)*IF(Lists!I$22&lt;$J40,0,(((YEAR(Lists!I$22)-YEAR($J40))*12+MONTH(Lists!I$22)-MONTH($J40))-(EDATE($J40,((YEAR(Lists!I$22)-YEAR($J40))*12+MONTH(Lists!I$22)-MONTH($J40)))&gt;Lists!I$22)+1)))),N($C40)*IF($AE40-$AD40&lt;1,($AD40&gt;Lists!I$22)*($AD40&lt;=Lists!I$21),MAX(0,MIN(Lists!I$21,$AE40)-MAX(Lists!I$22,$AD40))/($AE40-$AD40))+N($D40)*IF($AG40-$AF40&lt;1,($AF40&gt;Lists!I$22)*($AF40&lt;=Lists!I$21),MAX(0,MIN(Lists!I$21,$AG40)-MAX(Lists!I$22,$AF40))/($AG40-$AF40))+N($E40)*IF($AI40-$AH40&lt;1,($AH40&gt;Lists!I$22)*($AH40&lt;=Lists!I$21),MAX(0,MIN(Lists!I$21,$AI40)-MAX(Lists!I$22,$AH40))/($AI40-$AH40))+N($F40)*IF($AK40-$AJ40&lt;1,($AJ40&gt;Lists!I$22)*($AJ40&lt;=Lists!I$21),MAX(0,MIN(Lists!I$21,$AK40)-MAX(Lists!I$22,$AJ40))/($AK40-$AJ40))+N($G40)*IF($AM40-$AL40&lt;1,($AL40&gt;Lists!I$22)*($AL40&lt;=Lists!I$21),MAX(0,MIN(Lists!I$21,$AM40)-MAX(Lists!I$22,$AL40))/($AM40-$AL40))))))))</f>
        <v>0</v>
      </c>
      <c r="T40" s="53" t="n">
        <f aca="false">IF($H40=0,0,IF($AP40="X",0,IF($AP40="S",$H40/$AO40*(MIN($AO40,MAX(0,INT((Lists!J$21-N($J40))/7)+1))-MIN($AO40,MAX(0,INT((Lists!J$22-N($J40))/7)+1))),IF($AP40="D",$H40*MAX(0,MIN(Lists!J$21,N($J40)+$AO40)-MAX(Lists!J$22,N($J40)))/$AO40,IF($AP40="M",$H40/$AO40*(IF(Lists!J$21&lt;$J40,0,MIN($AO40,(((YEAR(Lists!J$21)-YEAR($J40))*12+MONTH(Lists!J$21)-MONTH($J40))-(EDATE($J40,((YEAR(Lists!J$21)-YEAR($J40))*12+MONTH(Lists!J$21)-MONTH($J40)))&gt;Lists!J$21)+1)))-IF(Lists!J$22&lt;$J40,0,MIN($AO40,(((YEAR(Lists!J$22)-YEAR($J40))*12+MONTH(Lists!J$22)-MONTH($J40))-(EDATE($J40,((YEAR(Lists!J$22)-YEAR($J40))*12+MONTH(Lists!J$22)-MONTH($J40)))&gt;Lists!J$22)+1)))),IF($AP40="F",IF(N($K40)&lt;=0,0,MIN(MAX(0,$H40),N($K40)*IF(Lists!J$21&lt;$J40,0,(((YEAR(Lists!J$21)-YEAR($J40))*12+MONTH(Lists!J$21)-MONTH($J40))-(EDATE($J40,((YEAR(Lists!J$21)-YEAR($J40))*12+MONTH(Lists!J$21)-MONTH($J40)))&gt;Lists!J$21)+1)))-MIN(MAX(0,$H40),N($K40)*IF(Lists!J$22&lt;$J40,0,(((YEAR(Lists!J$22)-YEAR($J40))*12+MONTH(Lists!J$22)-MONTH($J40))-(EDATE($J40,((YEAR(Lists!J$22)-YEAR($J40))*12+MONTH(Lists!J$22)-MONTH($J40)))&gt;Lists!J$22)+1)))),N($C40)*IF($AE40-$AD40&lt;1,($AD40&gt;Lists!J$22)*($AD40&lt;=Lists!J$21),MAX(0,MIN(Lists!J$21,$AE40)-MAX(Lists!J$22,$AD40))/($AE40-$AD40))+N($D40)*IF($AG40-$AF40&lt;1,($AF40&gt;Lists!J$22)*($AF40&lt;=Lists!J$21),MAX(0,MIN(Lists!J$21,$AG40)-MAX(Lists!J$22,$AF40))/($AG40-$AF40))+N($E40)*IF($AI40-$AH40&lt;1,($AH40&gt;Lists!J$22)*($AH40&lt;=Lists!J$21),MAX(0,MIN(Lists!J$21,$AI40)-MAX(Lists!J$22,$AH40))/($AI40-$AH40))+N($F40)*IF($AK40-$AJ40&lt;1,($AJ40&gt;Lists!J$22)*($AJ40&lt;=Lists!J$21),MAX(0,MIN(Lists!J$21,$AK40)-MAX(Lists!J$22,$AJ40))/($AK40-$AJ40))+N($G40)*IF($AM40-$AL40&lt;1,($AL40&gt;Lists!J$22)*($AL40&lt;=Lists!J$21),MAX(0,MIN(Lists!J$21,$AM40)-MAX(Lists!J$22,$AL40))/($AM40-$AL40))))))))</f>
        <v>0</v>
      </c>
      <c r="U40" s="53" t="n">
        <f aca="false">IF($H40=0,0,IF($AP40="X",0,IF($AP40="S",$H40/$AO40*(MIN($AO40,MAX(0,INT((Lists!K$21-N($J40))/7)+1))-MIN($AO40,MAX(0,INT((Lists!K$22-N($J40))/7)+1))),IF($AP40="D",$H40*MAX(0,MIN(Lists!K$21,N($J40)+$AO40)-MAX(Lists!K$22,N($J40)))/$AO40,IF($AP40="M",$H40/$AO40*(IF(Lists!K$21&lt;$J40,0,MIN($AO40,(((YEAR(Lists!K$21)-YEAR($J40))*12+MONTH(Lists!K$21)-MONTH($J40))-(EDATE($J40,((YEAR(Lists!K$21)-YEAR($J40))*12+MONTH(Lists!K$21)-MONTH($J40)))&gt;Lists!K$21)+1)))-IF(Lists!K$22&lt;$J40,0,MIN($AO40,(((YEAR(Lists!K$22)-YEAR($J40))*12+MONTH(Lists!K$22)-MONTH($J40))-(EDATE($J40,((YEAR(Lists!K$22)-YEAR($J40))*12+MONTH(Lists!K$22)-MONTH($J40)))&gt;Lists!K$22)+1)))),IF($AP40="F",IF(N($K40)&lt;=0,0,MIN(MAX(0,$H40),N($K40)*IF(Lists!K$21&lt;$J40,0,(((YEAR(Lists!K$21)-YEAR($J40))*12+MONTH(Lists!K$21)-MONTH($J40))-(EDATE($J40,((YEAR(Lists!K$21)-YEAR($J40))*12+MONTH(Lists!K$21)-MONTH($J40)))&gt;Lists!K$21)+1)))-MIN(MAX(0,$H40),N($K40)*IF(Lists!K$22&lt;$J40,0,(((YEAR(Lists!K$22)-YEAR($J40))*12+MONTH(Lists!K$22)-MONTH($J40))-(EDATE($J40,((YEAR(Lists!K$22)-YEAR($J40))*12+MONTH(Lists!K$22)-MONTH($J40)))&gt;Lists!K$22)+1)))),N($C40)*IF($AE40-$AD40&lt;1,($AD40&gt;Lists!K$22)*($AD40&lt;=Lists!K$21),MAX(0,MIN(Lists!K$21,$AE40)-MAX(Lists!K$22,$AD40))/($AE40-$AD40))+N($D40)*IF($AG40-$AF40&lt;1,($AF40&gt;Lists!K$22)*($AF40&lt;=Lists!K$21),MAX(0,MIN(Lists!K$21,$AG40)-MAX(Lists!K$22,$AF40))/($AG40-$AF40))+N($E40)*IF($AI40-$AH40&lt;1,($AH40&gt;Lists!K$22)*($AH40&lt;=Lists!K$21),MAX(0,MIN(Lists!K$21,$AI40)-MAX(Lists!K$22,$AH40))/($AI40-$AH40))+N($F40)*IF($AK40-$AJ40&lt;1,($AJ40&gt;Lists!K$22)*($AJ40&lt;=Lists!K$21),MAX(0,MIN(Lists!K$21,$AK40)-MAX(Lists!K$22,$AJ40))/($AK40-$AJ40))+N($G40)*IF($AM40-$AL40&lt;1,($AL40&gt;Lists!K$22)*($AL40&lt;=Lists!K$21),MAX(0,MIN(Lists!K$21,$AM40)-MAX(Lists!K$22,$AL40))/($AM40-$AL40))))))))</f>
        <v>0</v>
      </c>
      <c r="V40" s="53" t="n">
        <f aca="false">IF($H40=0,0,IF($AP40="X",0,IF($AP40="S",$H40/$AO40*(MIN($AO40,MAX(0,INT((Lists!L$21-N($J40))/7)+1))-MIN($AO40,MAX(0,INT((Lists!L$22-N($J40))/7)+1))),IF($AP40="D",$H40*MAX(0,MIN(Lists!L$21,N($J40)+$AO40)-MAX(Lists!L$22,N($J40)))/$AO40,IF($AP40="M",$H40/$AO40*(IF(Lists!L$21&lt;$J40,0,MIN($AO40,(((YEAR(Lists!L$21)-YEAR($J40))*12+MONTH(Lists!L$21)-MONTH($J40))-(EDATE($J40,((YEAR(Lists!L$21)-YEAR($J40))*12+MONTH(Lists!L$21)-MONTH($J40)))&gt;Lists!L$21)+1)))-IF(Lists!L$22&lt;$J40,0,MIN($AO40,(((YEAR(Lists!L$22)-YEAR($J40))*12+MONTH(Lists!L$22)-MONTH($J40))-(EDATE($J40,((YEAR(Lists!L$22)-YEAR($J40))*12+MONTH(Lists!L$22)-MONTH($J40)))&gt;Lists!L$22)+1)))),IF($AP40="F",IF(N($K40)&lt;=0,0,MIN(MAX(0,$H40),N($K40)*IF(Lists!L$21&lt;$J40,0,(((YEAR(Lists!L$21)-YEAR($J40))*12+MONTH(Lists!L$21)-MONTH($J40))-(EDATE($J40,((YEAR(Lists!L$21)-YEAR($J40))*12+MONTH(Lists!L$21)-MONTH($J40)))&gt;Lists!L$21)+1)))-MIN(MAX(0,$H40),N($K40)*IF(Lists!L$22&lt;$J40,0,(((YEAR(Lists!L$22)-YEAR($J40))*12+MONTH(Lists!L$22)-MONTH($J40))-(EDATE($J40,((YEAR(Lists!L$22)-YEAR($J40))*12+MONTH(Lists!L$22)-MONTH($J40)))&gt;Lists!L$22)+1)))),N($C40)*IF($AE40-$AD40&lt;1,($AD40&gt;Lists!L$22)*($AD40&lt;=Lists!L$21),MAX(0,MIN(Lists!L$21,$AE40)-MAX(Lists!L$22,$AD40))/($AE40-$AD40))+N($D40)*IF($AG40-$AF40&lt;1,($AF40&gt;Lists!L$22)*($AF40&lt;=Lists!L$21),MAX(0,MIN(Lists!L$21,$AG40)-MAX(Lists!L$22,$AF40))/($AG40-$AF40))+N($E40)*IF($AI40-$AH40&lt;1,($AH40&gt;Lists!L$22)*($AH40&lt;=Lists!L$21),MAX(0,MIN(Lists!L$21,$AI40)-MAX(Lists!L$22,$AH40))/($AI40-$AH40))+N($F40)*IF($AK40-$AJ40&lt;1,($AJ40&gt;Lists!L$22)*($AJ40&lt;=Lists!L$21),MAX(0,MIN(Lists!L$21,$AK40)-MAX(Lists!L$22,$AJ40))/($AK40-$AJ40))+N($G40)*IF($AM40-$AL40&lt;1,($AL40&gt;Lists!L$22)*($AL40&lt;=Lists!L$21),MAX(0,MIN(Lists!L$21,$AM40)-MAX(Lists!L$22,$AL40))/($AM40-$AL40))))))))</f>
        <v>0</v>
      </c>
      <c r="W40" s="53" t="n">
        <f aca="false">IF($H40=0,0,IF($AP40="X",0,IF($AP40="S",$H40/$AO40*(MIN($AO40,MAX(0,INT((Lists!M$21-N($J40))/7)+1))-MIN($AO40,MAX(0,INT((Lists!M$22-N($J40))/7)+1))),IF($AP40="D",$H40*MAX(0,MIN(Lists!M$21,N($J40)+$AO40)-MAX(Lists!M$22,N($J40)))/$AO40,IF($AP40="M",$H40/$AO40*(IF(Lists!M$21&lt;$J40,0,MIN($AO40,(((YEAR(Lists!M$21)-YEAR($J40))*12+MONTH(Lists!M$21)-MONTH($J40))-(EDATE($J40,((YEAR(Lists!M$21)-YEAR($J40))*12+MONTH(Lists!M$21)-MONTH($J40)))&gt;Lists!M$21)+1)))-IF(Lists!M$22&lt;$J40,0,MIN($AO40,(((YEAR(Lists!M$22)-YEAR($J40))*12+MONTH(Lists!M$22)-MONTH($J40))-(EDATE($J40,((YEAR(Lists!M$22)-YEAR($J40))*12+MONTH(Lists!M$22)-MONTH($J40)))&gt;Lists!M$22)+1)))),IF($AP40="F",IF(N($K40)&lt;=0,0,MIN(MAX(0,$H40),N($K40)*IF(Lists!M$21&lt;$J40,0,(((YEAR(Lists!M$21)-YEAR($J40))*12+MONTH(Lists!M$21)-MONTH($J40))-(EDATE($J40,((YEAR(Lists!M$21)-YEAR($J40))*12+MONTH(Lists!M$21)-MONTH($J40)))&gt;Lists!M$21)+1)))-MIN(MAX(0,$H40),N($K40)*IF(Lists!M$22&lt;$J40,0,(((YEAR(Lists!M$22)-YEAR($J40))*12+MONTH(Lists!M$22)-MONTH($J40))-(EDATE($J40,((YEAR(Lists!M$22)-YEAR($J40))*12+MONTH(Lists!M$22)-MONTH($J40)))&gt;Lists!M$22)+1)))),N($C40)*IF($AE40-$AD40&lt;1,($AD40&gt;Lists!M$22)*($AD40&lt;=Lists!M$21),MAX(0,MIN(Lists!M$21,$AE40)-MAX(Lists!M$22,$AD40))/($AE40-$AD40))+N($D40)*IF($AG40-$AF40&lt;1,($AF40&gt;Lists!M$22)*($AF40&lt;=Lists!M$21),MAX(0,MIN(Lists!M$21,$AG40)-MAX(Lists!M$22,$AF40))/($AG40-$AF40))+N($E40)*IF($AI40-$AH40&lt;1,($AH40&gt;Lists!M$22)*($AH40&lt;=Lists!M$21),MAX(0,MIN(Lists!M$21,$AI40)-MAX(Lists!M$22,$AH40))/($AI40-$AH40))+N($F40)*IF($AK40-$AJ40&lt;1,($AJ40&gt;Lists!M$22)*($AJ40&lt;=Lists!M$21),MAX(0,MIN(Lists!M$21,$AK40)-MAX(Lists!M$22,$AJ40))/($AK40-$AJ40))+N($G40)*IF($AM40-$AL40&lt;1,($AL40&gt;Lists!M$22)*($AL40&lt;=Lists!M$21),MAX(0,MIN(Lists!M$21,$AM40)-MAX(Lists!M$22,$AL40))/($AM40-$AL40))))))))</f>
        <v>0</v>
      </c>
      <c r="X40" s="53" t="n">
        <f aca="false">IF($H40=0,0,IF($AP40="X",0,IF($AP40="S",$H40/$AO40*(MIN($AO40,MAX(0,INT((Lists!N$21-N($J40))/7)+1))-MIN($AO40,MAX(0,INT((Lists!N$22-N($J40))/7)+1))),IF($AP40="D",$H40*MAX(0,MIN(Lists!N$21,N($J40)+$AO40)-MAX(Lists!N$22,N($J40)))/$AO40,IF($AP40="M",$H40/$AO40*(IF(Lists!N$21&lt;$J40,0,MIN($AO40,(((YEAR(Lists!N$21)-YEAR($J40))*12+MONTH(Lists!N$21)-MONTH($J40))-(EDATE($J40,((YEAR(Lists!N$21)-YEAR($J40))*12+MONTH(Lists!N$21)-MONTH($J40)))&gt;Lists!N$21)+1)))-IF(Lists!N$22&lt;$J40,0,MIN($AO40,(((YEAR(Lists!N$22)-YEAR($J40))*12+MONTH(Lists!N$22)-MONTH($J40))-(EDATE($J40,((YEAR(Lists!N$22)-YEAR($J40))*12+MONTH(Lists!N$22)-MONTH($J40)))&gt;Lists!N$22)+1)))),IF($AP40="F",IF(N($K40)&lt;=0,0,MIN(MAX(0,$H40),N($K40)*IF(Lists!N$21&lt;$J40,0,(((YEAR(Lists!N$21)-YEAR($J40))*12+MONTH(Lists!N$21)-MONTH($J40))-(EDATE($J40,((YEAR(Lists!N$21)-YEAR($J40))*12+MONTH(Lists!N$21)-MONTH($J40)))&gt;Lists!N$21)+1)))-MIN(MAX(0,$H40),N($K40)*IF(Lists!N$22&lt;$J40,0,(((YEAR(Lists!N$22)-YEAR($J40))*12+MONTH(Lists!N$22)-MONTH($J40))-(EDATE($J40,((YEAR(Lists!N$22)-YEAR($J40))*12+MONTH(Lists!N$22)-MONTH($J40)))&gt;Lists!N$22)+1)))),N($C40)*IF($AE40-$AD40&lt;1,($AD40&gt;Lists!N$22)*($AD40&lt;=Lists!N$21),MAX(0,MIN(Lists!N$21,$AE40)-MAX(Lists!N$22,$AD40))/($AE40-$AD40))+N($D40)*IF($AG40-$AF40&lt;1,($AF40&gt;Lists!N$22)*($AF40&lt;=Lists!N$21),MAX(0,MIN(Lists!N$21,$AG40)-MAX(Lists!N$22,$AF40))/($AG40-$AF40))+N($E40)*IF($AI40-$AH40&lt;1,($AH40&gt;Lists!N$22)*($AH40&lt;=Lists!N$21),MAX(0,MIN(Lists!N$21,$AI40)-MAX(Lists!N$22,$AH40))/($AI40-$AH40))+N($F40)*IF($AK40-$AJ40&lt;1,($AJ40&gt;Lists!N$22)*($AJ40&lt;=Lists!N$21),MAX(0,MIN(Lists!N$21,$AK40)-MAX(Lists!N$22,$AJ40))/($AK40-$AJ40))+N($G40)*IF($AM40-$AL40&lt;1,($AL40&gt;Lists!N$22)*($AL40&lt;=Lists!N$21),MAX(0,MIN(Lists!N$21,$AM40)-MAX(Lists!N$22,$AL40))/($AM40-$AL40))))))))</f>
        <v>0</v>
      </c>
      <c r="Y40" s="53" t="n">
        <f aca="false">IF($H40=0,0,IF($AP40="X",0,IF($AP40="S",$H40/$AO40*(MIN($AO40,MAX(0,INT((Lists!O$21-N($J40))/7)+1))-MIN($AO40,MAX(0,INT((Lists!O$22-N($J40))/7)+1))),IF($AP40="D",$H40*MAX(0,MIN(Lists!O$21,N($J40)+$AO40)-MAX(Lists!O$22,N($J40)))/$AO40,IF($AP40="M",$H40/$AO40*(IF(Lists!O$21&lt;$J40,0,MIN($AO40,(((YEAR(Lists!O$21)-YEAR($J40))*12+MONTH(Lists!O$21)-MONTH($J40))-(EDATE($J40,((YEAR(Lists!O$21)-YEAR($J40))*12+MONTH(Lists!O$21)-MONTH($J40)))&gt;Lists!O$21)+1)))-IF(Lists!O$22&lt;$J40,0,MIN($AO40,(((YEAR(Lists!O$22)-YEAR($J40))*12+MONTH(Lists!O$22)-MONTH($J40))-(EDATE($J40,((YEAR(Lists!O$22)-YEAR($J40))*12+MONTH(Lists!O$22)-MONTH($J40)))&gt;Lists!O$22)+1)))),IF($AP40="F",IF(N($K40)&lt;=0,0,MIN(MAX(0,$H40),N($K40)*IF(Lists!O$21&lt;$J40,0,(((YEAR(Lists!O$21)-YEAR($J40))*12+MONTH(Lists!O$21)-MONTH($J40))-(EDATE($J40,((YEAR(Lists!O$21)-YEAR($J40))*12+MONTH(Lists!O$21)-MONTH($J40)))&gt;Lists!O$21)+1)))-MIN(MAX(0,$H40),N($K40)*IF(Lists!O$22&lt;$J40,0,(((YEAR(Lists!O$22)-YEAR($J40))*12+MONTH(Lists!O$22)-MONTH($J40))-(EDATE($J40,((YEAR(Lists!O$22)-YEAR($J40))*12+MONTH(Lists!O$22)-MONTH($J40)))&gt;Lists!O$22)+1)))),N($C40)*IF($AE40-$AD40&lt;1,($AD40&gt;Lists!O$22)*($AD40&lt;=Lists!O$21),MAX(0,MIN(Lists!O$21,$AE40)-MAX(Lists!O$22,$AD40))/($AE40-$AD40))+N($D40)*IF($AG40-$AF40&lt;1,($AF40&gt;Lists!O$22)*($AF40&lt;=Lists!O$21),MAX(0,MIN(Lists!O$21,$AG40)-MAX(Lists!O$22,$AF40))/($AG40-$AF40))+N($E40)*IF($AI40-$AH40&lt;1,($AH40&gt;Lists!O$22)*($AH40&lt;=Lists!O$21),MAX(0,MIN(Lists!O$21,$AI40)-MAX(Lists!O$22,$AH40))/($AI40-$AH40))+N($F40)*IF($AK40-$AJ40&lt;1,($AJ40&gt;Lists!O$22)*($AJ40&lt;=Lists!O$21),MAX(0,MIN(Lists!O$21,$AK40)-MAX(Lists!O$22,$AJ40))/($AK40-$AJ40))+N($G40)*IF($AM40-$AL40&lt;1,($AL40&gt;Lists!O$22)*($AL40&lt;=Lists!O$21),MAX(0,MIN(Lists!O$21,$AM40)-MAX(Lists!O$22,$AL40))/($AM40-$AL40))))))))</f>
        <v>0</v>
      </c>
      <c r="Z40" s="46" t="n">
        <f aca="false">SUM(M40:Y40)</f>
        <v>0</v>
      </c>
      <c r="AA40" s="92" t="n">
        <f aca="false">H40-Z40</f>
        <v>0</v>
      </c>
      <c r="AB40" s="55"/>
      <c r="AC40" s="2"/>
      <c r="AD40" s="93" t="n">
        <f aca="false">Setup!$D$10+MAX(0,$AN40-30)</f>
        <v>46345</v>
      </c>
      <c r="AE40" s="93" t="n">
        <f aca="false">Setup!$D$10+IF($AN40-30&lt;0,MAX(Setup!$D$22,$AN40-0),$AN40-0)</f>
        <v>46375</v>
      </c>
      <c r="AF40" s="93" t="n">
        <f aca="false">Setup!$D$10+MAX(0,$AN40-60)</f>
        <v>46335</v>
      </c>
      <c r="AG40" s="93" t="n">
        <f aca="false">Setup!$D$10+IF($AN40-60&lt;0,MAX(Setup!$D$22,$AN40-31),$AN40-31)</f>
        <v>46363</v>
      </c>
      <c r="AH40" s="93" t="n">
        <f aca="false">Setup!$D$10+MAX(0,$AN40-90)</f>
        <v>46335</v>
      </c>
      <c r="AI40" s="93" t="n">
        <f aca="false">Setup!$D$10+IF($AN40-90&lt;0,MAX(Setup!$D$22,$AN40-61),$AN40-61)</f>
        <v>46363</v>
      </c>
      <c r="AJ40" s="93" t="n">
        <f aca="false">Setup!$D$10+MAX(0,$AN40-120)</f>
        <v>46335</v>
      </c>
      <c r="AK40" s="93" t="n">
        <f aca="false">Setup!$D$10+IF($AN40-120&lt;0,MAX(Setup!$D$22,$AN40-91),$AN40-91)</f>
        <v>46363</v>
      </c>
      <c r="AL40" s="93" t="n">
        <f aca="false">Setup!$D$10</f>
        <v>46335</v>
      </c>
      <c r="AM40" s="93" t="n">
        <f aca="false">IF(AL40=2958465,AL40,Setup!$D$10+Setup!$D$22)</f>
        <v>46363</v>
      </c>
      <c r="AN40" s="94" t="n">
        <f aca="false">IF(N(L40)=0,Setup!$D$21,L40)</f>
        <v>40</v>
      </c>
      <c r="AO40" s="94" t="n">
        <f aca="false">MAX(1,ROUND(N(K40),0))</f>
        <v>1</v>
      </c>
      <c r="AP40" s="95" t="str">
        <f aca="false">IF(I40="On hold","X",IF(N(J40)=0,"A",IF(I40="Specific date","S",IF(I40="Spread over days","D",IF(I40="Monthly on set day","M",IF(I40="Monthly fixed amount","F","A"))))))</f>
        <v>A</v>
      </c>
    </row>
    <row r="41" customFormat="false" ht="15" hidden="false" customHeight="false" outlineLevel="0" collapsed="false">
      <c r="A41" s="87" t="n">
        <v>33</v>
      </c>
      <c r="B41" s="55"/>
      <c r="C41" s="88"/>
      <c r="D41" s="88"/>
      <c r="E41" s="88"/>
      <c r="F41" s="88"/>
      <c r="G41" s="88"/>
      <c r="H41" s="89" t="n">
        <f aca="false">SUM(C41:G41)</f>
        <v>0</v>
      </c>
      <c r="I41" s="58"/>
      <c r="J41" s="90"/>
      <c r="K41" s="91"/>
      <c r="L41" s="80"/>
      <c r="M41" s="53" t="n">
        <f aca="false">IF($H41=0,0,IF($AP41="X",0,IF($AP41="S",$H41/$AO41*(MIN($AO41,MAX(0,INT((Lists!C$21-N($J41))/7)+1))-MIN($AO41,MAX(0,INT((Lists!C$22-N($J41))/7)+1))),IF($AP41="D",$H41*MAX(0,MIN(Lists!C$21,N($J41)+$AO41)-MAX(Lists!C$22,N($J41)))/$AO41,IF($AP41="M",$H41/$AO41*(IF(Lists!C$21&lt;$J41,0,MIN($AO41,(((YEAR(Lists!C$21)-YEAR($J41))*12+MONTH(Lists!C$21)-MONTH($J41))-(EDATE($J41,((YEAR(Lists!C$21)-YEAR($J41))*12+MONTH(Lists!C$21)-MONTH($J41)))&gt;Lists!C$21)+1)))-IF(Lists!C$22&lt;$J41,0,MIN($AO41,(((YEAR(Lists!C$22)-YEAR($J41))*12+MONTH(Lists!C$22)-MONTH($J41))-(EDATE($J41,((YEAR(Lists!C$22)-YEAR($J41))*12+MONTH(Lists!C$22)-MONTH($J41)))&gt;Lists!C$22)+1)))),IF($AP41="F",IF(N($K41)&lt;=0,0,MIN(MAX(0,$H41),N($K41)*IF(Lists!C$21&lt;$J41,0,(((YEAR(Lists!C$21)-YEAR($J41))*12+MONTH(Lists!C$21)-MONTH($J41))-(EDATE($J41,((YEAR(Lists!C$21)-YEAR($J41))*12+MONTH(Lists!C$21)-MONTH($J41)))&gt;Lists!C$21)+1)))-MIN(MAX(0,$H41),N($K41)*IF(Lists!C$22&lt;$J41,0,(((YEAR(Lists!C$22)-YEAR($J41))*12+MONTH(Lists!C$22)-MONTH($J41))-(EDATE($J41,((YEAR(Lists!C$22)-YEAR($J41))*12+MONTH(Lists!C$22)-MONTH($J41)))&gt;Lists!C$22)+1)))),N($C41)*IF($AE41-$AD41&lt;1,($AD41&gt;Lists!C$22)*($AD41&lt;=Lists!C$21),MAX(0,MIN(Lists!C$21,$AE41)-MAX(Lists!C$22,$AD41))/($AE41-$AD41))+N($D41)*IF($AG41-$AF41&lt;1,($AF41&gt;Lists!C$22)*($AF41&lt;=Lists!C$21),MAX(0,MIN(Lists!C$21,$AG41)-MAX(Lists!C$22,$AF41))/($AG41-$AF41))+N($E41)*IF($AI41-$AH41&lt;1,($AH41&gt;Lists!C$22)*($AH41&lt;=Lists!C$21),MAX(0,MIN(Lists!C$21,$AI41)-MAX(Lists!C$22,$AH41))/($AI41-$AH41))+N($F41)*IF($AK41-$AJ41&lt;1,($AJ41&gt;Lists!C$22)*($AJ41&lt;=Lists!C$21),MAX(0,MIN(Lists!C$21,$AK41)-MAX(Lists!C$22,$AJ41))/($AK41-$AJ41))+N($G41)*IF($AM41-$AL41&lt;1,($AL41&gt;Lists!C$22)*($AL41&lt;=Lists!C$21),MAX(0,MIN(Lists!C$21,$AM41)-MAX(Lists!C$22,$AL41))/($AM41-$AL41))))))))</f>
        <v>0</v>
      </c>
      <c r="N41" s="53" t="n">
        <f aca="false">IF($H41=0,0,IF($AP41="X",0,IF($AP41="S",$H41/$AO41*(MIN($AO41,MAX(0,INT((Lists!D$21-N($J41))/7)+1))-MIN($AO41,MAX(0,INT((Lists!D$22-N($J41))/7)+1))),IF($AP41="D",$H41*MAX(0,MIN(Lists!D$21,N($J41)+$AO41)-MAX(Lists!D$22,N($J41)))/$AO41,IF($AP41="M",$H41/$AO41*(IF(Lists!D$21&lt;$J41,0,MIN($AO41,(((YEAR(Lists!D$21)-YEAR($J41))*12+MONTH(Lists!D$21)-MONTH($J41))-(EDATE($J41,((YEAR(Lists!D$21)-YEAR($J41))*12+MONTH(Lists!D$21)-MONTH($J41)))&gt;Lists!D$21)+1)))-IF(Lists!D$22&lt;$J41,0,MIN($AO41,(((YEAR(Lists!D$22)-YEAR($J41))*12+MONTH(Lists!D$22)-MONTH($J41))-(EDATE($J41,((YEAR(Lists!D$22)-YEAR($J41))*12+MONTH(Lists!D$22)-MONTH($J41)))&gt;Lists!D$22)+1)))),IF($AP41="F",IF(N($K41)&lt;=0,0,MIN(MAX(0,$H41),N($K41)*IF(Lists!D$21&lt;$J41,0,(((YEAR(Lists!D$21)-YEAR($J41))*12+MONTH(Lists!D$21)-MONTH($J41))-(EDATE($J41,((YEAR(Lists!D$21)-YEAR($J41))*12+MONTH(Lists!D$21)-MONTH($J41)))&gt;Lists!D$21)+1)))-MIN(MAX(0,$H41),N($K41)*IF(Lists!D$22&lt;$J41,0,(((YEAR(Lists!D$22)-YEAR($J41))*12+MONTH(Lists!D$22)-MONTH($J41))-(EDATE($J41,((YEAR(Lists!D$22)-YEAR($J41))*12+MONTH(Lists!D$22)-MONTH($J41)))&gt;Lists!D$22)+1)))),N($C41)*IF($AE41-$AD41&lt;1,($AD41&gt;Lists!D$22)*($AD41&lt;=Lists!D$21),MAX(0,MIN(Lists!D$21,$AE41)-MAX(Lists!D$22,$AD41))/($AE41-$AD41))+N($D41)*IF($AG41-$AF41&lt;1,($AF41&gt;Lists!D$22)*($AF41&lt;=Lists!D$21),MAX(0,MIN(Lists!D$21,$AG41)-MAX(Lists!D$22,$AF41))/($AG41-$AF41))+N($E41)*IF($AI41-$AH41&lt;1,($AH41&gt;Lists!D$22)*($AH41&lt;=Lists!D$21),MAX(0,MIN(Lists!D$21,$AI41)-MAX(Lists!D$22,$AH41))/($AI41-$AH41))+N($F41)*IF($AK41-$AJ41&lt;1,($AJ41&gt;Lists!D$22)*($AJ41&lt;=Lists!D$21),MAX(0,MIN(Lists!D$21,$AK41)-MAX(Lists!D$22,$AJ41))/($AK41-$AJ41))+N($G41)*IF($AM41-$AL41&lt;1,($AL41&gt;Lists!D$22)*($AL41&lt;=Lists!D$21),MAX(0,MIN(Lists!D$21,$AM41)-MAX(Lists!D$22,$AL41))/($AM41-$AL41))))))))</f>
        <v>0</v>
      </c>
      <c r="O41" s="53" t="n">
        <f aca="false">IF($H41=0,0,IF($AP41="X",0,IF($AP41="S",$H41/$AO41*(MIN($AO41,MAX(0,INT((Lists!E$21-N($J41))/7)+1))-MIN($AO41,MAX(0,INT((Lists!E$22-N($J41))/7)+1))),IF($AP41="D",$H41*MAX(0,MIN(Lists!E$21,N($J41)+$AO41)-MAX(Lists!E$22,N($J41)))/$AO41,IF($AP41="M",$H41/$AO41*(IF(Lists!E$21&lt;$J41,0,MIN($AO41,(((YEAR(Lists!E$21)-YEAR($J41))*12+MONTH(Lists!E$21)-MONTH($J41))-(EDATE($J41,((YEAR(Lists!E$21)-YEAR($J41))*12+MONTH(Lists!E$21)-MONTH($J41)))&gt;Lists!E$21)+1)))-IF(Lists!E$22&lt;$J41,0,MIN($AO41,(((YEAR(Lists!E$22)-YEAR($J41))*12+MONTH(Lists!E$22)-MONTH($J41))-(EDATE($J41,((YEAR(Lists!E$22)-YEAR($J41))*12+MONTH(Lists!E$22)-MONTH($J41)))&gt;Lists!E$22)+1)))),IF($AP41="F",IF(N($K41)&lt;=0,0,MIN(MAX(0,$H41),N($K41)*IF(Lists!E$21&lt;$J41,0,(((YEAR(Lists!E$21)-YEAR($J41))*12+MONTH(Lists!E$21)-MONTH($J41))-(EDATE($J41,((YEAR(Lists!E$21)-YEAR($J41))*12+MONTH(Lists!E$21)-MONTH($J41)))&gt;Lists!E$21)+1)))-MIN(MAX(0,$H41),N($K41)*IF(Lists!E$22&lt;$J41,0,(((YEAR(Lists!E$22)-YEAR($J41))*12+MONTH(Lists!E$22)-MONTH($J41))-(EDATE($J41,((YEAR(Lists!E$22)-YEAR($J41))*12+MONTH(Lists!E$22)-MONTH($J41)))&gt;Lists!E$22)+1)))),N($C41)*IF($AE41-$AD41&lt;1,($AD41&gt;Lists!E$22)*($AD41&lt;=Lists!E$21),MAX(0,MIN(Lists!E$21,$AE41)-MAX(Lists!E$22,$AD41))/($AE41-$AD41))+N($D41)*IF($AG41-$AF41&lt;1,($AF41&gt;Lists!E$22)*($AF41&lt;=Lists!E$21),MAX(0,MIN(Lists!E$21,$AG41)-MAX(Lists!E$22,$AF41))/($AG41-$AF41))+N($E41)*IF($AI41-$AH41&lt;1,($AH41&gt;Lists!E$22)*($AH41&lt;=Lists!E$21),MAX(0,MIN(Lists!E$21,$AI41)-MAX(Lists!E$22,$AH41))/($AI41-$AH41))+N($F41)*IF($AK41-$AJ41&lt;1,($AJ41&gt;Lists!E$22)*($AJ41&lt;=Lists!E$21),MAX(0,MIN(Lists!E$21,$AK41)-MAX(Lists!E$22,$AJ41))/($AK41-$AJ41))+N($G41)*IF($AM41-$AL41&lt;1,($AL41&gt;Lists!E$22)*($AL41&lt;=Lists!E$21),MAX(0,MIN(Lists!E$21,$AM41)-MAX(Lists!E$22,$AL41))/($AM41-$AL41))))))))</f>
        <v>0</v>
      </c>
      <c r="P41" s="53" t="n">
        <f aca="false">IF($H41=0,0,IF($AP41="X",0,IF($AP41="S",$H41/$AO41*(MIN($AO41,MAX(0,INT((Lists!F$21-N($J41))/7)+1))-MIN($AO41,MAX(0,INT((Lists!F$22-N($J41))/7)+1))),IF($AP41="D",$H41*MAX(0,MIN(Lists!F$21,N($J41)+$AO41)-MAX(Lists!F$22,N($J41)))/$AO41,IF($AP41="M",$H41/$AO41*(IF(Lists!F$21&lt;$J41,0,MIN($AO41,(((YEAR(Lists!F$21)-YEAR($J41))*12+MONTH(Lists!F$21)-MONTH($J41))-(EDATE($J41,((YEAR(Lists!F$21)-YEAR($J41))*12+MONTH(Lists!F$21)-MONTH($J41)))&gt;Lists!F$21)+1)))-IF(Lists!F$22&lt;$J41,0,MIN($AO41,(((YEAR(Lists!F$22)-YEAR($J41))*12+MONTH(Lists!F$22)-MONTH($J41))-(EDATE($J41,((YEAR(Lists!F$22)-YEAR($J41))*12+MONTH(Lists!F$22)-MONTH($J41)))&gt;Lists!F$22)+1)))),IF($AP41="F",IF(N($K41)&lt;=0,0,MIN(MAX(0,$H41),N($K41)*IF(Lists!F$21&lt;$J41,0,(((YEAR(Lists!F$21)-YEAR($J41))*12+MONTH(Lists!F$21)-MONTH($J41))-(EDATE($J41,((YEAR(Lists!F$21)-YEAR($J41))*12+MONTH(Lists!F$21)-MONTH($J41)))&gt;Lists!F$21)+1)))-MIN(MAX(0,$H41),N($K41)*IF(Lists!F$22&lt;$J41,0,(((YEAR(Lists!F$22)-YEAR($J41))*12+MONTH(Lists!F$22)-MONTH($J41))-(EDATE($J41,((YEAR(Lists!F$22)-YEAR($J41))*12+MONTH(Lists!F$22)-MONTH($J41)))&gt;Lists!F$22)+1)))),N($C41)*IF($AE41-$AD41&lt;1,($AD41&gt;Lists!F$22)*($AD41&lt;=Lists!F$21),MAX(0,MIN(Lists!F$21,$AE41)-MAX(Lists!F$22,$AD41))/($AE41-$AD41))+N($D41)*IF($AG41-$AF41&lt;1,($AF41&gt;Lists!F$22)*($AF41&lt;=Lists!F$21),MAX(0,MIN(Lists!F$21,$AG41)-MAX(Lists!F$22,$AF41))/($AG41-$AF41))+N($E41)*IF($AI41-$AH41&lt;1,($AH41&gt;Lists!F$22)*($AH41&lt;=Lists!F$21),MAX(0,MIN(Lists!F$21,$AI41)-MAX(Lists!F$22,$AH41))/($AI41-$AH41))+N($F41)*IF($AK41-$AJ41&lt;1,($AJ41&gt;Lists!F$22)*($AJ41&lt;=Lists!F$21),MAX(0,MIN(Lists!F$21,$AK41)-MAX(Lists!F$22,$AJ41))/($AK41-$AJ41))+N($G41)*IF($AM41-$AL41&lt;1,($AL41&gt;Lists!F$22)*($AL41&lt;=Lists!F$21),MAX(0,MIN(Lists!F$21,$AM41)-MAX(Lists!F$22,$AL41))/($AM41-$AL41))))))))</f>
        <v>0</v>
      </c>
      <c r="Q41" s="53" t="n">
        <f aca="false">IF($H41=0,0,IF($AP41="X",0,IF($AP41="S",$H41/$AO41*(MIN($AO41,MAX(0,INT((Lists!G$21-N($J41))/7)+1))-MIN($AO41,MAX(0,INT((Lists!G$22-N($J41))/7)+1))),IF($AP41="D",$H41*MAX(0,MIN(Lists!G$21,N($J41)+$AO41)-MAX(Lists!G$22,N($J41)))/$AO41,IF($AP41="M",$H41/$AO41*(IF(Lists!G$21&lt;$J41,0,MIN($AO41,(((YEAR(Lists!G$21)-YEAR($J41))*12+MONTH(Lists!G$21)-MONTH($J41))-(EDATE($J41,((YEAR(Lists!G$21)-YEAR($J41))*12+MONTH(Lists!G$21)-MONTH($J41)))&gt;Lists!G$21)+1)))-IF(Lists!G$22&lt;$J41,0,MIN($AO41,(((YEAR(Lists!G$22)-YEAR($J41))*12+MONTH(Lists!G$22)-MONTH($J41))-(EDATE($J41,((YEAR(Lists!G$22)-YEAR($J41))*12+MONTH(Lists!G$22)-MONTH($J41)))&gt;Lists!G$22)+1)))),IF($AP41="F",IF(N($K41)&lt;=0,0,MIN(MAX(0,$H41),N($K41)*IF(Lists!G$21&lt;$J41,0,(((YEAR(Lists!G$21)-YEAR($J41))*12+MONTH(Lists!G$21)-MONTH($J41))-(EDATE($J41,((YEAR(Lists!G$21)-YEAR($J41))*12+MONTH(Lists!G$21)-MONTH($J41)))&gt;Lists!G$21)+1)))-MIN(MAX(0,$H41),N($K41)*IF(Lists!G$22&lt;$J41,0,(((YEAR(Lists!G$22)-YEAR($J41))*12+MONTH(Lists!G$22)-MONTH($J41))-(EDATE($J41,((YEAR(Lists!G$22)-YEAR($J41))*12+MONTH(Lists!G$22)-MONTH($J41)))&gt;Lists!G$22)+1)))),N($C41)*IF($AE41-$AD41&lt;1,($AD41&gt;Lists!G$22)*($AD41&lt;=Lists!G$21),MAX(0,MIN(Lists!G$21,$AE41)-MAX(Lists!G$22,$AD41))/($AE41-$AD41))+N($D41)*IF($AG41-$AF41&lt;1,($AF41&gt;Lists!G$22)*($AF41&lt;=Lists!G$21),MAX(0,MIN(Lists!G$21,$AG41)-MAX(Lists!G$22,$AF41))/($AG41-$AF41))+N($E41)*IF($AI41-$AH41&lt;1,($AH41&gt;Lists!G$22)*($AH41&lt;=Lists!G$21),MAX(0,MIN(Lists!G$21,$AI41)-MAX(Lists!G$22,$AH41))/($AI41-$AH41))+N($F41)*IF($AK41-$AJ41&lt;1,($AJ41&gt;Lists!G$22)*($AJ41&lt;=Lists!G$21),MAX(0,MIN(Lists!G$21,$AK41)-MAX(Lists!G$22,$AJ41))/($AK41-$AJ41))+N($G41)*IF($AM41-$AL41&lt;1,($AL41&gt;Lists!G$22)*($AL41&lt;=Lists!G$21),MAX(0,MIN(Lists!G$21,$AM41)-MAX(Lists!G$22,$AL41))/($AM41-$AL41))))))))</f>
        <v>0</v>
      </c>
      <c r="R41" s="53" t="n">
        <f aca="false">IF($H41=0,0,IF($AP41="X",0,IF($AP41="S",$H41/$AO41*(MIN($AO41,MAX(0,INT((Lists!H$21-N($J41))/7)+1))-MIN($AO41,MAX(0,INT((Lists!H$22-N($J41))/7)+1))),IF($AP41="D",$H41*MAX(0,MIN(Lists!H$21,N($J41)+$AO41)-MAX(Lists!H$22,N($J41)))/$AO41,IF($AP41="M",$H41/$AO41*(IF(Lists!H$21&lt;$J41,0,MIN($AO41,(((YEAR(Lists!H$21)-YEAR($J41))*12+MONTH(Lists!H$21)-MONTH($J41))-(EDATE($J41,((YEAR(Lists!H$21)-YEAR($J41))*12+MONTH(Lists!H$21)-MONTH($J41)))&gt;Lists!H$21)+1)))-IF(Lists!H$22&lt;$J41,0,MIN($AO41,(((YEAR(Lists!H$22)-YEAR($J41))*12+MONTH(Lists!H$22)-MONTH($J41))-(EDATE($J41,((YEAR(Lists!H$22)-YEAR($J41))*12+MONTH(Lists!H$22)-MONTH($J41)))&gt;Lists!H$22)+1)))),IF($AP41="F",IF(N($K41)&lt;=0,0,MIN(MAX(0,$H41),N($K41)*IF(Lists!H$21&lt;$J41,0,(((YEAR(Lists!H$21)-YEAR($J41))*12+MONTH(Lists!H$21)-MONTH($J41))-(EDATE($J41,((YEAR(Lists!H$21)-YEAR($J41))*12+MONTH(Lists!H$21)-MONTH($J41)))&gt;Lists!H$21)+1)))-MIN(MAX(0,$H41),N($K41)*IF(Lists!H$22&lt;$J41,0,(((YEAR(Lists!H$22)-YEAR($J41))*12+MONTH(Lists!H$22)-MONTH($J41))-(EDATE($J41,((YEAR(Lists!H$22)-YEAR($J41))*12+MONTH(Lists!H$22)-MONTH($J41)))&gt;Lists!H$22)+1)))),N($C41)*IF($AE41-$AD41&lt;1,($AD41&gt;Lists!H$22)*($AD41&lt;=Lists!H$21),MAX(0,MIN(Lists!H$21,$AE41)-MAX(Lists!H$22,$AD41))/($AE41-$AD41))+N($D41)*IF($AG41-$AF41&lt;1,($AF41&gt;Lists!H$22)*($AF41&lt;=Lists!H$21),MAX(0,MIN(Lists!H$21,$AG41)-MAX(Lists!H$22,$AF41))/($AG41-$AF41))+N($E41)*IF($AI41-$AH41&lt;1,($AH41&gt;Lists!H$22)*($AH41&lt;=Lists!H$21),MAX(0,MIN(Lists!H$21,$AI41)-MAX(Lists!H$22,$AH41))/($AI41-$AH41))+N($F41)*IF($AK41-$AJ41&lt;1,($AJ41&gt;Lists!H$22)*($AJ41&lt;=Lists!H$21),MAX(0,MIN(Lists!H$21,$AK41)-MAX(Lists!H$22,$AJ41))/($AK41-$AJ41))+N($G41)*IF($AM41-$AL41&lt;1,($AL41&gt;Lists!H$22)*($AL41&lt;=Lists!H$21),MAX(0,MIN(Lists!H$21,$AM41)-MAX(Lists!H$22,$AL41))/($AM41-$AL41))))))))</f>
        <v>0</v>
      </c>
      <c r="S41" s="53" t="n">
        <f aca="false">IF($H41=0,0,IF($AP41="X",0,IF($AP41="S",$H41/$AO41*(MIN($AO41,MAX(0,INT((Lists!I$21-N($J41))/7)+1))-MIN($AO41,MAX(0,INT((Lists!I$22-N($J41))/7)+1))),IF($AP41="D",$H41*MAX(0,MIN(Lists!I$21,N($J41)+$AO41)-MAX(Lists!I$22,N($J41)))/$AO41,IF($AP41="M",$H41/$AO41*(IF(Lists!I$21&lt;$J41,0,MIN($AO41,(((YEAR(Lists!I$21)-YEAR($J41))*12+MONTH(Lists!I$21)-MONTH($J41))-(EDATE($J41,((YEAR(Lists!I$21)-YEAR($J41))*12+MONTH(Lists!I$21)-MONTH($J41)))&gt;Lists!I$21)+1)))-IF(Lists!I$22&lt;$J41,0,MIN($AO41,(((YEAR(Lists!I$22)-YEAR($J41))*12+MONTH(Lists!I$22)-MONTH($J41))-(EDATE($J41,((YEAR(Lists!I$22)-YEAR($J41))*12+MONTH(Lists!I$22)-MONTH($J41)))&gt;Lists!I$22)+1)))),IF($AP41="F",IF(N($K41)&lt;=0,0,MIN(MAX(0,$H41),N($K41)*IF(Lists!I$21&lt;$J41,0,(((YEAR(Lists!I$21)-YEAR($J41))*12+MONTH(Lists!I$21)-MONTH($J41))-(EDATE($J41,((YEAR(Lists!I$21)-YEAR($J41))*12+MONTH(Lists!I$21)-MONTH($J41)))&gt;Lists!I$21)+1)))-MIN(MAX(0,$H41),N($K41)*IF(Lists!I$22&lt;$J41,0,(((YEAR(Lists!I$22)-YEAR($J41))*12+MONTH(Lists!I$22)-MONTH($J41))-(EDATE($J41,((YEAR(Lists!I$22)-YEAR($J41))*12+MONTH(Lists!I$22)-MONTH($J41)))&gt;Lists!I$22)+1)))),N($C41)*IF($AE41-$AD41&lt;1,($AD41&gt;Lists!I$22)*($AD41&lt;=Lists!I$21),MAX(0,MIN(Lists!I$21,$AE41)-MAX(Lists!I$22,$AD41))/($AE41-$AD41))+N($D41)*IF($AG41-$AF41&lt;1,($AF41&gt;Lists!I$22)*($AF41&lt;=Lists!I$21),MAX(0,MIN(Lists!I$21,$AG41)-MAX(Lists!I$22,$AF41))/($AG41-$AF41))+N($E41)*IF($AI41-$AH41&lt;1,($AH41&gt;Lists!I$22)*($AH41&lt;=Lists!I$21),MAX(0,MIN(Lists!I$21,$AI41)-MAX(Lists!I$22,$AH41))/($AI41-$AH41))+N($F41)*IF($AK41-$AJ41&lt;1,($AJ41&gt;Lists!I$22)*($AJ41&lt;=Lists!I$21),MAX(0,MIN(Lists!I$21,$AK41)-MAX(Lists!I$22,$AJ41))/($AK41-$AJ41))+N($G41)*IF($AM41-$AL41&lt;1,($AL41&gt;Lists!I$22)*($AL41&lt;=Lists!I$21),MAX(0,MIN(Lists!I$21,$AM41)-MAX(Lists!I$22,$AL41))/($AM41-$AL41))))))))</f>
        <v>0</v>
      </c>
      <c r="T41" s="53" t="n">
        <f aca="false">IF($H41=0,0,IF($AP41="X",0,IF($AP41="S",$H41/$AO41*(MIN($AO41,MAX(0,INT((Lists!J$21-N($J41))/7)+1))-MIN($AO41,MAX(0,INT((Lists!J$22-N($J41))/7)+1))),IF($AP41="D",$H41*MAX(0,MIN(Lists!J$21,N($J41)+$AO41)-MAX(Lists!J$22,N($J41)))/$AO41,IF($AP41="M",$H41/$AO41*(IF(Lists!J$21&lt;$J41,0,MIN($AO41,(((YEAR(Lists!J$21)-YEAR($J41))*12+MONTH(Lists!J$21)-MONTH($J41))-(EDATE($J41,((YEAR(Lists!J$21)-YEAR($J41))*12+MONTH(Lists!J$21)-MONTH($J41)))&gt;Lists!J$21)+1)))-IF(Lists!J$22&lt;$J41,0,MIN($AO41,(((YEAR(Lists!J$22)-YEAR($J41))*12+MONTH(Lists!J$22)-MONTH($J41))-(EDATE($J41,((YEAR(Lists!J$22)-YEAR($J41))*12+MONTH(Lists!J$22)-MONTH($J41)))&gt;Lists!J$22)+1)))),IF($AP41="F",IF(N($K41)&lt;=0,0,MIN(MAX(0,$H41),N($K41)*IF(Lists!J$21&lt;$J41,0,(((YEAR(Lists!J$21)-YEAR($J41))*12+MONTH(Lists!J$21)-MONTH($J41))-(EDATE($J41,((YEAR(Lists!J$21)-YEAR($J41))*12+MONTH(Lists!J$21)-MONTH($J41)))&gt;Lists!J$21)+1)))-MIN(MAX(0,$H41),N($K41)*IF(Lists!J$22&lt;$J41,0,(((YEAR(Lists!J$22)-YEAR($J41))*12+MONTH(Lists!J$22)-MONTH($J41))-(EDATE($J41,((YEAR(Lists!J$22)-YEAR($J41))*12+MONTH(Lists!J$22)-MONTH($J41)))&gt;Lists!J$22)+1)))),N($C41)*IF($AE41-$AD41&lt;1,($AD41&gt;Lists!J$22)*($AD41&lt;=Lists!J$21),MAX(0,MIN(Lists!J$21,$AE41)-MAX(Lists!J$22,$AD41))/($AE41-$AD41))+N($D41)*IF($AG41-$AF41&lt;1,($AF41&gt;Lists!J$22)*($AF41&lt;=Lists!J$21),MAX(0,MIN(Lists!J$21,$AG41)-MAX(Lists!J$22,$AF41))/($AG41-$AF41))+N($E41)*IF($AI41-$AH41&lt;1,($AH41&gt;Lists!J$22)*($AH41&lt;=Lists!J$21),MAX(0,MIN(Lists!J$21,$AI41)-MAX(Lists!J$22,$AH41))/($AI41-$AH41))+N($F41)*IF($AK41-$AJ41&lt;1,($AJ41&gt;Lists!J$22)*($AJ41&lt;=Lists!J$21),MAX(0,MIN(Lists!J$21,$AK41)-MAX(Lists!J$22,$AJ41))/($AK41-$AJ41))+N($G41)*IF($AM41-$AL41&lt;1,($AL41&gt;Lists!J$22)*($AL41&lt;=Lists!J$21),MAX(0,MIN(Lists!J$21,$AM41)-MAX(Lists!J$22,$AL41))/($AM41-$AL41))))))))</f>
        <v>0</v>
      </c>
      <c r="U41" s="53" t="n">
        <f aca="false">IF($H41=0,0,IF($AP41="X",0,IF($AP41="S",$H41/$AO41*(MIN($AO41,MAX(0,INT((Lists!K$21-N($J41))/7)+1))-MIN($AO41,MAX(0,INT((Lists!K$22-N($J41))/7)+1))),IF($AP41="D",$H41*MAX(0,MIN(Lists!K$21,N($J41)+$AO41)-MAX(Lists!K$22,N($J41)))/$AO41,IF($AP41="M",$H41/$AO41*(IF(Lists!K$21&lt;$J41,0,MIN($AO41,(((YEAR(Lists!K$21)-YEAR($J41))*12+MONTH(Lists!K$21)-MONTH($J41))-(EDATE($J41,((YEAR(Lists!K$21)-YEAR($J41))*12+MONTH(Lists!K$21)-MONTH($J41)))&gt;Lists!K$21)+1)))-IF(Lists!K$22&lt;$J41,0,MIN($AO41,(((YEAR(Lists!K$22)-YEAR($J41))*12+MONTH(Lists!K$22)-MONTH($J41))-(EDATE($J41,((YEAR(Lists!K$22)-YEAR($J41))*12+MONTH(Lists!K$22)-MONTH($J41)))&gt;Lists!K$22)+1)))),IF($AP41="F",IF(N($K41)&lt;=0,0,MIN(MAX(0,$H41),N($K41)*IF(Lists!K$21&lt;$J41,0,(((YEAR(Lists!K$21)-YEAR($J41))*12+MONTH(Lists!K$21)-MONTH($J41))-(EDATE($J41,((YEAR(Lists!K$21)-YEAR($J41))*12+MONTH(Lists!K$21)-MONTH($J41)))&gt;Lists!K$21)+1)))-MIN(MAX(0,$H41),N($K41)*IF(Lists!K$22&lt;$J41,0,(((YEAR(Lists!K$22)-YEAR($J41))*12+MONTH(Lists!K$22)-MONTH($J41))-(EDATE($J41,((YEAR(Lists!K$22)-YEAR($J41))*12+MONTH(Lists!K$22)-MONTH($J41)))&gt;Lists!K$22)+1)))),N($C41)*IF($AE41-$AD41&lt;1,($AD41&gt;Lists!K$22)*($AD41&lt;=Lists!K$21),MAX(0,MIN(Lists!K$21,$AE41)-MAX(Lists!K$22,$AD41))/($AE41-$AD41))+N($D41)*IF($AG41-$AF41&lt;1,($AF41&gt;Lists!K$22)*($AF41&lt;=Lists!K$21),MAX(0,MIN(Lists!K$21,$AG41)-MAX(Lists!K$22,$AF41))/($AG41-$AF41))+N($E41)*IF($AI41-$AH41&lt;1,($AH41&gt;Lists!K$22)*($AH41&lt;=Lists!K$21),MAX(0,MIN(Lists!K$21,$AI41)-MAX(Lists!K$22,$AH41))/($AI41-$AH41))+N($F41)*IF($AK41-$AJ41&lt;1,($AJ41&gt;Lists!K$22)*($AJ41&lt;=Lists!K$21),MAX(0,MIN(Lists!K$21,$AK41)-MAX(Lists!K$22,$AJ41))/($AK41-$AJ41))+N($G41)*IF($AM41-$AL41&lt;1,($AL41&gt;Lists!K$22)*($AL41&lt;=Lists!K$21),MAX(0,MIN(Lists!K$21,$AM41)-MAX(Lists!K$22,$AL41))/($AM41-$AL41))))))))</f>
        <v>0</v>
      </c>
      <c r="V41" s="53" t="n">
        <f aca="false">IF($H41=0,0,IF($AP41="X",0,IF($AP41="S",$H41/$AO41*(MIN($AO41,MAX(0,INT((Lists!L$21-N($J41))/7)+1))-MIN($AO41,MAX(0,INT((Lists!L$22-N($J41))/7)+1))),IF($AP41="D",$H41*MAX(0,MIN(Lists!L$21,N($J41)+$AO41)-MAX(Lists!L$22,N($J41)))/$AO41,IF($AP41="M",$H41/$AO41*(IF(Lists!L$21&lt;$J41,0,MIN($AO41,(((YEAR(Lists!L$21)-YEAR($J41))*12+MONTH(Lists!L$21)-MONTH($J41))-(EDATE($J41,((YEAR(Lists!L$21)-YEAR($J41))*12+MONTH(Lists!L$21)-MONTH($J41)))&gt;Lists!L$21)+1)))-IF(Lists!L$22&lt;$J41,0,MIN($AO41,(((YEAR(Lists!L$22)-YEAR($J41))*12+MONTH(Lists!L$22)-MONTH($J41))-(EDATE($J41,((YEAR(Lists!L$22)-YEAR($J41))*12+MONTH(Lists!L$22)-MONTH($J41)))&gt;Lists!L$22)+1)))),IF($AP41="F",IF(N($K41)&lt;=0,0,MIN(MAX(0,$H41),N($K41)*IF(Lists!L$21&lt;$J41,0,(((YEAR(Lists!L$21)-YEAR($J41))*12+MONTH(Lists!L$21)-MONTH($J41))-(EDATE($J41,((YEAR(Lists!L$21)-YEAR($J41))*12+MONTH(Lists!L$21)-MONTH($J41)))&gt;Lists!L$21)+1)))-MIN(MAX(0,$H41),N($K41)*IF(Lists!L$22&lt;$J41,0,(((YEAR(Lists!L$22)-YEAR($J41))*12+MONTH(Lists!L$22)-MONTH($J41))-(EDATE($J41,((YEAR(Lists!L$22)-YEAR($J41))*12+MONTH(Lists!L$22)-MONTH($J41)))&gt;Lists!L$22)+1)))),N($C41)*IF($AE41-$AD41&lt;1,($AD41&gt;Lists!L$22)*($AD41&lt;=Lists!L$21),MAX(0,MIN(Lists!L$21,$AE41)-MAX(Lists!L$22,$AD41))/($AE41-$AD41))+N($D41)*IF($AG41-$AF41&lt;1,($AF41&gt;Lists!L$22)*($AF41&lt;=Lists!L$21),MAX(0,MIN(Lists!L$21,$AG41)-MAX(Lists!L$22,$AF41))/($AG41-$AF41))+N($E41)*IF($AI41-$AH41&lt;1,($AH41&gt;Lists!L$22)*($AH41&lt;=Lists!L$21),MAX(0,MIN(Lists!L$21,$AI41)-MAX(Lists!L$22,$AH41))/($AI41-$AH41))+N($F41)*IF($AK41-$AJ41&lt;1,($AJ41&gt;Lists!L$22)*($AJ41&lt;=Lists!L$21),MAX(0,MIN(Lists!L$21,$AK41)-MAX(Lists!L$22,$AJ41))/($AK41-$AJ41))+N($G41)*IF($AM41-$AL41&lt;1,($AL41&gt;Lists!L$22)*($AL41&lt;=Lists!L$21),MAX(0,MIN(Lists!L$21,$AM41)-MAX(Lists!L$22,$AL41))/($AM41-$AL41))))))))</f>
        <v>0</v>
      </c>
      <c r="W41" s="53" t="n">
        <f aca="false">IF($H41=0,0,IF($AP41="X",0,IF($AP41="S",$H41/$AO41*(MIN($AO41,MAX(0,INT((Lists!M$21-N($J41))/7)+1))-MIN($AO41,MAX(0,INT((Lists!M$22-N($J41))/7)+1))),IF($AP41="D",$H41*MAX(0,MIN(Lists!M$21,N($J41)+$AO41)-MAX(Lists!M$22,N($J41)))/$AO41,IF($AP41="M",$H41/$AO41*(IF(Lists!M$21&lt;$J41,0,MIN($AO41,(((YEAR(Lists!M$21)-YEAR($J41))*12+MONTH(Lists!M$21)-MONTH($J41))-(EDATE($J41,((YEAR(Lists!M$21)-YEAR($J41))*12+MONTH(Lists!M$21)-MONTH($J41)))&gt;Lists!M$21)+1)))-IF(Lists!M$22&lt;$J41,0,MIN($AO41,(((YEAR(Lists!M$22)-YEAR($J41))*12+MONTH(Lists!M$22)-MONTH($J41))-(EDATE($J41,((YEAR(Lists!M$22)-YEAR($J41))*12+MONTH(Lists!M$22)-MONTH($J41)))&gt;Lists!M$22)+1)))),IF($AP41="F",IF(N($K41)&lt;=0,0,MIN(MAX(0,$H41),N($K41)*IF(Lists!M$21&lt;$J41,0,(((YEAR(Lists!M$21)-YEAR($J41))*12+MONTH(Lists!M$21)-MONTH($J41))-(EDATE($J41,((YEAR(Lists!M$21)-YEAR($J41))*12+MONTH(Lists!M$21)-MONTH($J41)))&gt;Lists!M$21)+1)))-MIN(MAX(0,$H41),N($K41)*IF(Lists!M$22&lt;$J41,0,(((YEAR(Lists!M$22)-YEAR($J41))*12+MONTH(Lists!M$22)-MONTH($J41))-(EDATE($J41,((YEAR(Lists!M$22)-YEAR($J41))*12+MONTH(Lists!M$22)-MONTH($J41)))&gt;Lists!M$22)+1)))),N($C41)*IF($AE41-$AD41&lt;1,($AD41&gt;Lists!M$22)*($AD41&lt;=Lists!M$21),MAX(0,MIN(Lists!M$21,$AE41)-MAX(Lists!M$22,$AD41))/($AE41-$AD41))+N($D41)*IF($AG41-$AF41&lt;1,($AF41&gt;Lists!M$22)*($AF41&lt;=Lists!M$21),MAX(0,MIN(Lists!M$21,$AG41)-MAX(Lists!M$22,$AF41))/($AG41-$AF41))+N($E41)*IF($AI41-$AH41&lt;1,($AH41&gt;Lists!M$22)*($AH41&lt;=Lists!M$21),MAX(0,MIN(Lists!M$21,$AI41)-MAX(Lists!M$22,$AH41))/($AI41-$AH41))+N($F41)*IF($AK41-$AJ41&lt;1,($AJ41&gt;Lists!M$22)*($AJ41&lt;=Lists!M$21),MAX(0,MIN(Lists!M$21,$AK41)-MAX(Lists!M$22,$AJ41))/($AK41-$AJ41))+N($G41)*IF($AM41-$AL41&lt;1,($AL41&gt;Lists!M$22)*($AL41&lt;=Lists!M$21),MAX(0,MIN(Lists!M$21,$AM41)-MAX(Lists!M$22,$AL41))/($AM41-$AL41))))))))</f>
        <v>0</v>
      </c>
      <c r="X41" s="53" t="n">
        <f aca="false">IF($H41=0,0,IF($AP41="X",0,IF($AP41="S",$H41/$AO41*(MIN($AO41,MAX(0,INT((Lists!N$21-N($J41))/7)+1))-MIN($AO41,MAX(0,INT((Lists!N$22-N($J41))/7)+1))),IF($AP41="D",$H41*MAX(0,MIN(Lists!N$21,N($J41)+$AO41)-MAX(Lists!N$22,N($J41)))/$AO41,IF($AP41="M",$H41/$AO41*(IF(Lists!N$21&lt;$J41,0,MIN($AO41,(((YEAR(Lists!N$21)-YEAR($J41))*12+MONTH(Lists!N$21)-MONTH($J41))-(EDATE($J41,((YEAR(Lists!N$21)-YEAR($J41))*12+MONTH(Lists!N$21)-MONTH($J41)))&gt;Lists!N$21)+1)))-IF(Lists!N$22&lt;$J41,0,MIN($AO41,(((YEAR(Lists!N$22)-YEAR($J41))*12+MONTH(Lists!N$22)-MONTH($J41))-(EDATE($J41,((YEAR(Lists!N$22)-YEAR($J41))*12+MONTH(Lists!N$22)-MONTH($J41)))&gt;Lists!N$22)+1)))),IF($AP41="F",IF(N($K41)&lt;=0,0,MIN(MAX(0,$H41),N($K41)*IF(Lists!N$21&lt;$J41,0,(((YEAR(Lists!N$21)-YEAR($J41))*12+MONTH(Lists!N$21)-MONTH($J41))-(EDATE($J41,((YEAR(Lists!N$21)-YEAR($J41))*12+MONTH(Lists!N$21)-MONTH($J41)))&gt;Lists!N$21)+1)))-MIN(MAX(0,$H41),N($K41)*IF(Lists!N$22&lt;$J41,0,(((YEAR(Lists!N$22)-YEAR($J41))*12+MONTH(Lists!N$22)-MONTH($J41))-(EDATE($J41,((YEAR(Lists!N$22)-YEAR($J41))*12+MONTH(Lists!N$22)-MONTH($J41)))&gt;Lists!N$22)+1)))),N($C41)*IF($AE41-$AD41&lt;1,($AD41&gt;Lists!N$22)*($AD41&lt;=Lists!N$21),MAX(0,MIN(Lists!N$21,$AE41)-MAX(Lists!N$22,$AD41))/($AE41-$AD41))+N($D41)*IF($AG41-$AF41&lt;1,($AF41&gt;Lists!N$22)*($AF41&lt;=Lists!N$21),MAX(0,MIN(Lists!N$21,$AG41)-MAX(Lists!N$22,$AF41))/($AG41-$AF41))+N($E41)*IF($AI41-$AH41&lt;1,($AH41&gt;Lists!N$22)*($AH41&lt;=Lists!N$21),MAX(0,MIN(Lists!N$21,$AI41)-MAX(Lists!N$22,$AH41))/($AI41-$AH41))+N($F41)*IF($AK41-$AJ41&lt;1,($AJ41&gt;Lists!N$22)*($AJ41&lt;=Lists!N$21),MAX(0,MIN(Lists!N$21,$AK41)-MAX(Lists!N$22,$AJ41))/($AK41-$AJ41))+N($G41)*IF($AM41-$AL41&lt;1,($AL41&gt;Lists!N$22)*($AL41&lt;=Lists!N$21),MAX(0,MIN(Lists!N$21,$AM41)-MAX(Lists!N$22,$AL41))/($AM41-$AL41))))))))</f>
        <v>0</v>
      </c>
      <c r="Y41" s="53" t="n">
        <f aca="false">IF($H41=0,0,IF($AP41="X",0,IF($AP41="S",$H41/$AO41*(MIN($AO41,MAX(0,INT((Lists!O$21-N($J41))/7)+1))-MIN($AO41,MAX(0,INT((Lists!O$22-N($J41))/7)+1))),IF($AP41="D",$H41*MAX(0,MIN(Lists!O$21,N($J41)+$AO41)-MAX(Lists!O$22,N($J41)))/$AO41,IF($AP41="M",$H41/$AO41*(IF(Lists!O$21&lt;$J41,0,MIN($AO41,(((YEAR(Lists!O$21)-YEAR($J41))*12+MONTH(Lists!O$21)-MONTH($J41))-(EDATE($J41,((YEAR(Lists!O$21)-YEAR($J41))*12+MONTH(Lists!O$21)-MONTH($J41)))&gt;Lists!O$21)+1)))-IF(Lists!O$22&lt;$J41,0,MIN($AO41,(((YEAR(Lists!O$22)-YEAR($J41))*12+MONTH(Lists!O$22)-MONTH($J41))-(EDATE($J41,((YEAR(Lists!O$22)-YEAR($J41))*12+MONTH(Lists!O$22)-MONTH($J41)))&gt;Lists!O$22)+1)))),IF($AP41="F",IF(N($K41)&lt;=0,0,MIN(MAX(0,$H41),N($K41)*IF(Lists!O$21&lt;$J41,0,(((YEAR(Lists!O$21)-YEAR($J41))*12+MONTH(Lists!O$21)-MONTH($J41))-(EDATE($J41,((YEAR(Lists!O$21)-YEAR($J41))*12+MONTH(Lists!O$21)-MONTH($J41)))&gt;Lists!O$21)+1)))-MIN(MAX(0,$H41),N($K41)*IF(Lists!O$22&lt;$J41,0,(((YEAR(Lists!O$22)-YEAR($J41))*12+MONTH(Lists!O$22)-MONTH($J41))-(EDATE($J41,((YEAR(Lists!O$22)-YEAR($J41))*12+MONTH(Lists!O$22)-MONTH($J41)))&gt;Lists!O$22)+1)))),N($C41)*IF($AE41-$AD41&lt;1,($AD41&gt;Lists!O$22)*($AD41&lt;=Lists!O$21),MAX(0,MIN(Lists!O$21,$AE41)-MAX(Lists!O$22,$AD41))/($AE41-$AD41))+N($D41)*IF($AG41-$AF41&lt;1,($AF41&gt;Lists!O$22)*($AF41&lt;=Lists!O$21),MAX(0,MIN(Lists!O$21,$AG41)-MAX(Lists!O$22,$AF41))/($AG41-$AF41))+N($E41)*IF($AI41-$AH41&lt;1,($AH41&gt;Lists!O$22)*($AH41&lt;=Lists!O$21),MAX(0,MIN(Lists!O$21,$AI41)-MAX(Lists!O$22,$AH41))/($AI41-$AH41))+N($F41)*IF($AK41-$AJ41&lt;1,($AJ41&gt;Lists!O$22)*($AJ41&lt;=Lists!O$21),MAX(0,MIN(Lists!O$21,$AK41)-MAX(Lists!O$22,$AJ41))/($AK41-$AJ41))+N($G41)*IF($AM41-$AL41&lt;1,($AL41&gt;Lists!O$22)*($AL41&lt;=Lists!O$21),MAX(0,MIN(Lists!O$21,$AM41)-MAX(Lists!O$22,$AL41))/($AM41-$AL41))))))))</f>
        <v>0</v>
      </c>
      <c r="Z41" s="46" t="n">
        <f aca="false">SUM(M41:Y41)</f>
        <v>0</v>
      </c>
      <c r="AA41" s="92" t="n">
        <f aca="false">H41-Z41</f>
        <v>0</v>
      </c>
      <c r="AB41" s="55"/>
      <c r="AC41" s="2"/>
      <c r="AD41" s="93" t="n">
        <f aca="false">Setup!$D$10+MAX(0,$AN41-30)</f>
        <v>46345</v>
      </c>
      <c r="AE41" s="93" t="n">
        <f aca="false">Setup!$D$10+IF($AN41-30&lt;0,MAX(Setup!$D$22,$AN41-0),$AN41-0)</f>
        <v>46375</v>
      </c>
      <c r="AF41" s="93" t="n">
        <f aca="false">Setup!$D$10+MAX(0,$AN41-60)</f>
        <v>46335</v>
      </c>
      <c r="AG41" s="93" t="n">
        <f aca="false">Setup!$D$10+IF($AN41-60&lt;0,MAX(Setup!$D$22,$AN41-31),$AN41-31)</f>
        <v>46363</v>
      </c>
      <c r="AH41" s="93" t="n">
        <f aca="false">Setup!$D$10+MAX(0,$AN41-90)</f>
        <v>46335</v>
      </c>
      <c r="AI41" s="93" t="n">
        <f aca="false">Setup!$D$10+IF($AN41-90&lt;0,MAX(Setup!$D$22,$AN41-61),$AN41-61)</f>
        <v>46363</v>
      </c>
      <c r="AJ41" s="93" t="n">
        <f aca="false">Setup!$D$10+MAX(0,$AN41-120)</f>
        <v>46335</v>
      </c>
      <c r="AK41" s="93" t="n">
        <f aca="false">Setup!$D$10+IF($AN41-120&lt;0,MAX(Setup!$D$22,$AN41-91),$AN41-91)</f>
        <v>46363</v>
      </c>
      <c r="AL41" s="93" t="n">
        <f aca="false">Setup!$D$10</f>
        <v>46335</v>
      </c>
      <c r="AM41" s="93" t="n">
        <f aca="false">IF(AL41=2958465,AL41,Setup!$D$10+Setup!$D$22)</f>
        <v>46363</v>
      </c>
      <c r="AN41" s="94" t="n">
        <f aca="false">IF(N(L41)=0,Setup!$D$21,L41)</f>
        <v>40</v>
      </c>
      <c r="AO41" s="94" t="n">
        <f aca="false">MAX(1,ROUND(N(K41),0))</f>
        <v>1</v>
      </c>
      <c r="AP41" s="95" t="str">
        <f aca="false">IF(I41="On hold","X",IF(N(J41)=0,"A",IF(I41="Specific date","S",IF(I41="Spread over days","D",IF(I41="Monthly on set day","M",IF(I41="Monthly fixed amount","F","A"))))))</f>
        <v>A</v>
      </c>
    </row>
    <row r="42" customFormat="false" ht="15" hidden="false" customHeight="false" outlineLevel="0" collapsed="false">
      <c r="A42" s="87" t="n">
        <v>34</v>
      </c>
      <c r="B42" s="55"/>
      <c r="C42" s="88"/>
      <c r="D42" s="88"/>
      <c r="E42" s="88"/>
      <c r="F42" s="88"/>
      <c r="G42" s="88"/>
      <c r="H42" s="89" t="n">
        <f aca="false">SUM(C42:G42)</f>
        <v>0</v>
      </c>
      <c r="I42" s="58"/>
      <c r="J42" s="90"/>
      <c r="K42" s="91"/>
      <c r="L42" s="80"/>
      <c r="M42" s="53" t="n">
        <f aca="false">IF($H42=0,0,IF($AP42="X",0,IF($AP42="S",$H42/$AO42*(MIN($AO42,MAX(0,INT((Lists!C$21-N($J42))/7)+1))-MIN($AO42,MAX(0,INT((Lists!C$22-N($J42))/7)+1))),IF($AP42="D",$H42*MAX(0,MIN(Lists!C$21,N($J42)+$AO42)-MAX(Lists!C$22,N($J42)))/$AO42,IF($AP42="M",$H42/$AO42*(IF(Lists!C$21&lt;$J42,0,MIN($AO42,(((YEAR(Lists!C$21)-YEAR($J42))*12+MONTH(Lists!C$21)-MONTH($J42))-(EDATE($J42,((YEAR(Lists!C$21)-YEAR($J42))*12+MONTH(Lists!C$21)-MONTH($J42)))&gt;Lists!C$21)+1)))-IF(Lists!C$22&lt;$J42,0,MIN($AO42,(((YEAR(Lists!C$22)-YEAR($J42))*12+MONTH(Lists!C$22)-MONTH($J42))-(EDATE($J42,((YEAR(Lists!C$22)-YEAR($J42))*12+MONTH(Lists!C$22)-MONTH($J42)))&gt;Lists!C$22)+1)))),IF($AP42="F",IF(N($K42)&lt;=0,0,MIN(MAX(0,$H42),N($K42)*IF(Lists!C$21&lt;$J42,0,(((YEAR(Lists!C$21)-YEAR($J42))*12+MONTH(Lists!C$21)-MONTH($J42))-(EDATE($J42,((YEAR(Lists!C$21)-YEAR($J42))*12+MONTH(Lists!C$21)-MONTH($J42)))&gt;Lists!C$21)+1)))-MIN(MAX(0,$H42),N($K42)*IF(Lists!C$22&lt;$J42,0,(((YEAR(Lists!C$22)-YEAR($J42))*12+MONTH(Lists!C$22)-MONTH($J42))-(EDATE($J42,((YEAR(Lists!C$22)-YEAR($J42))*12+MONTH(Lists!C$22)-MONTH($J42)))&gt;Lists!C$22)+1)))),N($C42)*IF($AE42-$AD42&lt;1,($AD42&gt;Lists!C$22)*($AD42&lt;=Lists!C$21),MAX(0,MIN(Lists!C$21,$AE42)-MAX(Lists!C$22,$AD42))/($AE42-$AD42))+N($D42)*IF($AG42-$AF42&lt;1,($AF42&gt;Lists!C$22)*($AF42&lt;=Lists!C$21),MAX(0,MIN(Lists!C$21,$AG42)-MAX(Lists!C$22,$AF42))/($AG42-$AF42))+N($E42)*IF($AI42-$AH42&lt;1,($AH42&gt;Lists!C$22)*($AH42&lt;=Lists!C$21),MAX(0,MIN(Lists!C$21,$AI42)-MAX(Lists!C$22,$AH42))/($AI42-$AH42))+N($F42)*IF($AK42-$AJ42&lt;1,($AJ42&gt;Lists!C$22)*($AJ42&lt;=Lists!C$21),MAX(0,MIN(Lists!C$21,$AK42)-MAX(Lists!C$22,$AJ42))/($AK42-$AJ42))+N($G42)*IF($AM42-$AL42&lt;1,($AL42&gt;Lists!C$22)*($AL42&lt;=Lists!C$21),MAX(0,MIN(Lists!C$21,$AM42)-MAX(Lists!C$22,$AL42))/($AM42-$AL42))))))))</f>
        <v>0</v>
      </c>
      <c r="N42" s="53" t="n">
        <f aca="false">IF($H42=0,0,IF($AP42="X",0,IF($AP42="S",$H42/$AO42*(MIN($AO42,MAX(0,INT((Lists!D$21-N($J42))/7)+1))-MIN($AO42,MAX(0,INT((Lists!D$22-N($J42))/7)+1))),IF($AP42="D",$H42*MAX(0,MIN(Lists!D$21,N($J42)+$AO42)-MAX(Lists!D$22,N($J42)))/$AO42,IF($AP42="M",$H42/$AO42*(IF(Lists!D$21&lt;$J42,0,MIN($AO42,(((YEAR(Lists!D$21)-YEAR($J42))*12+MONTH(Lists!D$21)-MONTH($J42))-(EDATE($J42,((YEAR(Lists!D$21)-YEAR($J42))*12+MONTH(Lists!D$21)-MONTH($J42)))&gt;Lists!D$21)+1)))-IF(Lists!D$22&lt;$J42,0,MIN($AO42,(((YEAR(Lists!D$22)-YEAR($J42))*12+MONTH(Lists!D$22)-MONTH($J42))-(EDATE($J42,((YEAR(Lists!D$22)-YEAR($J42))*12+MONTH(Lists!D$22)-MONTH($J42)))&gt;Lists!D$22)+1)))),IF($AP42="F",IF(N($K42)&lt;=0,0,MIN(MAX(0,$H42),N($K42)*IF(Lists!D$21&lt;$J42,0,(((YEAR(Lists!D$21)-YEAR($J42))*12+MONTH(Lists!D$21)-MONTH($J42))-(EDATE($J42,((YEAR(Lists!D$21)-YEAR($J42))*12+MONTH(Lists!D$21)-MONTH($J42)))&gt;Lists!D$21)+1)))-MIN(MAX(0,$H42),N($K42)*IF(Lists!D$22&lt;$J42,0,(((YEAR(Lists!D$22)-YEAR($J42))*12+MONTH(Lists!D$22)-MONTH($J42))-(EDATE($J42,((YEAR(Lists!D$22)-YEAR($J42))*12+MONTH(Lists!D$22)-MONTH($J42)))&gt;Lists!D$22)+1)))),N($C42)*IF($AE42-$AD42&lt;1,($AD42&gt;Lists!D$22)*($AD42&lt;=Lists!D$21),MAX(0,MIN(Lists!D$21,$AE42)-MAX(Lists!D$22,$AD42))/($AE42-$AD42))+N($D42)*IF($AG42-$AF42&lt;1,($AF42&gt;Lists!D$22)*($AF42&lt;=Lists!D$21),MAX(0,MIN(Lists!D$21,$AG42)-MAX(Lists!D$22,$AF42))/($AG42-$AF42))+N($E42)*IF($AI42-$AH42&lt;1,($AH42&gt;Lists!D$22)*($AH42&lt;=Lists!D$21),MAX(0,MIN(Lists!D$21,$AI42)-MAX(Lists!D$22,$AH42))/($AI42-$AH42))+N($F42)*IF($AK42-$AJ42&lt;1,($AJ42&gt;Lists!D$22)*($AJ42&lt;=Lists!D$21),MAX(0,MIN(Lists!D$21,$AK42)-MAX(Lists!D$22,$AJ42))/($AK42-$AJ42))+N($G42)*IF($AM42-$AL42&lt;1,($AL42&gt;Lists!D$22)*($AL42&lt;=Lists!D$21),MAX(0,MIN(Lists!D$21,$AM42)-MAX(Lists!D$22,$AL42))/($AM42-$AL42))))))))</f>
        <v>0</v>
      </c>
      <c r="O42" s="53" t="n">
        <f aca="false">IF($H42=0,0,IF($AP42="X",0,IF($AP42="S",$H42/$AO42*(MIN($AO42,MAX(0,INT((Lists!E$21-N($J42))/7)+1))-MIN($AO42,MAX(0,INT((Lists!E$22-N($J42))/7)+1))),IF($AP42="D",$H42*MAX(0,MIN(Lists!E$21,N($J42)+$AO42)-MAX(Lists!E$22,N($J42)))/$AO42,IF($AP42="M",$H42/$AO42*(IF(Lists!E$21&lt;$J42,0,MIN($AO42,(((YEAR(Lists!E$21)-YEAR($J42))*12+MONTH(Lists!E$21)-MONTH($J42))-(EDATE($J42,((YEAR(Lists!E$21)-YEAR($J42))*12+MONTH(Lists!E$21)-MONTH($J42)))&gt;Lists!E$21)+1)))-IF(Lists!E$22&lt;$J42,0,MIN($AO42,(((YEAR(Lists!E$22)-YEAR($J42))*12+MONTH(Lists!E$22)-MONTH($J42))-(EDATE($J42,((YEAR(Lists!E$22)-YEAR($J42))*12+MONTH(Lists!E$22)-MONTH($J42)))&gt;Lists!E$22)+1)))),IF($AP42="F",IF(N($K42)&lt;=0,0,MIN(MAX(0,$H42),N($K42)*IF(Lists!E$21&lt;$J42,0,(((YEAR(Lists!E$21)-YEAR($J42))*12+MONTH(Lists!E$21)-MONTH($J42))-(EDATE($J42,((YEAR(Lists!E$21)-YEAR($J42))*12+MONTH(Lists!E$21)-MONTH($J42)))&gt;Lists!E$21)+1)))-MIN(MAX(0,$H42),N($K42)*IF(Lists!E$22&lt;$J42,0,(((YEAR(Lists!E$22)-YEAR($J42))*12+MONTH(Lists!E$22)-MONTH($J42))-(EDATE($J42,((YEAR(Lists!E$22)-YEAR($J42))*12+MONTH(Lists!E$22)-MONTH($J42)))&gt;Lists!E$22)+1)))),N($C42)*IF($AE42-$AD42&lt;1,($AD42&gt;Lists!E$22)*($AD42&lt;=Lists!E$21),MAX(0,MIN(Lists!E$21,$AE42)-MAX(Lists!E$22,$AD42))/($AE42-$AD42))+N($D42)*IF($AG42-$AF42&lt;1,($AF42&gt;Lists!E$22)*($AF42&lt;=Lists!E$21),MAX(0,MIN(Lists!E$21,$AG42)-MAX(Lists!E$22,$AF42))/($AG42-$AF42))+N($E42)*IF($AI42-$AH42&lt;1,($AH42&gt;Lists!E$22)*($AH42&lt;=Lists!E$21),MAX(0,MIN(Lists!E$21,$AI42)-MAX(Lists!E$22,$AH42))/($AI42-$AH42))+N($F42)*IF($AK42-$AJ42&lt;1,($AJ42&gt;Lists!E$22)*($AJ42&lt;=Lists!E$21),MAX(0,MIN(Lists!E$21,$AK42)-MAX(Lists!E$22,$AJ42))/($AK42-$AJ42))+N($G42)*IF($AM42-$AL42&lt;1,($AL42&gt;Lists!E$22)*($AL42&lt;=Lists!E$21),MAX(0,MIN(Lists!E$21,$AM42)-MAX(Lists!E$22,$AL42))/($AM42-$AL42))))))))</f>
        <v>0</v>
      </c>
      <c r="P42" s="53" t="n">
        <f aca="false">IF($H42=0,0,IF($AP42="X",0,IF($AP42="S",$H42/$AO42*(MIN($AO42,MAX(0,INT((Lists!F$21-N($J42))/7)+1))-MIN($AO42,MAX(0,INT((Lists!F$22-N($J42))/7)+1))),IF($AP42="D",$H42*MAX(0,MIN(Lists!F$21,N($J42)+$AO42)-MAX(Lists!F$22,N($J42)))/$AO42,IF($AP42="M",$H42/$AO42*(IF(Lists!F$21&lt;$J42,0,MIN($AO42,(((YEAR(Lists!F$21)-YEAR($J42))*12+MONTH(Lists!F$21)-MONTH($J42))-(EDATE($J42,((YEAR(Lists!F$21)-YEAR($J42))*12+MONTH(Lists!F$21)-MONTH($J42)))&gt;Lists!F$21)+1)))-IF(Lists!F$22&lt;$J42,0,MIN($AO42,(((YEAR(Lists!F$22)-YEAR($J42))*12+MONTH(Lists!F$22)-MONTH($J42))-(EDATE($J42,((YEAR(Lists!F$22)-YEAR($J42))*12+MONTH(Lists!F$22)-MONTH($J42)))&gt;Lists!F$22)+1)))),IF($AP42="F",IF(N($K42)&lt;=0,0,MIN(MAX(0,$H42),N($K42)*IF(Lists!F$21&lt;$J42,0,(((YEAR(Lists!F$21)-YEAR($J42))*12+MONTH(Lists!F$21)-MONTH($J42))-(EDATE($J42,((YEAR(Lists!F$21)-YEAR($J42))*12+MONTH(Lists!F$21)-MONTH($J42)))&gt;Lists!F$21)+1)))-MIN(MAX(0,$H42),N($K42)*IF(Lists!F$22&lt;$J42,0,(((YEAR(Lists!F$22)-YEAR($J42))*12+MONTH(Lists!F$22)-MONTH($J42))-(EDATE($J42,((YEAR(Lists!F$22)-YEAR($J42))*12+MONTH(Lists!F$22)-MONTH($J42)))&gt;Lists!F$22)+1)))),N($C42)*IF($AE42-$AD42&lt;1,($AD42&gt;Lists!F$22)*($AD42&lt;=Lists!F$21),MAX(0,MIN(Lists!F$21,$AE42)-MAX(Lists!F$22,$AD42))/($AE42-$AD42))+N($D42)*IF($AG42-$AF42&lt;1,($AF42&gt;Lists!F$22)*($AF42&lt;=Lists!F$21),MAX(0,MIN(Lists!F$21,$AG42)-MAX(Lists!F$22,$AF42))/($AG42-$AF42))+N($E42)*IF($AI42-$AH42&lt;1,($AH42&gt;Lists!F$22)*($AH42&lt;=Lists!F$21),MAX(0,MIN(Lists!F$21,$AI42)-MAX(Lists!F$22,$AH42))/($AI42-$AH42))+N($F42)*IF($AK42-$AJ42&lt;1,($AJ42&gt;Lists!F$22)*($AJ42&lt;=Lists!F$21),MAX(0,MIN(Lists!F$21,$AK42)-MAX(Lists!F$22,$AJ42))/($AK42-$AJ42))+N($G42)*IF($AM42-$AL42&lt;1,($AL42&gt;Lists!F$22)*($AL42&lt;=Lists!F$21),MAX(0,MIN(Lists!F$21,$AM42)-MAX(Lists!F$22,$AL42))/($AM42-$AL42))))))))</f>
        <v>0</v>
      </c>
      <c r="Q42" s="53" t="n">
        <f aca="false">IF($H42=0,0,IF($AP42="X",0,IF($AP42="S",$H42/$AO42*(MIN($AO42,MAX(0,INT((Lists!G$21-N($J42))/7)+1))-MIN($AO42,MAX(0,INT((Lists!G$22-N($J42))/7)+1))),IF($AP42="D",$H42*MAX(0,MIN(Lists!G$21,N($J42)+$AO42)-MAX(Lists!G$22,N($J42)))/$AO42,IF($AP42="M",$H42/$AO42*(IF(Lists!G$21&lt;$J42,0,MIN($AO42,(((YEAR(Lists!G$21)-YEAR($J42))*12+MONTH(Lists!G$21)-MONTH($J42))-(EDATE($J42,((YEAR(Lists!G$21)-YEAR($J42))*12+MONTH(Lists!G$21)-MONTH($J42)))&gt;Lists!G$21)+1)))-IF(Lists!G$22&lt;$J42,0,MIN($AO42,(((YEAR(Lists!G$22)-YEAR($J42))*12+MONTH(Lists!G$22)-MONTH($J42))-(EDATE($J42,((YEAR(Lists!G$22)-YEAR($J42))*12+MONTH(Lists!G$22)-MONTH($J42)))&gt;Lists!G$22)+1)))),IF($AP42="F",IF(N($K42)&lt;=0,0,MIN(MAX(0,$H42),N($K42)*IF(Lists!G$21&lt;$J42,0,(((YEAR(Lists!G$21)-YEAR($J42))*12+MONTH(Lists!G$21)-MONTH($J42))-(EDATE($J42,((YEAR(Lists!G$21)-YEAR($J42))*12+MONTH(Lists!G$21)-MONTH($J42)))&gt;Lists!G$21)+1)))-MIN(MAX(0,$H42),N($K42)*IF(Lists!G$22&lt;$J42,0,(((YEAR(Lists!G$22)-YEAR($J42))*12+MONTH(Lists!G$22)-MONTH($J42))-(EDATE($J42,((YEAR(Lists!G$22)-YEAR($J42))*12+MONTH(Lists!G$22)-MONTH($J42)))&gt;Lists!G$22)+1)))),N($C42)*IF($AE42-$AD42&lt;1,($AD42&gt;Lists!G$22)*($AD42&lt;=Lists!G$21),MAX(0,MIN(Lists!G$21,$AE42)-MAX(Lists!G$22,$AD42))/($AE42-$AD42))+N($D42)*IF($AG42-$AF42&lt;1,($AF42&gt;Lists!G$22)*($AF42&lt;=Lists!G$21),MAX(0,MIN(Lists!G$21,$AG42)-MAX(Lists!G$22,$AF42))/($AG42-$AF42))+N($E42)*IF($AI42-$AH42&lt;1,($AH42&gt;Lists!G$22)*($AH42&lt;=Lists!G$21),MAX(0,MIN(Lists!G$21,$AI42)-MAX(Lists!G$22,$AH42))/($AI42-$AH42))+N($F42)*IF($AK42-$AJ42&lt;1,($AJ42&gt;Lists!G$22)*($AJ42&lt;=Lists!G$21),MAX(0,MIN(Lists!G$21,$AK42)-MAX(Lists!G$22,$AJ42))/($AK42-$AJ42))+N($G42)*IF($AM42-$AL42&lt;1,($AL42&gt;Lists!G$22)*($AL42&lt;=Lists!G$21),MAX(0,MIN(Lists!G$21,$AM42)-MAX(Lists!G$22,$AL42))/($AM42-$AL42))))))))</f>
        <v>0</v>
      </c>
      <c r="R42" s="53" t="n">
        <f aca="false">IF($H42=0,0,IF($AP42="X",0,IF($AP42="S",$H42/$AO42*(MIN($AO42,MAX(0,INT((Lists!H$21-N($J42))/7)+1))-MIN($AO42,MAX(0,INT((Lists!H$22-N($J42))/7)+1))),IF($AP42="D",$H42*MAX(0,MIN(Lists!H$21,N($J42)+$AO42)-MAX(Lists!H$22,N($J42)))/$AO42,IF($AP42="M",$H42/$AO42*(IF(Lists!H$21&lt;$J42,0,MIN($AO42,(((YEAR(Lists!H$21)-YEAR($J42))*12+MONTH(Lists!H$21)-MONTH($J42))-(EDATE($J42,((YEAR(Lists!H$21)-YEAR($J42))*12+MONTH(Lists!H$21)-MONTH($J42)))&gt;Lists!H$21)+1)))-IF(Lists!H$22&lt;$J42,0,MIN($AO42,(((YEAR(Lists!H$22)-YEAR($J42))*12+MONTH(Lists!H$22)-MONTH($J42))-(EDATE($J42,((YEAR(Lists!H$22)-YEAR($J42))*12+MONTH(Lists!H$22)-MONTH($J42)))&gt;Lists!H$22)+1)))),IF($AP42="F",IF(N($K42)&lt;=0,0,MIN(MAX(0,$H42),N($K42)*IF(Lists!H$21&lt;$J42,0,(((YEAR(Lists!H$21)-YEAR($J42))*12+MONTH(Lists!H$21)-MONTH($J42))-(EDATE($J42,((YEAR(Lists!H$21)-YEAR($J42))*12+MONTH(Lists!H$21)-MONTH($J42)))&gt;Lists!H$21)+1)))-MIN(MAX(0,$H42),N($K42)*IF(Lists!H$22&lt;$J42,0,(((YEAR(Lists!H$22)-YEAR($J42))*12+MONTH(Lists!H$22)-MONTH($J42))-(EDATE($J42,((YEAR(Lists!H$22)-YEAR($J42))*12+MONTH(Lists!H$22)-MONTH($J42)))&gt;Lists!H$22)+1)))),N($C42)*IF($AE42-$AD42&lt;1,($AD42&gt;Lists!H$22)*($AD42&lt;=Lists!H$21),MAX(0,MIN(Lists!H$21,$AE42)-MAX(Lists!H$22,$AD42))/($AE42-$AD42))+N($D42)*IF($AG42-$AF42&lt;1,($AF42&gt;Lists!H$22)*($AF42&lt;=Lists!H$21),MAX(0,MIN(Lists!H$21,$AG42)-MAX(Lists!H$22,$AF42))/($AG42-$AF42))+N($E42)*IF($AI42-$AH42&lt;1,($AH42&gt;Lists!H$22)*($AH42&lt;=Lists!H$21),MAX(0,MIN(Lists!H$21,$AI42)-MAX(Lists!H$22,$AH42))/($AI42-$AH42))+N($F42)*IF($AK42-$AJ42&lt;1,($AJ42&gt;Lists!H$22)*($AJ42&lt;=Lists!H$21),MAX(0,MIN(Lists!H$21,$AK42)-MAX(Lists!H$22,$AJ42))/($AK42-$AJ42))+N($G42)*IF($AM42-$AL42&lt;1,($AL42&gt;Lists!H$22)*($AL42&lt;=Lists!H$21),MAX(0,MIN(Lists!H$21,$AM42)-MAX(Lists!H$22,$AL42))/($AM42-$AL42))))))))</f>
        <v>0</v>
      </c>
      <c r="S42" s="53" t="n">
        <f aca="false">IF($H42=0,0,IF($AP42="X",0,IF($AP42="S",$H42/$AO42*(MIN($AO42,MAX(0,INT((Lists!I$21-N($J42))/7)+1))-MIN($AO42,MAX(0,INT((Lists!I$22-N($J42))/7)+1))),IF($AP42="D",$H42*MAX(0,MIN(Lists!I$21,N($J42)+$AO42)-MAX(Lists!I$22,N($J42)))/$AO42,IF($AP42="M",$H42/$AO42*(IF(Lists!I$21&lt;$J42,0,MIN($AO42,(((YEAR(Lists!I$21)-YEAR($J42))*12+MONTH(Lists!I$21)-MONTH($J42))-(EDATE($J42,((YEAR(Lists!I$21)-YEAR($J42))*12+MONTH(Lists!I$21)-MONTH($J42)))&gt;Lists!I$21)+1)))-IF(Lists!I$22&lt;$J42,0,MIN($AO42,(((YEAR(Lists!I$22)-YEAR($J42))*12+MONTH(Lists!I$22)-MONTH($J42))-(EDATE($J42,((YEAR(Lists!I$22)-YEAR($J42))*12+MONTH(Lists!I$22)-MONTH($J42)))&gt;Lists!I$22)+1)))),IF($AP42="F",IF(N($K42)&lt;=0,0,MIN(MAX(0,$H42),N($K42)*IF(Lists!I$21&lt;$J42,0,(((YEAR(Lists!I$21)-YEAR($J42))*12+MONTH(Lists!I$21)-MONTH($J42))-(EDATE($J42,((YEAR(Lists!I$21)-YEAR($J42))*12+MONTH(Lists!I$21)-MONTH($J42)))&gt;Lists!I$21)+1)))-MIN(MAX(0,$H42),N($K42)*IF(Lists!I$22&lt;$J42,0,(((YEAR(Lists!I$22)-YEAR($J42))*12+MONTH(Lists!I$22)-MONTH($J42))-(EDATE($J42,((YEAR(Lists!I$22)-YEAR($J42))*12+MONTH(Lists!I$22)-MONTH($J42)))&gt;Lists!I$22)+1)))),N($C42)*IF($AE42-$AD42&lt;1,($AD42&gt;Lists!I$22)*($AD42&lt;=Lists!I$21),MAX(0,MIN(Lists!I$21,$AE42)-MAX(Lists!I$22,$AD42))/($AE42-$AD42))+N($D42)*IF($AG42-$AF42&lt;1,($AF42&gt;Lists!I$22)*($AF42&lt;=Lists!I$21),MAX(0,MIN(Lists!I$21,$AG42)-MAX(Lists!I$22,$AF42))/($AG42-$AF42))+N($E42)*IF($AI42-$AH42&lt;1,($AH42&gt;Lists!I$22)*($AH42&lt;=Lists!I$21),MAX(0,MIN(Lists!I$21,$AI42)-MAX(Lists!I$22,$AH42))/($AI42-$AH42))+N($F42)*IF($AK42-$AJ42&lt;1,($AJ42&gt;Lists!I$22)*($AJ42&lt;=Lists!I$21),MAX(0,MIN(Lists!I$21,$AK42)-MAX(Lists!I$22,$AJ42))/($AK42-$AJ42))+N($G42)*IF($AM42-$AL42&lt;1,($AL42&gt;Lists!I$22)*($AL42&lt;=Lists!I$21),MAX(0,MIN(Lists!I$21,$AM42)-MAX(Lists!I$22,$AL42))/($AM42-$AL42))))))))</f>
        <v>0</v>
      </c>
      <c r="T42" s="53" t="n">
        <f aca="false">IF($H42=0,0,IF($AP42="X",0,IF($AP42="S",$H42/$AO42*(MIN($AO42,MAX(0,INT((Lists!J$21-N($J42))/7)+1))-MIN($AO42,MAX(0,INT((Lists!J$22-N($J42))/7)+1))),IF($AP42="D",$H42*MAX(0,MIN(Lists!J$21,N($J42)+$AO42)-MAX(Lists!J$22,N($J42)))/$AO42,IF($AP42="M",$H42/$AO42*(IF(Lists!J$21&lt;$J42,0,MIN($AO42,(((YEAR(Lists!J$21)-YEAR($J42))*12+MONTH(Lists!J$21)-MONTH($J42))-(EDATE($J42,((YEAR(Lists!J$21)-YEAR($J42))*12+MONTH(Lists!J$21)-MONTH($J42)))&gt;Lists!J$21)+1)))-IF(Lists!J$22&lt;$J42,0,MIN($AO42,(((YEAR(Lists!J$22)-YEAR($J42))*12+MONTH(Lists!J$22)-MONTH($J42))-(EDATE($J42,((YEAR(Lists!J$22)-YEAR($J42))*12+MONTH(Lists!J$22)-MONTH($J42)))&gt;Lists!J$22)+1)))),IF($AP42="F",IF(N($K42)&lt;=0,0,MIN(MAX(0,$H42),N($K42)*IF(Lists!J$21&lt;$J42,0,(((YEAR(Lists!J$21)-YEAR($J42))*12+MONTH(Lists!J$21)-MONTH($J42))-(EDATE($J42,((YEAR(Lists!J$21)-YEAR($J42))*12+MONTH(Lists!J$21)-MONTH($J42)))&gt;Lists!J$21)+1)))-MIN(MAX(0,$H42),N($K42)*IF(Lists!J$22&lt;$J42,0,(((YEAR(Lists!J$22)-YEAR($J42))*12+MONTH(Lists!J$22)-MONTH($J42))-(EDATE($J42,((YEAR(Lists!J$22)-YEAR($J42))*12+MONTH(Lists!J$22)-MONTH($J42)))&gt;Lists!J$22)+1)))),N($C42)*IF($AE42-$AD42&lt;1,($AD42&gt;Lists!J$22)*($AD42&lt;=Lists!J$21),MAX(0,MIN(Lists!J$21,$AE42)-MAX(Lists!J$22,$AD42))/($AE42-$AD42))+N($D42)*IF($AG42-$AF42&lt;1,($AF42&gt;Lists!J$22)*($AF42&lt;=Lists!J$21),MAX(0,MIN(Lists!J$21,$AG42)-MAX(Lists!J$22,$AF42))/($AG42-$AF42))+N($E42)*IF($AI42-$AH42&lt;1,($AH42&gt;Lists!J$22)*($AH42&lt;=Lists!J$21),MAX(0,MIN(Lists!J$21,$AI42)-MAX(Lists!J$22,$AH42))/($AI42-$AH42))+N($F42)*IF($AK42-$AJ42&lt;1,($AJ42&gt;Lists!J$22)*($AJ42&lt;=Lists!J$21),MAX(0,MIN(Lists!J$21,$AK42)-MAX(Lists!J$22,$AJ42))/($AK42-$AJ42))+N($G42)*IF($AM42-$AL42&lt;1,($AL42&gt;Lists!J$22)*($AL42&lt;=Lists!J$21),MAX(0,MIN(Lists!J$21,$AM42)-MAX(Lists!J$22,$AL42))/($AM42-$AL42))))))))</f>
        <v>0</v>
      </c>
      <c r="U42" s="53" t="n">
        <f aca="false">IF($H42=0,0,IF($AP42="X",0,IF($AP42="S",$H42/$AO42*(MIN($AO42,MAX(0,INT((Lists!K$21-N($J42))/7)+1))-MIN($AO42,MAX(0,INT((Lists!K$22-N($J42))/7)+1))),IF($AP42="D",$H42*MAX(0,MIN(Lists!K$21,N($J42)+$AO42)-MAX(Lists!K$22,N($J42)))/$AO42,IF($AP42="M",$H42/$AO42*(IF(Lists!K$21&lt;$J42,0,MIN($AO42,(((YEAR(Lists!K$21)-YEAR($J42))*12+MONTH(Lists!K$21)-MONTH($J42))-(EDATE($J42,((YEAR(Lists!K$21)-YEAR($J42))*12+MONTH(Lists!K$21)-MONTH($J42)))&gt;Lists!K$21)+1)))-IF(Lists!K$22&lt;$J42,0,MIN($AO42,(((YEAR(Lists!K$22)-YEAR($J42))*12+MONTH(Lists!K$22)-MONTH($J42))-(EDATE($J42,((YEAR(Lists!K$22)-YEAR($J42))*12+MONTH(Lists!K$22)-MONTH($J42)))&gt;Lists!K$22)+1)))),IF($AP42="F",IF(N($K42)&lt;=0,0,MIN(MAX(0,$H42),N($K42)*IF(Lists!K$21&lt;$J42,0,(((YEAR(Lists!K$21)-YEAR($J42))*12+MONTH(Lists!K$21)-MONTH($J42))-(EDATE($J42,((YEAR(Lists!K$21)-YEAR($J42))*12+MONTH(Lists!K$21)-MONTH($J42)))&gt;Lists!K$21)+1)))-MIN(MAX(0,$H42),N($K42)*IF(Lists!K$22&lt;$J42,0,(((YEAR(Lists!K$22)-YEAR($J42))*12+MONTH(Lists!K$22)-MONTH($J42))-(EDATE($J42,((YEAR(Lists!K$22)-YEAR($J42))*12+MONTH(Lists!K$22)-MONTH($J42)))&gt;Lists!K$22)+1)))),N($C42)*IF($AE42-$AD42&lt;1,($AD42&gt;Lists!K$22)*($AD42&lt;=Lists!K$21),MAX(0,MIN(Lists!K$21,$AE42)-MAX(Lists!K$22,$AD42))/($AE42-$AD42))+N($D42)*IF($AG42-$AF42&lt;1,($AF42&gt;Lists!K$22)*($AF42&lt;=Lists!K$21),MAX(0,MIN(Lists!K$21,$AG42)-MAX(Lists!K$22,$AF42))/($AG42-$AF42))+N($E42)*IF($AI42-$AH42&lt;1,($AH42&gt;Lists!K$22)*($AH42&lt;=Lists!K$21),MAX(0,MIN(Lists!K$21,$AI42)-MAX(Lists!K$22,$AH42))/($AI42-$AH42))+N($F42)*IF($AK42-$AJ42&lt;1,($AJ42&gt;Lists!K$22)*($AJ42&lt;=Lists!K$21),MAX(0,MIN(Lists!K$21,$AK42)-MAX(Lists!K$22,$AJ42))/($AK42-$AJ42))+N($G42)*IF($AM42-$AL42&lt;1,($AL42&gt;Lists!K$22)*($AL42&lt;=Lists!K$21),MAX(0,MIN(Lists!K$21,$AM42)-MAX(Lists!K$22,$AL42))/($AM42-$AL42))))))))</f>
        <v>0</v>
      </c>
      <c r="V42" s="53" t="n">
        <f aca="false">IF($H42=0,0,IF($AP42="X",0,IF($AP42="S",$H42/$AO42*(MIN($AO42,MAX(0,INT((Lists!L$21-N($J42))/7)+1))-MIN($AO42,MAX(0,INT((Lists!L$22-N($J42))/7)+1))),IF($AP42="D",$H42*MAX(0,MIN(Lists!L$21,N($J42)+$AO42)-MAX(Lists!L$22,N($J42)))/$AO42,IF($AP42="M",$H42/$AO42*(IF(Lists!L$21&lt;$J42,0,MIN($AO42,(((YEAR(Lists!L$21)-YEAR($J42))*12+MONTH(Lists!L$21)-MONTH($J42))-(EDATE($J42,((YEAR(Lists!L$21)-YEAR($J42))*12+MONTH(Lists!L$21)-MONTH($J42)))&gt;Lists!L$21)+1)))-IF(Lists!L$22&lt;$J42,0,MIN($AO42,(((YEAR(Lists!L$22)-YEAR($J42))*12+MONTH(Lists!L$22)-MONTH($J42))-(EDATE($J42,((YEAR(Lists!L$22)-YEAR($J42))*12+MONTH(Lists!L$22)-MONTH($J42)))&gt;Lists!L$22)+1)))),IF($AP42="F",IF(N($K42)&lt;=0,0,MIN(MAX(0,$H42),N($K42)*IF(Lists!L$21&lt;$J42,0,(((YEAR(Lists!L$21)-YEAR($J42))*12+MONTH(Lists!L$21)-MONTH($J42))-(EDATE($J42,((YEAR(Lists!L$21)-YEAR($J42))*12+MONTH(Lists!L$21)-MONTH($J42)))&gt;Lists!L$21)+1)))-MIN(MAX(0,$H42),N($K42)*IF(Lists!L$22&lt;$J42,0,(((YEAR(Lists!L$22)-YEAR($J42))*12+MONTH(Lists!L$22)-MONTH($J42))-(EDATE($J42,((YEAR(Lists!L$22)-YEAR($J42))*12+MONTH(Lists!L$22)-MONTH($J42)))&gt;Lists!L$22)+1)))),N($C42)*IF($AE42-$AD42&lt;1,($AD42&gt;Lists!L$22)*($AD42&lt;=Lists!L$21),MAX(0,MIN(Lists!L$21,$AE42)-MAX(Lists!L$22,$AD42))/($AE42-$AD42))+N($D42)*IF($AG42-$AF42&lt;1,($AF42&gt;Lists!L$22)*($AF42&lt;=Lists!L$21),MAX(0,MIN(Lists!L$21,$AG42)-MAX(Lists!L$22,$AF42))/($AG42-$AF42))+N($E42)*IF($AI42-$AH42&lt;1,($AH42&gt;Lists!L$22)*($AH42&lt;=Lists!L$21),MAX(0,MIN(Lists!L$21,$AI42)-MAX(Lists!L$22,$AH42))/($AI42-$AH42))+N($F42)*IF($AK42-$AJ42&lt;1,($AJ42&gt;Lists!L$22)*($AJ42&lt;=Lists!L$21),MAX(0,MIN(Lists!L$21,$AK42)-MAX(Lists!L$22,$AJ42))/($AK42-$AJ42))+N($G42)*IF($AM42-$AL42&lt;1,($AL42&gt;Lists!L$22)*($AL42&lt;=Lists!L$21),MAX(0,MIN(Lists!L$21,$AM42)-MAX(Lists!L$22,$AL42))/($AM42-$AL42))))))))</f>
        <v>0</v>
      </c>
      <c r="W42" s="53" t="n">
        <f aca="false">IF($H42=0,0,IF($AP42="X",0,IF($AP42="S",$H42/$AO42*(MIN($AO42,MAX(0,INT((Lists!M$21-N($J42))/7)+1))-MIN($AO42,MAX(0,INT((Lists!M$22-N($J42))/7)+1))),IF($AP42="D",$H42*MAX(0,MIN(Lists!M$21,N($J42)+$AO42)-MAX(Lists!M$22,N($J42)))/$AO42,IF($AP42="M",$H42/$AO42*(IF(Lists!M$21&lt;$J42,0,MIN($AO42,(((YEAR(Lists!M$21)-YEAR($J42))*12+MONTH(Lists!M$21)-MONTH($J42))-(EDATE($J42,((YEAR(Lists!M$21)-YEAR($J42))*12+MONTH(Lists!M$21)-MONTH($J42)))&gt;Lists!M$21)+1)))-IF(Lists!M$22&lt;$J42,0,MIN($AO42,(((YEAR(Lists!M$22)-YEAR($J42))*12+MONTH(Lists!M$22)-MONTH($J42))-(EDATE($J42,((YEAR(Lists!M$22)-YEAR($J42))*12+MONTH(Lists!M$22)-MONTH($J42)))&gt;Lists!M$22)+1)))),IF($AP42="F",IF(N($K42)&lt;=0,0,MIN(MAX(0,$H42),N($K42)*IF(Lists!M$21&lt;$J42,0,(((YEAR(Lists!M$21)-YEAR($J42))*12+MONTH(Lists!M$21)-MONTH($J42))-(EDATE($J42,((YEAR(Lists!M$21)-YEAR($J42))*12+MONTH(Lists!M$21)-MONTH($J42)))&gt;Lists!M$21)+1)))-MIN(MAX(0,$H42),N($K42)*IF(Lists!M$22&lt;$J42,0,(((YEAR(Lists!M$22)-YEAR($J42))*12+MONTH(Lists!M$22)-MONTH($J42))-(EDATE($J42,((YEAR(Lists!M$22)-YEAR($J42))*12+MONTH(Lists!M$22)-MONTH($J42)))&gt;Lists!M$22)+1)))),N($C42)*IF($AE42-$AD42&lt;1,($AD42&gt;Lists!M$22)*($AD42&lt;=Lists!M$21),MAX(0,MIN(Lists!M$21,$AE42)-MAX(Lists!M$22,$AD42))/($AE42-$AD42))+N($D42)*IF($AG42-$AF42&lt;1,($AF42&gt;Lists!M$22)*($AF42&lt;=Lists!M$21),MAX(0,MIN(Lists!M$21,$AG42)-MAX(Lists!M$22,$AF42))/($AG42-$AF42))+N($E42)*IF($AI42-$AH42&lt;1,($AH42&gt;Lists!M$22)*($AH42&lt;=Lists!M$21),MAX(0,MIN(Lists!M$21,$AI42)-MAX(Lists!M$22,$AH42))/($AI42-$AH42))+N($F42)*IF($AK42-$AJ42&lt;1,($AJ42&gt;Lists!M$22)*($AJ42&lt;=Lists!M$21),MAX(0,MIN(Lists!M$21,$AK42)-MAX(Lists!M$22,$AJ42))/($AK42-$AJ42))+N($G42)*IF($AM42-$AL42&lt;1,($AL42&gt;Lists!M$22)*($AL42&lt;=Lists!M$21),MAX(0,MIN(Lists!M$21,$AM42)-MAX(Lists!M$22,$AL42))/($AM42-$AL42))))))))</f>
        <v>0</v>
      </c>
      <c r="X42" s="53" t="n">
        <f aca="false">IF($H42=0,0,IF($AP42="X",0,IF($AP42="S",$H42/$AO42*(MIN($AO42,MAX(0,INT((Lists!N$21-N($J42))/7)+1))-MIN($AO42,MAX(0,INT((Lists!N$22-N($J42))/7)+1))),IF($AP42="D",$H42*MAX(0,MIN(Lists!N$21,N($J42)+$AO42)-MAX(Lists!N$22,N($J42)))/$AO42,IF($AP42="M",$H42/$AO42*(IF(Lists!N$21&lt;$J42,0,MIN($AO42,(((YEAR(Lists!N$21)-YEAR($J42))*12+MONTH(Lists!N$21)-MONTH($J42))-(EDATE($J42,((YEAR(Lists!N$21)-YEAR($J42))*12+MONTH(Lists!N$21)-MONTH($J42)))&gt;Lists!N$21)+1)))-IF(Lists!N$22&lt;$J42,0,MIN($AO42,(((YEAR(Lists!N$22)-YEAR($J42))*12+MONTH(Lists!N$22)-MONTH($J42))-(EDATE($J42,((YEAR(Lists!N$22)-YEAR($J42))*12+MONTH(Lists!N$22)-MONTH($J42)))&gt;Lists!N$22)+1)))),IF($AP42="F",IF(N($K42)&lt;=0,0,MIN(MAX(0,$H42),N($K42)*IF(Lists!N$21&lt;$J42,0,(((YEAR(Lists!N$21)-YEAR($J42))*12+MONTH(Lists!N$21)-MONTH($J42))-(EDATE($J42,((YEAR(Lists!N$21)-YEAR($J42))*12+MONTH(Lists!N$21)-MONTH($J42)))&gt;Lists!N$21)+1)))-MIN(MAX(0,$H42),N($K42)*IF(Lists!N$22&lt;$J42,0,(((YEAR(Lists!N$22)-YEAR($J42))*12+MONTH(Lists!N$22)-MONTH($J42))-(EDATE($J42,((YEAR(Lists!N$22)-YEAR($J42))*12+MONTH(Lists!N$22)-MONTH($J42)))&gt;Lists!N$22)+1)))),N($C42)*IF($AE42-$AD42&lt;1,($AD42&gt;Lists!N$22)*($AD42&lt;=Lists!N$21),MAX(0,MIN(Lists!N$21,$AE42)-MAX(Lists!N$22,$AD42))/($AE42-$AD42))+N($D42)*IF($AG42-$AF42&lt;1,($AF42&gt;Lists!N$22)*($AF42&lt;=Lists!N$21),MAX(0,MIN(Lists!N$21,$AG42)-MAX(Lists!N$22,$AF42))/($AG42-$AF42))+N($E42)*IF($AI42-$AH42&lt;1,($AH42&gt;Lists!N$22)*($AH42&lt;=Lists!N$21),MAX(0,MIN(Lists!N$21,$AI42)-MAX(Lists!N$22,$AH42))/($AI42-$AH42))+N($F42)*IF($AK42-$AJ42&lt;1,($AJ42&gt;Lists!N$22)*($AJ42&lt;=Lists!N$21),MAX(0,MIN(Lists!N$21,$AK42)-MAX(Lists!N$22,$AJ42))/($AK42-$AJ42))+N($G42)*IF($AM42-$AL42&lt;1,($AL42&gt;Lists!N$22)*($AL42&lt;=Lists!N$21),MAX(0,MIN(Lists!N$21,$AM42)-MAX(Lists!N$22,$AL42))/($AM42-$AL42))))))))</f>
        <v>0</v>
      </c>
      <c r="Y42" s="53" t="n">
        <f aca="false">IF($H42=0,0,IF($AP42="X",0,IF($AP42="S",$H42/$AO42*(MIN($AO42,MAX(0,INT((Lists!O$21-N($J42))/7)+1))-MIN($AO42,MAX(0,INT((Lists!O$22-N($J42))/7)+1))),IF($AP42="D",$H42*MAX(0,MIN(Lists!O$21,N($J42)+$AO42)-MAX(Lists!O$22,N($J42)))/$AO42,IF($AP42="M",$H42/$AO42*(IF(Lists!O$21&lt;$J42,0,MIN($AO42,(((YEAR(Lists!O$21)-YEAR($J42))*12+MONTH(Lists!O$21)-MONTH($J42))-(EDATE($J42,((YEAR(Lists!O$21)-YEAR($J42))*12+MONTH(Lists!O$21)-MONTH($J42)))&gt;Lists!O$21)+1)))-IF(Lists!O$22&lt;$J42,0,MIN($AO42,(((YEAR(Lists!O$22)-YEAR($J42))*12+MONTH(Lists!O$22)-MONTH($J42))-(EDATE($J42,((YEAR(Lists!O$22)-YEAR($J42))*12+MONTH(Lists!O$22)-MONTH($J42)))&gt;Lists!O$22)+1)))),IF($AP42="F",IF(N($K42)&lt;=0,0,MIN(MAX(0,$H42),N($K42)*IF(Lists!O$21&lt;$J42,0,(((YEAR(Lists!O$21)-YEAR($J42))*12+MONTH(Lists!O$21)-MONTH($J42))-(EDATE($J42,((YEAR(Lists!O$21)-YEAR($J42))*12+MONTH(Lists!O$21)-MONTH($J42)))&gt;Lists!O$21)+1)))-MIN(MAX(0,$H42),N($K42)*IF(Lists!O$22&lt;$J42,0,(((YEAR(Lists!O$22)-YEAR($J42))*12+MONTH(Lists!O$22)-MONTH($J42))-(EDATE($J42,((YEAR(Lists!O$22)-YEAR($J42))*12+MONTH(Lists!O$22)-MONTH($J42)))&gt;Lists!O$22)+1)))),N($C42)*IF($AE42-$AD42&lt;1,($AD42&gt;Lists!O$22)*($AD42&lt;=Lists!O$21),MAX(0,MIN(Lists!O$21,$AE42)-MAX(Lists!O$22,$AD42))/($AE42-$AD42))+N($D42)*IF($AG42-$AF42&lt;1,($AF42&gt;Lists!O$22)*($AF42&lt;=Lists!O$21),MAX(0,MIN(Lists!O$21,$AG42)-MAX(Lists!O$22,$AF42))/($AG42-$AF42))+N($E42)*IF($AI42-$AH42&lt;1,($AH42&gt;Lists!O$22)*($AH42&lt;=Lists!O$21),MAX(0,MIN(Lists!O$21,$AI42)-MAX(Lists!O$22,$AH42))/($AI42-$AH42))+N($F42)*IF($AK42-$AJ42&lt;1,($AJ42&gt;Lists!O$22)*($AJ42&lt;=Lists!O$21),MAX(0,MIN(Lists!O$21,$AK42)-MAX(Lists!O$22,$AJ42))/($AK42-$AJ42))+N($G42)*IF($AM42-$AL42&lt;1,($AL42&gt;Lists!O$22)*($AL42&lt;=Lists!O$21),MAX(0,MIN(Lists!O$21,$AM42)-MAX(Lists!O$22,$AL42))/($AM42-$AL42))))))))</f>
        <v>0</v>
      </c>
      <c r="Z42" s="46" t="n">
        <f aca="false">SUM(M42:Y42)</f>
        <v>0</v>
      </c>
      <c r="AA42" s="92" t="n">
        <f aca="false">H42-Z42</f>
        <v>0</v>
      </c>
      <c r="AB42" s="55"/>
      <c r="AC42" s="2"/>
      <c r="AD42" s="93" t="n">
        <f aca="false">Setup!$D$10+MAX(0,$AN42-30)</f>
        <v>46345</v>
      </c>
      <c r="AE42" s="93" t="n">
        <f aca="false">Setup!$D$10+IF($AN42-30&lt;0,MAX(Setup!$D$22,$AN42-0),$AN42-0)</f>
        <v>46375</v>
      </c>
      <c r="AF42" s="93" t="n">
        <f aca="false">Setup!$D$10+MAX(0,$AN42-60)</f>
        <v>46335</v>
      </c>
      <c r="AG42" s="93" t="n">
        <f aca="false">Setup!$D$10+IF($AN42-60&lt;0,MAX(Setup!$D$22,$AN42-31),$AN42-31)</f>
        <v>46363</v>
      </c>
      <c r="AH42" s="93" t="n">
        <f aca="false">Setup!$D$10+MAX(0,$AN42-90)</f>
        <v>46335</v>
      </c>
      <c r="AI42" s="93" t="n">
        <f aca="false">Setup!$D$10+IF($AN42-90&lt;0,MAX(Setup!$D$22,$AN42-61),$AN42-61)</f>
        <v>46363</v>
      </c>
      <c r="AJ42" s="93" t="n">
        <f aca="false">Setup!$D$10+MAX(0,$AN42-120)</f>
        <v>46335</v>
      </c>
      <c r="AK42" s="93" t="n">
        <f aca="false">Setup!$D$10+IF($AN42-120&lt;0,MAX(Setup!$D$22,$AN42-91),$AN42-91)</f>
        <v>46363</v>
      </c>
      <c r="AL42" s="93" t="n">
        <f aca="false">Setup!$D$10</f>
        <v>46335</v>
      </c>
      <c r="AM42" s="93" t="n">
        <f aca="false">IF(AL42=2958465,AL42,Setup!$D$10+Setup!$D$22)</f>
        <v>46363</v>
      </c>
      <c r="AN42" s="94" t="n">
        <f aca="false">IF(N(L42)=0,Setup!$D$21,L42)</f>
        <v>40</v>
      </c>
      <c r="AO42" s="94" t="n">
        <f aca="false">MAX(1,ROUND(N(K42),0))</f>
        <v>1</v>
      </c>
      <c r="AP42" s="95" t="str">
        <f aca="false">IF(I42="On hold","X",IF(N(J42)=0,"A",IF(I42="Specific date","S",IF(I42="Spread over days","D",IF(I42="Monthly on set day","M",IF(I42="Monthly fixed amount","F","A"))))))</f>
        <v>A</v>
      </c>
    </row>
    <row r="43" customFormat="false" ht="15" hidden="false" customHeight="false" outlineLevel="0" collapsed="false">
      <c r="A43" s="87" t="n">
        <v>35</v>
      </c>
      <c r="B43" s="55"/>
      <c r="C43" s="88"/>
      <c r="D43" s="88"/>
      <c r="E43" s="88"/>
      <c r="F43" s="88"/>
      <c r="G43" s="88"/>
      <c r="H43" s="89" t="n">
        <f aca="false">SUM(C43:G43)</f>
        <v>0</v>
      </c>
      <c r="I43" s="58"/>
      <c r="J43" s="90"/>
      <c r="K43" s="91"/>
      <c r="L43" s="80"/>
      <c r="M43" s="53" t="n">
        <f aca="false">IF($H43=0,0,IF($AP43="X",0,IF($AP43="S",$H43/$AO43*(MIN($AO43,MAX(0,INT((Lists!C$21-N($J43))/7)+1))-MIN($AO43,MAX(0,INT((Lists!C$22-N($J43))/7)+1))),IF($AP43="D",$H43*MAX(0,MIN(Lists!C$21,N($J43)+$AO43)-MAX(Lists!C$22,N($J43)))/$AO43,IF($AP43="M",$H43/$AO43*(IF(Lists!C$21&lt;$J43,0,MIN($AO43,(((YEAR(Lists!C$21)-YEAR($J43))*12+MONTH(Lists!C$21)-MONTH($J43))-(EDATE($J43,((YEAR(Lists!C$21)-YEAR($J43))*12+MONTH(Lists!C$21)-MONTH($J43)))&gt;Lists!C$21)+1)))-IF(Lists!C$22&lt;$J43,0,MIN($AO43,(((YEAR(Lists!C$22)-YEAR($J43))*12+MONTH(Lists!C$22)-MONTH($J43))-(EDATE($J43,((YEAR(Lists!C$22)-YEAR($J43))*12+MONTH(Lists!C$22)-MONTH($J43)))&gt;Lists!C$22)+1)))),IF($AP43="F",IF(N($K43)&lt;=0,0,MIN(MAX(0,$H43),N($K43)*IF(Lists!C$21&lt;$J43,0,(((YEAR(Lists!C$21)-YEAR($J43))*12+MONTH(Lists!C$21)-MONTH($J43))-(EDATE($J43,((YEAR(Lists!C$21)-YEAR($J43))*12+MONTH(Lists!C$21)-MONTH($J43)))&gt;Lists!C$21)+1)))-MIN(MAX(0,$H43),N($K43)*IF(Lists!C$22&lt;$J43,0,(((YEAR(Lists!C$22)-YEAR($J43))*12+MONTH(Lists!C$22)-MONTH($J43))-(EDATE($J43,((YEAR(Lists!C$22)-YEAR($J43))*12+MONTH(Lists!C$22)-MONTH($J43)))&gt;Lists!C$22)+1)))),N($C43)*IF($AE43-$AD43&lt;1,($AD43&gt;Lists!C$22)*($AD43&lt;=Lists!C$21),MAX(0,MIN(Lists!C$21,$AE43)-MAX(Lists!C$22,$AD43))/($AE43-$AD43))+N($D43)*IF($AG43-$AF43&lt;1,($AF43&gt;Lists!C$22)*($AF43&lt;=Lists!C$21),MAX(0,MIN(Lists!C$21,$AG43)-MAX(Lists!C$22,$AF43))/($AG43-$AF43))+N($E43)*IF($AI43-$AH43&lt;1,($AH43&gt;Lists!C$22)*($AH43&lt;=Lists!C$21),MAX(0,MIN(Lists!C$21,$AI43)-MAX(Lists!C$22,$AH43))/($AI43-$AH43))+N($F43)*IF($AK43-$AJ43&lt;1,($AJ43&gt;Lists!C$22)*($AJ43&lt;=Lists!C$21),MAX(0,MIN(Lists!C$21,$AK43)-MAX(Lists!C$22,$AJ43))/($AK43-$AJ43))+N($G43)*IF($AM43-$AL43&lt;1,($AL43&gt;Lists!C$22)*($AL43&lt;=Lists!C$21),MAX(0,MIN(Lists!C$21,$AM43)-MAX(Lists!C$22,$AL43))/($AM43-$AL43))))))))</f>
        <v>0</v>
      </c>
      <c r="N43" s="53" t="n">
        <f aca="false">IF($H43=0,0,IF($AP43="X",0,IF($AP43="S",$H43/$AO43*(MIN($AO43,MAX(0,INT((Lists!D$21-N($J43))/7)+1))-MIN($AO43,MAX(0,INT((Lists!D$22-N($J43))/7)+1))),IF($AP43="D",$H43*MAX(0,MIN(Lists!D$21,N($J43)+$AO43)-MAX(Lists!D$22,N($J43)))/$AO43,IF($AP43="M",$H43/$AO43*(IF(Lists!D$21&lt;$J43,0,MIN($AO43,(((YEAR(Lists!D$21)-YEAR($J43))*12+MONTH(Lists!D$21)-MONTH($J43))-(EDATE($J43,((YEAR(Lists!D$21)-YEAR($J43))*12+MONTH(Lists!D$21)-MONTH($J43)))&gt;Lists!D$21)+1)))-IF(Lists!D$22&lt;$J43,0,MIN($AO43,(((YEAR(Lists!D$22)-YEAR($J43))*12+MONTH(Lists!D$22)-MONTH($J43))-(EDATE($J43,((YEAR(Lists!D$22)-YEAR($J43))*12+MONTH(Lists!D$22)-MONTH($J43)))&gt;Lists!D$22)+1)))),IF($AP43="F",IF(N($K43)&lt;=0,0,MIN(MAX(0,$H43),N($K43)*IF(Lists!D$21&lt;$J43,0,(((YEAR(Lists!D$21)-YEAR($J43))*12+MONTH(Lists!D$21)-MONTH($J43))-(EDATE($J43,((YEAR(Lists!D$21)-YEAR($J43))*12+MONTH(Lists!D$21)-MONTH($J43)))&gt;Lists!D$21)+1)))-MIN(MAX(0,$H43),N($K43)*IF(Lists!D$22&lt;$J43,0,(((YEAR(Lists!D$22)-YEAR($J43))*12+MONTH(Lists!D$22)-MONTH($J43))-(EDATE($J43,((YEAR(Lists!D$22)-YEAR($J43))*12+MONTH(Lists!D$22)-MONTH($J43)))&gt;Lists!D$22)+1)))),N($C43)*IF($AE43-$AD43&lt;1,($AD43&gt;Lists!D$22)*($AD43&lt;=Lists!D$21),MAX(0,MIN(Lists!D$21,$AE43)-MAX(Lists!D$22,$AD43))/($AE43-$AD43))+N($D43)*IF($AG43-$AF43&lt;1,($AF43&gt;Lists!D$22)*($AF43&lt;=Lists!D$21),MAX(0,MIN(Lists!D$21,$AG43)-MAX(Lists!D$22,$AF43))/($AG43-$AF43))+N($E43)*IF($AI43-$AH43&lt;1,($AH43&gt;Lists!D$22)*($AH43&lt;=Lists!D$21),MAX(0,MIN(Lists!D$21,$AI43)-MAX(Lists!D$22,$AH43))/($AI43-$AH43))+N($F43)*IF($AK43-$AJ43&lt;1,($AJ43&gt;Lists!D$22)*($AJ43&lt;=Lists!D$21),MAX(0,MIN(Lists!D$21,$AK43)-MAX(Lists!D$22,$AJ43))/($AK43-$AJ43))+N($G43)*IF($AM43-$AL43&lt;1,($AL43&gt;Lists!D$22)*($AL43&lt;=Lists!D$21),MAX(0,MIN(Lists!D$21,$AM43)-MAX(Lists!D$22,$AL43))/($AM43-$AL43))))))))</f>
        <v>0</v>
      </c>
      <c r="O43" s="53" t="n">
        <f aca="false">IF($H43=0,0,IF($AP43="X",0,IF($AP43="S",$H43/$AO43*(MIN($AO43,MAX(0,INT((Lists!E$21-N($J43))/7)+1))-MIN($AO43,MAX(0,INT((Lists!E$22-N($J43))/7)+1))),IF($AP43="D",$H43*MAX(0,MIN(Lists!E$21,N($J43)+$AO43)-MAX(Lists!E$22,N($J43)))/$AO43,IF($AP43="M",$H43/$AO43*(IF(Lists!E$21&lt;$J43,0,MIN($AO43,(((YEAR(Lists!E$21)-YEAR($J43))*12+MONTH(Lists!E$21)-MONTH($J43))-(EDATE($J43,((YEAR(Lists!E$21)-YEAR($J43))*12+MONTH(Lists!E$21)-MONTH($J43)))&gt;Lists!E$21)+1)))-IF(Lists!E$22&lt;$J43,0,MIN($AO43,(((YEAR(Lists!E$22)-YEAR($J43))*12+MONTH(Lists!E$22)-MONTH($J43))-(EDATE($J43,((YEAR(Lists!E$22)-YEAR($J43))*12+MONTH(Lists!E$22)-MONTH($J43)))&gt;Lists!E$22)+1)))),IF($AP43="F",IF(N($K43)&lt;=0,0,MIN(MAX(0,$H43),N($K43)*IF(Lists!E$21&lt;$J43,0,(((YEAR(Lists!E$21)-YEAR($J43))*12+MONTH(Lists!E$21)-MONTH($J43))-(EDATE($J43,((YEAR(Lists!E$21)-YEAR($J43))*12+MONTH(Lists!E$21)-MONTH($J43)))&gt;Lists!E$21)+1)))-MIN(MAX(0,$H43),N($K43)*IF(Lists!E$22&lt;$J43,0,(((YEAR(Lists!E$22)-YEAR($J43))*12+MONTH(Lists!E$22)-MONTH($J43))-(EDATE($J43,((YEAR(Lists!E$22)-YEAR($J43))*12+MONTH(Lists!E$22)-MONTH($J43)))&gt;Lists!E$22)+1)))),N($C43)*IF($AE43-$AD43&lt;1,($AD43&gt;Lists!E$22)*($AD43&lt;=Lists!E$21),MAX(0,MIN(Lists!E$21,$AE43)-MAX(Lists!E$22,$AD43))/($AE43-$AD43))+N($D43)*IF($AG43-$AF43&lt;1,($AF43&gt;Lists!E$22)*($AF43&lt;=Lists!E$21),MAX(0,MIN(Lists!E$21,$AG43)-MAX(Lists!E$22,$AF43))/($AG43-$AF43))+N($E43)*IF($AI43-$AH43&lt;1,($AH43&gt;Lists!E$22)*($AH43&lt;=Lists!E$21),MAX(0,MIN(Lists!E$21,$AI43)-MAX(Lists!E$22,$AH43))/($AI43-$AH43))+N($F43)*IF($AK43-$AJ43&lt;1,($AJ43&gt;Lists!E$22)*($AJ43&lt;=Lists!E$21),MAX(0,MIN(Lists!E$21,$AK43)-MAX(Lists!E$22,$AJ43))/($AK43-$AJ43))+N($G43)*IF($AM43-$AL43&lt;1,($AL43&gt;Lists!E$22)*($AL43&lt;=Lists!E$21),MAX(0,MIN(Lists!E$21,$AM43)-MAX(Lists!E$22,$AL43))/($AM43-$AL43))))))))</f>
        <v>0</v>
      </c>
      <c r="P43" s="53" t="n">
        <f aca="false">IF($H43=0,0,IF($AP43="X",0,IF($AP43="S",$H43/$AO43*(MIN($AO43,MAX(0,INT((Lists!F$21-N($J43))/7)+1))-MIN($AO43,MAX(0,INT((Lists!F$22-N($J43))/7)+1))),IF($AP43="D",$H43*MAX(0,MIN(Lists!F$21,N($J43)+$AO43)-MAX(Lists!F$22,N($J43)))/$AO43,IF($AP43="M",$H43/$AO43*(IF(Lists!F$21&lt;$J43,0,MIN($AO43,(((YEAR(Lists!F$21)-YEAR($J43))*12+MONTH(Lists!F$21)-MONTH($J43))-(EDATE($J43,((YEAR(Lists!F$21)-YEAR($J43))*12+MONTH(Lists!F$21)-MONTH($J43)))&gt;Lists!F$21)+1)))-IF(Lists!F$22&lt;$J43,0,MIN($AO43,(((YEAR(Lists!F$22)-YEAR($J43))*12+MONTH(Lists!F$22)-MONTH($J43))-(EDATE($J43,((YEAR(Lists!F$22)-YEAR($J43))*12+MONTH(Lists!F$22)-MONTH($J43)))&gt;Lists!F$22)+1)))),IF($AP43="F",IF(N($K43)&lt;=0,0,MIN(MAX(0,$H43),N($K43)*IF(Lists!F$21&lt;$J43,0,(((YEAR(Lists!F$21)-YEAR($J43))*12+MONTH(Lists!F$21)-MONTH($J43))-(EDATE($J43,((YEAR(Lists!F$21)-YEAR($J43))*12+MONTH(Lists!F$21)-MONTH($J43)))&gt;Lists!F$21)+1)))-MIN(MAX(0,$H43),N($K43)*IF(Lists!F$22&lt;$J43,0,(((YEAR(Lists!F$22)-YEAR($J43))*12+MONTH(Lists!F$22)-MONTH($J43))-(EDATE($J43,((YEAR(Lists!F$22)-YEAR($J43))*12+MONTH(Lists!F$22)-MONTH($J43)))&gt;Lists!F$22)+1)))),N($C43)*IF($AE43-$AD43&lt;1,($AD43&gt;Lists!F$22)*($AD43&lt;=Lists!F$21),MAX(0,MIN(Lists!F$21,$AE43)-MAX(Lists!F$22,$AD43))/($AE43-$AD43))+N($D43)*IF($AG43-$AF43&lt;1,($AF43&gt;Lists!F$22)*($AF43&lt;=Lists!F$21),MAX(0,MIN(Lists!F$21,$AG43)-MAX(Lists!F$22,$AF43))/($AG43-$AF43))+N($E43)*IF($AI43-$AH43&lt;1,($AH43&gt;Lists!F$22)*($AH43&lt;=Lists!F$21),MAX(0,MIN(Lists!F$21,$AI43)-MAX(Lists!F$22,$AH43))/($AI43-$AH43))+N($F43)*IF($AK43-$AJ43&lt;1,($AJ43&gt;Lists!F$22)*($AJ43&lt;=Lists!F$21),MAX(0,MIN(Lists!F$21,$AK43)-MAX(Lists!F$22,$AJ43))/($AK43-$AJ43))+N($G43)*IF($AM43-$AL43&lt;1,($AL43&gt;Lists!F$22)*($AL43&lt;=Lists!F$21),MAX(0,MIN(Lists!F$21,$AM43)-MAX(Lists!F$22,$AL43))/($AM43-$AL43))))))))</f>
        <v>0</v>
      </c>
      <c r="Q43" s="53" t="n">
        <f aca="false">IF($H43=0,0,IF($AP43="X",0,IF($AP43="S",$H43/$AO43*(MIN($AO43,MAX(0,INT((Lists!G$21-N($J43))/7)+1))-MIN($AO43,MAX(0,INT((Lists!G$22-N($J43))/7)+1))),IF($AP43="D",$H43*MAX(0,MIN(Lists!G$21,N($J43)+$AO43)-MAX(Lists!G$22,N($J43)))/$AO43,IF($AP43="M",$H43/$AO43*(IF(Lists!G$21&lt;$J43,0,MIN($AO43,(((YEAR(Lists!G$21)-YEAR($J43))*12+MONTH(Lists!G$21)-MONTH($J43))-(EDATE($J43,((YEAR(Lists!G$21)-YEAR($J43))*12+MONTH(Lists!G$21)-MONTH($J43)))&gt;Lists!G$21)+1)))-IF(Lists!G$22&lt;$J43,0,MIN($AO43,(((YEAR(Lists!G$22)-YEAR($J43))*12+MONTH(Lists!G$22)-MONTH($J43))-(EDATE($J43,((YEAR(Lists!G$22)-YEAR($J43))*12+MONTH(Lists!G$22)-MONTH($J43)))&gt;Lists!G$22)+1)))),IF($AP43="F",IF(N($K43)&lt;=0,0,MIN(MAX(0,$H43),N($K43)*IF(Lists!G$21&lt;$J43,0,(((YEAR(Lists!G$21)-YEAR($J43))*12+MONTH(Lists!G$21)-MONTH($J43))-(EDATE($J43,((YEAR(Lists!G$21)-YEAR($J43))*12+MONTH(Lists!G$21)-MONTH($J43)))&gt;Lists!G$21)+1)))-MIN(MAX(0,$H43),N($K43)*IF(Lists!G$22&lt;$J43,0,(((YEAR(Lists!G$22)-YEAR($J43))*12+MONTH(Lists!G$22)-MONTH($J43))-(EDATE($J43,((YEAR(Lists!G$22)-YEAR($J43))*12+MONTH(Lists!G$22)-MONTH($J43)))&gt;Lists!G$22)+1)))),N($C43)*IF($AE43-$AD43&lt;1,($AD43&gt;Lists!G$22)*($AD43&lt;=Lists!G$21),MAX(0,MIN(Lists!G$21,$AE43)-MAX(Lists!G$22,$AD43))/($AE43-$AD43))+N($D43)*IF($AG43-$AF43&lt;1,($AF43&gt;Lists!G$22)*($AF43&lt;=Lists!G$21),MAX(0,MIN(Lists!G$21,$AG43)-MAX(Lists!G$22,$AF43))/($AG43-$AF43))+N($E43)*IF($AI43-$AH43&lt;1,($AH43&gt;Lists!G$22)*($AH43&lt;=Lists!G$21),MAX(0,MIN(Lists!G$21,$AI43)-MAX(Lists!G$22,$AH43))/($AI43-$AH43))+N($F43)*IF($AK43-$AJ43&lt;1,($AJ43&gt;Lists!G$22)*($AJ43&lt;=Lists!G$21),MAX(0,MIN(Lists!G$21,$AK43)-MAX(Lists!G$22,$AJ43))/($AK43-$AJ43))+N($G43)*IF($AM43-$AL43&lt;1,($AL43&gt;Lists!G$22)*($AL43&lt;=Lists!G$21),MAX(0,MIN(Lists!G$21,$AM43)-MAX(Lists!G$22,$AL43))/($AM43-$AL43))))))))</f>
        <v>0</v>
      </c>
      <c r="R43" s="53" t="n">
        <f aca="false">IF($H43=0,0,IF($AP43="X",0,IF($AP43="S",$H43/$AO43*(MIN($AO43,MAX(0,INT((Lists!H$21-N($J43))/7)+1))-MIN($AO43,MAX(0,INT((Lists!H$22-N($J43))/7)+1))),IF($AP43="D",$H43*MAX(0,MIN(Lists!H$21,N($J43)+$AO43)-MAX(Lists!H$22,N($J43)))/$AO43,IF($AP43="M",$H43/$AO43*(IF(Lists!H$21&lt;$J43,0,MIN($AO43,(((YEAR(Lists!H$21)-YEAR($J43))*12+MONTH(Lists!H$21)-MONTH($J43))-(EDATE($J43,((YEAR(Lists!H$21)-YEAR($J43))*12+MONTH(Lists!H$21)-MONTH($J43)))&gt;Lists!H$21)+1)))-IF(Lists!H$22&lt;$J43,0,MIN($AO43,(((YEAR(Lists!H$22)-YEAR($J43))*12+MONTH(Lists!H$22)-MONTH($J43))-(EDATE($J43,((YEAR(Lists!H$22)-YEAR($J43))*12+MONTH(Lists!H$22)-MONTH($J43)))&gt;Lists!H$22)+1)))),IF($AP43="F",IF(N($K43)&lt;=0,0,MIN(MAX(0,$H43),N($K43)*IF(Lists!H$21&lt;$J43,0,(((YEAR(Lists!H$21)-YEAR($J43))*12+MONTH(Lists!H$21)-MONTH($J43))-(EDATE($J43,((YEAR(Lists!H$21)-YEAR($J43))*12+MONTH(Lists!H$21)-MONTH($J43)))&gt;Lists!H$21)+1)))-MIN(MAX(0,$H43),N($K43)*IF(Lists!H$22&lt;$J43,0,(((YEAR(Lists!H$22)-YEAR($J43))*12+MONTH(Lists!H$22)-MONTH($J43))-(EDATE($J43,((YEAR(Lists!H$22)-YEAR($J43))*12+MONTH(Lists!H$22)-MONTH($J43)))&gt;Lists!H$22)+1)))),N($C43)*IF($AE43-$AD43&lt;1,($AD43&gt;Lists!H$22)*($AD43&lt;=Lists!H$21),MAX(0,MIN(Lists!H$21,$AE43)-MAX(Lists!H$22,$AD43))/($AE43-$AD43))+N($D43)*IF($AG43-$AF43&lt;1,($AF43&gt;Lists!H$22)*($AF43&lt;=Lists!H$21),MAX(0,MIN(Lists!H$21,$AG43)-MAX(Lists!H$22,$AF43))/($AG43-$AF43))+N($E43)*IF($AI43-$AH43&lt;1,($AH43&gt;Lists!H$22)*($AH43&lt;=Lists!H$21),MAX(0,MIN(Lists!H$21,$AI43)-MAX(Lists!H$22,$AH43))/($AI43-$AH43))+N($F43)*IF($AK43-$AJ43&lt;1,($AJ43&gt;Lists!H$22)*($AJ43&lt;=Lists!H$21),MAX(0,MIN(Lists!H$21,$AK43)-MAX(Lists!H$22,$AJ43))/($AK43-$AJ43))+N($G43)*IF($AM43-$AL43&lt;1,($AL43&gt;Lists!H$22)*($AL43&lt;=Lists!H$21),MAX(0,MIN(Lists!H$21,$AM43)-MAX(Lists!H$22,$AL43))/($AM43-$AL43))))))))</f>
        <v>0</v>
      </c>
      <c r="S43" s="53" t="n">
        <f aca="false">IF($H43=0,0,IF($AP43="X",0,IF($AP43="S",$H43/$AO43*(MIN($AO43,MAX(0,INT((Lists!I$21-N($J43))/7)+1))-MIN($AO43,MAX(0,INT((Lists!I$22-N($J43))/7)+1))),IF($AP43="D",$H43*MAX(0,MIN(Lists!I$21,N($J43)+$AO43)-MAX(Lists!I$22,N($J43)))/$AO43,IF($AP43="M",$H43/$AO43*(IF(Lists!I$21&lt;$J43,0,MIN($AO43,(((YEAR(Lists!I$21)-YEAR($J43))*12+MONTH(Lists!I$21)-MONTH($J43))-(EDATE($J43,((YEAR(Lists!I$21)-YEAR($J43))*12+MONTH(Lists!I$21)-MONTH($J43)))&gt;Lists!I$21)+1)))-IF(Lists!I$22&lt;$J43,0,MIN($AO43,(((YEAR(Lists!I$22)-YEAR($J43))*12+MONTH(Lists!I$22)-MONTH($J43))-(EDATE($J43,((YEAR(Lists!I$22)-YEAR($J43))*12+MONTH(Lists!I$22)-MONTH($J43)))&gt;Lists!I$22)+1)))),IF($AP43="F",IF(N($K43)&lt;=0,0,MIN(MAX(0,$H43),N($K43)*IF(Lists!I$21&lt;$J43,0,(((YEAR(Lists!I$21)-YEAR($J43))*12+MONTH(Lists!I$21)-MONTH($J43))-(EDATE($J43,((YEAR(Lists!I$21)-YEAR($J43))*12+MONTH(Lists!I$21)-MONTH($J43)))&gt;Lists!I$21)+1)))-MIN(MAX(0,$H43),N($K43)*IF(Lists!I$22&lt;$J43,0,(((YEAR(Lists!I$22)-YEAR($J43))*12+MONTH(Lists!I$22)-MONTH($J43))-(EDATE($J43,((YEAR(Lists!I$22)-YEAR($J43))*12+MONTH(Lists!I$22)-MONTH($J43)))&gt;Lists!I$22)+1)))),N($C43)*IF($AE43-$AD43&lt;1,($AD43&gt;Lists!I$22)*($AD43&lt;=Lists!I$21),MAX(0,MIN(Lists!I$21,$AE43)-MAX(Lists!I$22,$AD43))/($AE43-$AD43))+N($D43)*IF($AG43-$AF43&lt;1,($AF43&gt;Lists!I$22)*($AF43&lt;=Lists!I$21),MAX(0,MIN(Lists!I$21,$AG43)-MAX(Lists!I$22,$AF43))/($AG43-$AF43))+N($E43)*IF($AI43-$AH43&lt;1,($AH43&gt;Lists!I$22)*($AH43&lt;=Lists!I$21),MAX(0,MIN(Lists!I$21,$AI43)-MAX(Lists!I$22,$AH43))/($AI43-$AH43))+N($F43)*IF($AK43-$AJ43&lt;1,($AJ43&gt;Lists!I$22)*($AJ43&lt;=Lists!I$21),MAX(0,MIN(Lists!I$21,$AK43)-MAX(Lists!I$22,$AJ43))/($AK43-$AJ43))+N($G43)*IF($AM43-$AL43&lt;1,($AL43&gt;Lists!I$22)*($AL43&lt;=Lists!I$21),MAX(0,MIN(Lists!I$21,$AM43)-MAX(Lists!I$22,$AL43))/($AM43-$AL43))))))))</f>
        <v>0</v>
      </c>
      <c r="T43" s="53" t="n">
        <f aca="false">IF($H43=0,0,IF($AP43="X",0,IF($AP43="S",$H43/$AO43*(MIN($AO43,MAX(0,INT((Lists!J$21-N($J43))/7)+1))-MIN($AO43,MAX(0,INT((Lists!J$22-N($J43))/7)+1))),IF($AP43="D",$H43*MAX(0,MIN(Lists!J$21,N($J43)+$AO43)-MAX(Lists!J$22,N($J43)))/$AO43,IF($AP43="M",$H43/$AO43*(IF(Lists!J$21&lt;$J43,0,MIN($AO43,(((YEAR(Lists!J$21)-YEAR($J43))*12+MONTH(Lists!J$21)-MONTH($J43))-(EDATE($J43,((YEAR(Lists!J$21)-YEAR($J43))*12+MONTH(Lists!J$21)-MONTH($J43)))&gt;Lists!J$21)+1)))-IF(Lists!J$22&lt;$J43,0,MIN($AO43,(((YEAR(Lists!J$22)-YEAR($J43))*12+MONTH(Lists!J$22)-MONTH($J43))-(EDATE($J43,((YEAR(Lists!J$22)-YEAR($J43))*12+MONTH(Lists!J$22)-MONTH($J43)))&gt;Lists!J$22)+1)))),IF($AP43="F",IF(N($K43)&lt;=0,0,MIN(MAX(0,$H43),N($K43)*IF(Lists!J$21&lt;$J43,0,(((YEAR(Lists!J$21)-YEAR($J43))*12+MONTH(Lists!J$21)-MONTH($J43))-(EDATE($J43,((YEAR(Lists!J$21)-YEAR($J43))*12+MONTH(Lists!J$21)-MONTH($J43)))&gt;Lists!J$21)+1)))-MIN(MAX(0,$H43),N($K43)*IF(Lists!J$22&lt;$J43,0,(((YEAR(Lists!J$22)-YEAR($J43))*12+MONTH(Lists!J$22)-MONTH($J43))-(EDATE($J43,((YEAR(Lists!J$22)-YEAR($J43))*12+MONTH(Lists!J$22)-MONTH($J43)))&gt;Lists!J$22)+1)))),N($C43)*IF($AE43-$AD43&lt;1,($AD43&gt;Lists!J$22)*($AD43&lt;=Lists!J$21),MAX(0,MIN(Lists!J$21,$AE43)-MAX(Lists!J$22,$AD43))/($AE43-$AD43))+N($D43)*IF($AG43-$AF43&lt;1,($AF43&gt;Lists!J$22)*($AF43&lt;=Lists!J$21),MAX(0,MIN(Lists!J$21,$AG43)-MAX(Lists!J$22,$AF43))/($AG43-$AF43))+N($E43)*IF($AI43-$AH43&lt;1,($AH43&gt;Lists!J$22)*($AH43&lt;=Lists!J$21),MAX(0,MIN(Lists!J$21,$AI43)-MAX(Lists!J$22,$AH43))/($AI43-$AH43))+N($F43)*IF($AK43-$AJ43&lt;1,($AJ43&gt;Lists!J$22)*($AJ43&lt;=Lists!J$21),MAX(0,MIN(Lists!J$21,$AK43)-MAX(Lists!J$22,$AJ43))/($AK43-$AJ43))+N($G43)*IF($AM43-$AL43&lt;1,($AL43&gt;Lists!J$22)*($AL43&lt;=Lists!J$21),MAX(0,MIN(Lists!J$21,$AM43)-MAX(Lists!J$22,$AL43))/($AM43-$AL43))))))))</f>
        <v>0</v>
      </c>
      <c r="U43" s="53" t="n">
        <f aca="false">IF($H43=0,0,IF($AP43="X",0,IF($AP43="S",$H43/$AO43*(MIN($AO43,MAX(0,INT((Lists!K$21-N($J43))/7)+1))-MIN($AO43,MAX(0,INT((Lists!K$22-N($J43))/7)+1))),IF($AP43="D",$H43*MAX(0,MIN(Lists!K$21,N($J43)+$AO43)-MAX(Lists!K$22,N($J43)))/$AO43,IF($AP43="M",$H43/$AO43*(IF(Lists!K$21&lt;$J43,0,MIN($AO43,(((YEAR(Lists!K$21)-YEAR($J43))*12+MONTH(Lists!K$21)-MONTH($J43))-(EDATE($J43,((YEAR(Lists!K$21)-YEAR($J43))*12+MONTH(Lists!K$21)-MONTH($J43)))&gt;Lists!K$21)+1)))-IF(Lists!K$22&lt;$J43,0,MIN($AO43,(((YEAR(Lists!K$22)-YEAR($J43))*12+MONTH(Lists!K$22)-MONTH($J43))-(EDATE($J43,((YEAR(Lists!K$22)-YEAR($J43))*12+MONTH(Lists!K$22)-MONTH($J43)))&gt;Lists!K$22)+1)))),IF($AP43="F",IF(N($K43)&lt;=0,0,MIN(MAX(0,$H43),N($K43)*IF(Lists!K$21&lt;$J43,0,(((YEAR(Lists!K$21)-YEAR($J43))*12+MONTH(Lists!K$21)-MONTH($J43))-(EDATE($J43,((YEAR(Lists!K$21)-YEAR($J43))*12+MONTH(Lists!K$21)-MONTH($J43)))&gt;Lists!K$21)+1)))-MIN(MAX(0,$H43),N($K43)*IF(Lists!K$22&lt;$J43,0,(((YEAR(Lists!K$22)-YEAR($J43))*12+MONTH(Lists!K$22)-MONTH($J43))-(EDATE($J43,((YEAR(Lists!K$22)-YEAR($J43))*12+MONTH(Lists!K$22)-MONTH($J43)))&gt;Lists!K$22)+1)))),N($C43)*IF($AE43-$AD43&lt;1,($AD43&gt;Lists!K$22)*($AD43&lt;=Lists!K$21),MAX(0,MIN(Lists!K$21,$AE43)-MAX(Lists!K$22,$AD43))/($AE43-$AD43))+N($D43)*IF($AG43-$AF43&lt;1,($AF43&gt;Lists!K$22)*($AF43&lt;=Lists!K$21),MAX(0,MIN(Lists!K$21,$AG43)-MAX(Lists!K$22,$AF43))/($AG43-$AF43))+N($E43)*IF($AI43-$AH43&lt;1,($AH43&gt;Lists!K$22)*($AH43&lt;=Lists!K$21),MAX(0,MIN(Lists!K$21,$AI43)-MAX(Lists!K$22,$AH43))/($AI43-$AH43))+N($F43)*IF($AK43-$AJ43&lt;1,($AJ43&gt;Lists!K$22)*($AJ43&lt;=Lists!K$21),MAX(0,MIN(Lists!K$21,$AK43)-MAX(Lists!K$22,$AJ43))/($AK43-$AJ43))+N($G43)*IF($AM43-$AL43&lt;1,($AL43&gt;Lists!K$22)*($AL43&lt;=Lists!K$21),MAX(0,MIN(Lists!K$21,$AM43)-MAX(Lists!K$22,$AL43))/($AM43-$AL43))))))))</f>
        <v>0</v>
      </c>
      <c r="V43" s="53" t="n">
        <f aca="false">IF($H43=0,0,IF($AP43="X",0,IF($AP43="S",$H43/$AO43*(MIN($AO43,MAX(0,INT((Lists!L$21-N($J43))/7)+1))-MIN($AO43,MAX(0,INT((Lists!L$22-N($J43))/7)+1))),IF($AP43="D",$H43*MAX(0,MIN(Lists!L$21,N($J43)+$AO43)-MAX(Lists!L$22,N($J43)))/$AO43,IF($AP43="M",$H43/$AO43*(IF(Lists!L$21&lt;$J43,0,MIN($AO43,(((YEAR(Lists!L$21)-YEAR($J43))*12+MONTH(Lists!L$21)-MONTH($J43))-(EDATE($J43,((YEAR(Lists!L$21)-YEAR($J43))*12+MONTH(Lists!L$21)-MONTH($J43)))&gt;Lists!L$21)+1)))-IF(Lists!L$22&lt;$J43,0,MIN($AO43,(((YEAR(Lists!L$22)-YEAR($J43))*12+MONTH(Lists!L$22)-MONTH($J43))-(EDATE($J43,((YEAR(Lists!L$22)-YEAR($J43))*12+MONTH(Lists!L$22)-MONTH($J43)))&gt;Lists!L$22)+1)))),IF($AP43="F",IF(N($K43)&lt;=0,0,MIN(MAX(0,$H43),N($K43)*IF(Lists!L$21&lt;$J43,0,(((YEAR(Lists!L$21)-YEAR($J43))*12+MONTH(Lists!L$21)-MONTH($J43))-(EDATE($J43,((YEAR(Lists!L$21)-YEAR($J43))*12+MONTH(Lists!L$21)-MONTH($J43)))&gt;Lists!L$21)+1)))-MIN(MAX(0,$H43),N($K43)*IF(Lists!L$22&lt;$J43,0,(((YEAR(Lists!L$22)-YEAR($J43))*12+MONTH(Lists!L$22)-MONTH($J43))-(EDATE($J43,((YEAR(Lists!L$22)-YEAR($J43))*12+MONTH(Lists!L$22)-MONTH($J43)))&gt;Lists!L$22)+1)))),N($C43)*IF($AE43-$AD43&lt;1,($AD43&gt;Lists!L$22)*($AD43&lt;=Lists!L$21),MAX(0,MIN(Lists!L$21,$AE43)-MAX(Lists!L$22,$AD43))/($AE43-$AD43))+N($D43)*IF($AG43-$AF43&lt;1,($AF43&gt;Lists!L$22)*($AF43&lt;=Lists!L$21),MAX(0,MIN(Lists!L$21,$AG43)-MAX(Lists!L$22,$AF43))/($AG43-$AF43))+N($E43)*IF($AI43-$AH43&lt;1,($AH43&gt;Lists!L$22)*($AH43&lt;=Lists!L$21),MAX(0,MIN(Lists!L$21,$AI43)-MAX(Lists!L$22,$AH43))/($AI43-$AH43))+N($F43)*IF($AK43-$AJ43&lt;1,($AJ43&gt;Lists!L$22)*($AJ43&lt;=Lists!L$21),MAX(0,MIN(Lists!L$21,$AK43)-MAX(Lists!L$22,$AJ43))/($AK43-$AJ43))+N($G43)*IF($AM43-$AL43&lt;1,($AL43&gt;Lists!L$22)*($AL43&lt;=Lists!L$21),MAX(0,MIN(Lists!L$21,$AM43)-MAX(Lists!L$22,$AL43))/($AM43-$AL43))))))))</f>
        <v>0</v>
      </c>
      <c r="W43" s="53" t="n">
        <f aca="false">IF($H43=0,0,IF($AP43="X",0,IF($AP43="S",$H43/$AO43*(MIN($AO43,MAX(0,INT((Lists!M$21-N($J43))/7)+1))-MIN($AO43,MAX(0,INT((Lists!M$22-N($J43))/7)+1))),IF($AP43="D",$H43*MAX(0,MIN(Lists!M$21,N($J43)+$AO43)-MAX(Lists!M$22,N($J43)))/$AO43,IF($AP43="M",$H43/$AO43*(IF(Lists!M$21&lt;$J43,0,MIN($AO43,(((YEAR(Lists!M$21)-YEAR($J43))*12+MONTH(Lists!M$21)-MONTH($J43))-(EDATE($J43,((YEAR(Lists!M$21)-YEAR($J43))*12+MONTH(Lists!M$21)-MONTH($J43)))&gt;Lists!M$21)+1)))-IF(Lists!M$22&lt;$J43,0,MIN($AO43,(((YEAR(Lists!M$22)-YEAR($J43))*12+MONTH(Lists!M$22)-MONTH($J43))-(EDATE($J43,((YEAR(Lists!M$22)-YEAR($J43))*12+MONTH(Lists!M$22)-MONTH($J43)))&gt;Lists!M$22)+1)))),IF($AP43="F",IF(N($K43)&lt;=0,0,MIN(MAX(0,$H43),N($K43)*IF(Lists!M$21&lt;$J43,0,(((YEAR(Lists!M$21)-YEAR($J43))*12+MONTH(Lists!M$21)-MONTH($J43))-(EDATE($J43,((YEAR(Lists!M$21)-YEAR($J43))*12+MONTH(Lists!M$21)-MONTH($J43)))&gt;Lists!M$21)+1)))-MIN(MAX(0,$H43),N($K43)*IF(Lists!M$22&lt;$J43,0,(((YEAR(Lists!M$22)-YEAR($J43))*12+MONTH(Lists!M$22)-MONTH($J43))-(EDATE($J43,((YEAR(Lists!M$22)-YEAR($J43))*12+MONTH(Lists!M$22)-MONTH($J43)))&gt;Lists!M$22)+1)))),N($C43)*IF($AE43-$AD43&lt;1,($AD43&gt;Lists!M$22)*($AD43&lt;=Lists!M$21),MAX(0,MIN(Lists!M$21,$AE43)-MAX(Lists!M$22,$AD43))/($AE43-$AD43))+N($D43)*IF($AG43-$AF43&lt;1,($AF43&gt;Lists!M$22)*($AF43&lt;=Lists!M$21),MAX(0,MIN(Lists!M$21,$AG43)-MAX(Lists!M$22,$AF43))/($AG43-$AF43))+N($E43)*IF($AI43-$AH43&lt;1,($AH43&gt;Lists!M$22)*($AH43&lt;=Lists!M$21),MAX(0,MIN(Lists!M$21,$AI43)-MAX(Lists!M$22,$AH43))/($AI43-$AH43))+N($F43)*IF($AK43-$AJ43&lt;1,($AJ43&gt;Lists!M$22)*($AJ43&lt;=Lists!M$21),MAX(0,MIN(Lists!M$21,$AK43)-MAX(Lists!M$22,$AJ43))/($AK43-$AJ43))+N($G43)*IF($AM43-$AL43&lt;1,($AL43&gt;Lists!M$22)*($AL43&lt;=Lists!M$21),MAX(0,MIN(Lists!M$21,$AM43)-MAX(Lists!M$22,$AL43))/($AM43-$AL43))))))))</f>
        <v>0</v>
      </c>
      <c r="X43" s="53" t="n">
        <f aca="false">IF($H43=0,0,IF($AP43="X",0,IF($AP43="S",$H43/$AO43*(MIN($AO43,MAX(0,INT((Lists!N$21-N($J43))/7)+1))-MIN($AO43,MAX(0,INT((Lists!N$22-N($J43))/7)+1))),IF($AP43="D",$H43*MAX(0,MIN(Lists!N$21,N($J43)+$AO43)-MAX(Lists!N$22,N($J43)))/$AO43,IF($AP43="M",$H43/$AO43*(IF(Lists!N$21&lt;$J43,0,MIN($AO43,(((YEAR(Lists!N$21)-YEAR($J43))*12+MONTH(Lists!N$21)-MONTH($J43))-(EDATE($J43,((YEAR(Lists!N$21)-YEAR($J43))*12+MONTH(Lists!N$21)-MONTH($J43)))&gt;Lists!N$21)+1)))-IF(Lists!N$22&lt;$J43,0,MIN($AO43,(((YEAR(Lists!N$22)-YEAR($J43))*12+MONTH(Lists!N$22)-MONTH($J43))-(EDATE($J43,((YEAR(Lists!N$22)-YEAR($J43))*12+MONTH(Lists!N$22)-MONTH($J43)))&gt;Lists!N$22)+1)))),IF($AP43="F",IF(N($K43)&lt;=0,0,MIN(MAX(0,$H43),N($K43)*IF(Lists!N$21&lt;$J43,0,(((YEAR(Lists!N$21)-YEAR($J43))*12+MONTH(Lists!N$21)-MONTH($J43))-(EDATE($J43,((YEAR(Lists!N$21)-YEAR($J43))*12+MONTH(Lists!N$21)-MONTH($J43)))&gt;Lists!N$21)+1)))-MIN(MAX(0,$H43),N($K43)*IF(Lists!N$22&lt;$J43,0,(((YEAR(Lists!N$22)-YEAR($J43))*12+MONTH(Lists!N$22)-MONTH($J43))-(EDATE($J43,((YEAR(Lists!N$22)-YEAR($J43))*12+MONTH(Lists!N$22)-MONTH($J43)))&gt;Lists!N$22)+1)))),N($C43)*IF($AE43-$AD43&lt;1,($AD43&gt;Lists!N$22)*($AD43&lt;=Lists!N$21),MAX(0,MIN(Lists!N$21,$AE43)-MAX(Lists!N$22,$AD43))/($AE43-$AD43))+N($D43)*IF($AG43-$AF43&lt;1,($AF43&gt;Lists!N$22)*($AF43&lt;=Lists!N$21),MAX(0,MIN(Lists!N$21,$AG43)-MAX(Lists!N$22,$AF43))/($AG43-$AF43))+N($E43)*IF($AI43-$AH43&lt;1,($AH43&gt;Lists!N$22)*($AH43&lt;=Lists!N$21),MAX(0,MIN(Lists!N$21,$AI43)-MAX(Lists!N$22,$AH43))/($AI43-$AH43))+N($F43)*IF($AK43-$AJ43&lt;1,($AJ43&gt;Lists!N$22)*($AJ43&lt;=Lists!N$21),MAX(0,MIN(Lists!N$21,$AK43)-MAX(Lists!N$22,$AJ43))/($AK43-$AJ43))+N($G43)*IF($AM43-$AL43&lt;1,($AL43&gt;Lists!N$22)*($AL43&lt;=Lists!N$21),MAX(0,MIN(Lists!N$21,$AM43)-MAX(Lists!N$22,$AL43))/($AM43-$AL43))))))))</f>
        <v>0</v>
      </c>
      <c r="Y43" s="53" t="n">
        <f aca="false">IF($H43=0,0,IF($AP43="X",0,IF($AP43="S",$H43/$AO43*(MIN($AO43,MAX(0,INT((Lists!O$21-N($J43))/7)+1))-MIN($AO43,MAX(0,INT((Lists!O$22-N($J43))/7)+1))),IF($AP43="D",$H43*MAX(0,MIN(Lists!O$21,N($J43)+$AO43)-MAX(Lists!O$22,N($J43)))/$AO43,IF($AP43="M",$H43/$AO43*(IF(Lists!O$21&lt;$J43,0,MIN($AO43,(((YEAR(Lists!O$21)-YEAR($J43))*12+MONTH(Lists!O$21)-MONTH($J43))-(EDATE($J43,((YEAR(Lists!O$21)-YEAR($J43))*12+MONTH(Lists!O$21)-MONTH($J43)))&gt;Lists!O$21)+1)))-IF(Lists!O$22&lt;$J43,0,MIN($AO43,(((YEAR(Lists!O$22)-YEAR($J43))*12+MONTH(Lists!O$22)-MONTH($J43))-(EDATE($J43,((YEAR(Lists!O$22)-YEAR($J43))*12+MONTH(Lists!O$22)-MONTH($J43)))&gt;Lists!O$22)+1)))),IF($AP43="F",IF(N($K43)&lt;=0,0,MIN(MAX(0,$H43),N($K43)*IF(Lists!O$21&lt;$J43,0,(((YEAR(Lists!O$21)-YEAR($J43))*12+MONTH(Lists!O$21)-MONTH($J43))-(EDATE($J43,((YEAR(Lists!O$21)-YEAR($J43))*12+MONTH(Lists!O$21)-MONTH($J43)))&gt;Lists!O$21)+1)))-MIN(MAX(0,$H43),N($K43)*IF(Lists!O$22&lt;$J43,0,(((YEAR(Lists!O$22)-YEAR($J43))*12+MONTH(Lists!O$22)-MONTH($J43))-(EDATE($J43,((YEAR(Lists!O$22)-YEAR($J43))*12+MONTH(Lists!O$22)-MONTH($J43)))&gt;Lists!O$22)+1)))),N($C43)*IF($AE43-$AD43&lt;1,($AD43&gt;Lists!O$22)*($AD43&lt;=Lists!O$21),MAX(0,MIN(Lists!O$21,$AE43)-MAX(Lists!O$22,$AD43))/($AE43-$AD43))+N($D43)*IF($AG43-$AF43&lt;1,($AF43&gt;Lists!O$22)*($AF43&lt;=Lists!O$21),MAX(0,MIN(Lists!O$21,$AG43)-MAX(Lists!O$22,$AF43))/($AG43-$AF43))+N($E43)*IF($AI43-$AH43&lt;1,($AH43&gt;Lists!O$22)*($AH43&lt;=Lists!O$21),MAX(0,MIN(Lists!O$21,$AI43)-MAX(Lists!O$22,$AH43))/($AI43-$AH43))+N($F43)*IF($AK43-$AJ43&lt;1,($AJ43&gt;Lists!O$22)*($AJ43&lt;=Lists!O$21),MAX(0,MIN(Lists!O$21,$AK43)-MAX(Lists!O$22,$AJ43))/($AK43-$AJ43))+N($G43)*IF($AM43-$AL43&lt;1,($AL43&gt;Lists!O$22)*($AL43&lt;=Lists!O$21),MAX(0,MIN(Lists!O$21,$AM43)-MAX(Lists!O$22,$AL43))/($AM43-$AL43))))))))</f>
        <v>0</v>
      </c>
      <c r="Z43" s="46" t="n">
        <f aca="false">SUM(M43:Y43)</f>
        <v>0</v>
      </c>
      <c r="AA43" s="92" t="n">
        <f aca="false">H43-Z43</f>
        <v>0</v>
      </c>
      <c r="AB43" s="55"/>
      <c r="AC43" s="2"/>
      <c r="AD43" s="93" t="n">
        <f aca="false">Setup!$D$10+MAX(0,$AN43-30)</f>
        <v>46345</v>
      </c>
      <c r="AE43" s="93" t="n">
        <f aca="false">Setup!$D$10+IF($AN43-30&lt;0,MAX(Setup!$D$22,$AN43-0),$AN43-0)</f>
        <v>46375</v>
      </c>
      <c r="AF43" s="93" t="n">
        <f aca="false">Setup!$D$10+MAX(0,$AN43-60)</f>
        <v>46335</v>
      </c>
      <c r="AG43" s="93" t="n">
        <f aca="false">Setup!$D$10+IF($AN43-60&lt;0,MAX(Setup!$D$22,$AN43-31),$AN43-31)</f>
        <v>46363</v>
      </c>
      <c r="AH43" s="93" t="n">
        <f aca="false">Setup!$D$10+MAX(0,$AN43-90)</f>
        <v>46335</v>
      </c>
      <c r="AI43" s="93" t="n">
        <f aca="false">Setup!$D$10+IF($AN43-90&lt;0,MAX(Setup!$D$22,$AN43-61),$AN43-61)</f>
        <v>46363</v>
      </c>
      <c r="AJ43" s="93" t="n">
        <f aca="false">Setup!$D$10+MAX(0,$AN43-120)</f>
        <v>46335</v>
      </c>
      <c r="AK43" s="93" t="n">
        <f aca="false">Setup!$D$10+IF($AN43-120&lt;0,MAX(Setup!$D$22,$AN43-91),$AN43-91)</f>
        <v>46363</v>
      </c>
      <c r="AL43" s="93" t="n">
        <f aca="false">Setup!$D$10</f>
        <v>46335</v>
      </c>
      <c r="AM43" s="93" t="n">
        <f aca="false">IF(AL43=2958465,AL43,Setup!$D$10+Setup!$D$22)</f>
        <v>46363</v>
      </c>
      <c r="AN43" s="94" t="n">
        <f aca="false">IF(N(L43)=0,Setup!$D$21,L43)</f>
        <v>40</v>
      </c>
      <c r="AO43" s="94" t="n">
        <f aca="false">MAX(1,ROUND(N(K43),0))</f>
        <v>1</v>
      </c>
      <c r="AP43" s="95" t="str">
        <f aca="false">IF(I43="On hold","X",IF(N(J43)=0,"A",IF(I43="Specific date","S",IF(I43="Spread over days","D",IF(I43="Monthly on set day","M",IF(I43="Monthly fixed amount","F","A"))))))</f>
        <v>A</v>
      </c>
    </row>
    <row r="44" customFormat="false" ht="15" hidden="false" customHeight="false" outlineLevel="0" collapsed="false">
      <c r="A44" s="87" t="n">
        <v>36</v>
      </c>
      <c r="B44" s="55"/>
      <c r="C44" s="88"/>
      <c r="D44" s="88"/>
      <c r="E44" s="88"/>
      <c r="F44" s="88"/>
      <c r="G44" s="88"/>
      <c r="H44" s="89" t="n">
        <f aca="false">SUM(C44:G44)</f>
        <v>0</v>
      </c>
      <c r="I44" s="58"/>
      <c r="J44" s="90"/>
      <c r="K44" s="91"/>
      <c r="L44" s="80"/>
      <c r="M44" s="53" t="n">
        <f aca="false">IF($H44=0,0,IF($AP44="X",0,IF($AP44="S",$H44/$AO44*(MIN($AO44,MAX(0,INT((Lists!C$21-N($J44))/7)+1))-MIN($AO44,MAX(0,INT((Lists!C$22-N($J44))/7)+1))),IF($AP44="D",$H44*MAX(0,MIN(Lists!C$21,N($J44)+$AO44)-MAX(Lists!C$22,N($J44)))/$AO44,IF($AP44="M",$H44/$AO44*(IF(Lists!C$21&lt;$J44,0,MIN($AO44,(((YEAR(Lists!C$21)-YEAR($J44))*12+MONTH(Lists!C$21)-MONTH($J44))-(EDATE($J44,((YEAR(Lists!C$21)-YEAR($J44))*12+MONTH(Lists!C$21)-MONTH($J44)))&gt;Lists!C$21)+1)))-IF(Lists!C$22&lt;$J44,0,MIN($AO44,(((YEAR(Lists!C$22)-YEAR($J44))*12+MONTH(Lists!C$22)-MONTH($J44))-(EDATE($J44,((YEAR(Lists!C$22)-YEAR($J44))*12+MONTH(Lists!C$22)-MONTH($J44)))&gt;Lists!C$22)+1)))),IF($AP44="F",IF(N($K44)&lt;=0,0,MIN(MAX(0,$H44),N($K44)*IF(Lists!C$21&lt;$J44,0,(((YEAR(Lists!C$21)-YEAR($J44))*12+MONTH(Lists!C$21)-MONTH($J44))-(EDATE($J44,((YEAR(Lists!C$21)-YEAR($J44))*12+MONTH(Lists!C$21)-MONTH($J44)))&gt;Lists!C$21)+1)))-MIN(MAX(0,$H44),N($K44)*IF(Lists!C$22&lt;$J44,0,(((YEAR(Lists!C$22)-YEAR($J44))*12+MONTH(Lists!C$22)-MONTH($J44))-(EDATE($J44,((YEAR(Lists!C$22)-YEAR($J44))*12+MONTH(Lists!C$22)-MONTH($J44)))&gt;Lists!C$22)+1)))),N($C44)*IF($AE44-$AD44&lt;1,($AD44&gt;Lists!C$22)*($AD44&lt;=Lists!C$21),MAX(0,MIN(Lists!C$21,$AE44)-MAX(Lists!C$22,$AD44))/($AE44-$AD44))+N($D44)*IF($AG44-$AF44&lt;1,($AF44&gt;Lists!C$22)*($AF44&lt;=Lists!C$21),MAX(0,MIN(Lists!C$21,$AG44)-MAX(Lists!C$22,$AF44))/($AG44-$AF44))+N($E44)*IF($AI44-$AH44&lt;1,($AH44&gt;Lists!C$22)*($AH44&lt;=Lists!C$21),MAX(0,MIN(Lists!C$21,$AI44)-MAX(Lists!C$22,$AH44))/($AI44-$AH44))+N($F44)*IF($AK44-$AJ44&lt;1,($AJ44&gt;Lists!C$22)*($AJ44&lt;=Lists!C$21),MAX(0,MIN(Lists!C$21,$AK44)-MAX(Lists!C$22,$AJ44))/($AK44-$AJ44))+N($G44)*IF($AM44-$AL44&lt;1,($AL44&gt;Lists!C$22)*($AL44&lt;=Lists!C$21),MAX(0,MIN(Lists!C$21,$AM44)-MAX(Lists!C$22,$AL44))/($AM44-$AL44))))))))</f>
        <v>0</v>
      </c>
      <c r="N44" s="53" t="n">
        <f aca="false">IF($H44=0,0,IF($AP44="X",0,IF($AP44="S",$H44/$AO44*(MIN($AO44,MAX(0,INT((Lists!D$21-N($J44))/7)+1))-MIN($AO44,MAX(0,INT((Lists!D$22-N($J44))/7)+1))),IF($AP44="D",$H44*MAX(0,MIN(Lists!D$21,N($J44)+$AO44)-MAX(Lists!D$22,N($J44)))/$AO44,IF($AP44="M",$H44/$AO44*(IF(Lists!D$21&lt;$J44,0,MIN($AO44,(((YEAR(Lists!D$21)-YEAR($J44))*12+MONTH(Lists!D$21)-MONTH($J44))-(EDATE($J44,((YEAR(Lists!D$21)-YEAR($J44))*12+MONTH(Lists!D$21)-MONTH($J44)))&gt;Lists!D$21)+1)))-IF(Lists!D$22&lt;$J44,0,MIN($AO44,(((YEAR(Lists!D$22)-YEAR($J44))*12+MONTH(Lists!D$22)-MONTH($J44))-(EDATE($J44,((YEAR(Lists!D$22)-YEAR($J44))*12+MONTH(Lists!D$22)-MONTH($J44)))&gt;Lists!D$22)+1)))),IF($AP44="F",IF(N($K44)&lt;=0,0,MIN(MAX(0,$H44),N($K44)*IF(Lists!D$21&lt;$J44,0,(((YEAR(Lists!D$21)-YEAR($J44))*12+MONTH(Lists!D$21)-MONTH($J44))-(EDATE($J44,((YEAR(Lists!D$21)-YEAR($J44))*12+MONTH(Lists!D$21)-MONTH($J44)))&gt;Lists!D$21)+1)))-MIN(MAX(0,$H44),N($K44)*IF(Lists!D$22&lt;$J44,0,(((YEAR(Lists!D$22)-YEAR($J44))*12+MONTH(Lists!D$22)-MONTH($J44))-(EDATE($J44,((YEAR(Lists!D$22)-YEAR($J44))*12+MONTH(Lists!D$22)-MONTH($J44)))&gt;Lists!D$22)+1)))),N($C44)*IF($AE44-$AD44&lt;1,($AD44&gt;Lists!D$22)*($AD44&lt;=Lists!D$21),MAX(0,MIN(Lists!D$21,$AE44)-MAX(Lists!D$22,$AD44))/($AE44-$AD44))+N($D44)*IF($AG44-$AF44&lt;1,($AF44&gt;Lists!D$22)*($AF44&lt;=Lists!D$21),MAX(0,MIN(Lists!D$21,$AG44)-MAX(Lists!D$22,$AF44))/($AG44-$AF44))+N($E44)*IF($AI44-$AH44&lt;1,($AH44&gt;Lists!D$22)*($AH44&lt;=Lists!D$21),MAX(0,MIN(Lists!D$21,$AI44)-MAX(Lists!D$22,$AH44))/($AI44-$AH44))+N($F44)*IF($AK44-$AJ44&lt;1,($AJ44&gt;Lists!D$22)*($AJ44&lt;=Lists!D$21),MAX(0,MIN(Lists!D$21,$AK44)-MAX(Lists!D$22,$AJ44))/($AK44-$AJ44))+N($G44)*IF($AM44-$AL44&lt;1,($AL44&gt;Lists!D$22)*($AL44&lt;=Lists!D$21),MAX(0,MIN(Lists!D$21,$AM44)-MAX(Lists!D$22,$AL44))/($AM44-$AL44))))))))</f>
        <v>0</v>
      </c>
      <c r="O44" s="53" t="n">
        <f aca="false">IF($H44=0,0,IF($AP44="X",0,IF($AP44="S",$H44/$AO44*(MIN($AO44,MAX(0,INT((Lists!E$21-N($J44))/7)+1))-MIN($AO44,MAX(0,INT((Lists!E$22-N($J44))/7)+1))),IF($AP44="D",$H44*MAX(0,MIN(Lists!E$21,N($J44)+$AO44)-MAX(Lists!E$22,N($J44)))/$AO44,IF($AP44="M",$H44/$AO44*(IF(Lists!E$21&lt;$J44,0,MIN($AO44,(((YEAR(Lists!E$21)-YEAR($J44))*12+MONTH(Lists!E$21)-MONTH($J44))-(EDATE($J44,((YEAR(Lists!E$21)-YEAR($J44))*12+MONTH(Lists!E$21)-MONTH($J44)))&gt;Lists!E$21)+1)))-IF(Lists!E$22&lt;$J44,0,MIN($AO44,(((YEAR(Lists!E$22)-YEAR($J44))*12+MONTH(Lists!E$22)-MONTH($J44))-(EDATE($J44,((YEAR(Lists!E$22)-YEAR($J44))*12+MONTH(Lists!E$22)-MONTH($J44)))&gt;Lists!E$22)+1)))),IF($AP44="F",IF(N($K44)&lt;=0,0,MIN(MAX(0,$H44),N($K44)*IF(Lists!E$21&lt;$J44,0,(((YEAR(Lists!E$21)-YEAR($J44))*12+MONTH(Lists!E$21)-MONTH($J44))-(EDATE($J44,((YEAR(Lists!E$21)-YEAR($J44))*12+MONTH(Lists!E$21)-MONTH($J44)))&gt;Lists!E$21)+1)))-MIN(MAX(0,$H44),N($K44)*IF(Lists!E$22&lt;$J44,0,(((YEAR(Lists!E$22)-YEAR($J44))*12+MONTH(Lists!E$22)-MONTH($J44))-(EDATE($J44,((YEAR(Lists!E$22)-YEAR($J44))*12+MONTH(Lists!E$22)-MONTH($J44)))&gt;Lists!E$22)+1)))),N($C44)*IF($AE44-$AD44&lt;1,($AD44&gt;Lists!E$22)*($AD44&lt;=Lists!E$21),MAX(0,MIN(Lists!E$21,$AE44)-MAX(Lists!E$22,$AD44))/($AE44-$AD44))+N($D44)*IF($AG44-$AF44&lt;1,($AF44&gt;Lists!E$22)*($AF44&lt;=Lists!E$21),MAX(0,MIN(Lists!E$21,$AG44)-MAX(Lists!E$22,$AF44))/($AG44-$AF44))+N($E44)*IF($AI44-$AH44&lt;1,($AH44&gt;Lists!E$22)*($AH44&lt;=Lists!E$21),MAX(0,MIN(Lists!E$21,$AI44)-MAX(Lists!E$22,$AH44))/($AI44-$AH44))+N($F44)*IF($AK44-$AJ44&lt;1,($AJ44&gt;Lists!E$22)*($AJ44&lt;=Lists!E$21),MAX(0,MIN(Lists!E$21,$AK44)-MAX(Lists!E$22,$AJ44))/($AK44-$AJ44))+N($G44)*IF($AM44-$AL44&lt;1,($AL44&gt;Lists!E$22)*($AL44&lt;=Lists!E$21),MAX(0,MIN(Lists!E$21,$AM44)-MAX(Lists!E$22,$AL44))/($AM44-$AL44))))))))</f>
        <v>0</v>
      </c>
      <c r="P44" s="53" t="n">
        <f aca="false">IF($H44=0,0,IF($AP44="X",0,IF($AP44="S",$H44/$AO44*(MIN($AO44,MAX(0,INT((Lists!F$21-N($J44))/7)+1))-MIN($AO44,MAX(0,INT((Lists!F$22-N($J44))/7)+1))),IF($AP44="D",$H44*MAX(0,MIN(Lists!F$21,N($J44)+$AO44)-MAX(Lists!F$22,N($J44)))/$AO44,IF($AP44="M",$H44/$AO44*(IF(Lists!F$21&lt;$J44,0,MIN($AO44,(((YEAR(Lists!F$21)-YEAR($J44))*12+MONTH(Lists!F$21)-MONTH($J44))-(EDATE($J44,((YEAR(Lists!F$21)-YEAR($J44))*12+MONTH(Lists!F$21)-MONTH($J44)))&gt;Lists!F$21)+1)))-IF(Lists!F$22&lt;$J44,0,MIN($AO44,(((YEAR(Lists!F$22)-YEAR($J44))*12+MONTH(Lists!F$22)-MONTH($J44))-(EDATE($J44,((YEAR(Lists!F$22)-YEAR($J44))*12+MONTH(Lists!F$22)-MONTH($J44)))&gt;Lists!F$22)+1)))),IF($AP44="F",IF(N($K44)&lt;=0,0,MIN(MAX(0,$H44),N($K44)*IF(Lists!F$21&lt;$J44,0,(((YEAR(Lists!F$21)-YEAR($J44))*12+MONTH(Lists!F$21)-MONTH($J44))-(EDATE($J44,((YEAR(Lists!F$21)-YEAR($J44))*12+MONTH(Lists!F$21)-MONTH($J44)))&gt;Lists!F$21)+1)))-MIN(MAX(0,$H44),N($K44)*IF(Lists!F$22&lt;$J44,0,(((YEAR(Lists!F$22)-YEAR($J44))*12+MONTH(Lists!F$22)-MONTH($J44))-(EDATE($J44,((YEAR(Lists!F$22)-YEAR($J44))*12+MONTH(Lists!F$22)-MONTH($J44)))&gt;Lists!F$22)+1)))),N($C44)*IF($AE44-$AD44&lt;1,($AD44&gt;Lists!F$22)*($AD44&lt;=Lists!F$21),MAX(0,MIN(Lists!F$21,$AE44)-MAX(Lists!F$22,$AD44))/($AE44-$AD44))+N($D44)*IF($AG44-$AF44&lt;1,($AF44&gt;Lists!F$22)*($AF44&lt;=Lists!F$21),MAX(0,MIN(Lists!F$21,$AG44)-MAX(Lists!F$22,$AF44))/($AG44-$AF44))+N($E44)*IF($AI44-$AH44&lt;1,($AH44&gt;Lists!F$22)*($AH44&lt;=Lists!F$21),MAX(0,MIN(Lists!F$21,$AI44)-MAX(Lists!F$22,$AH44))/($AI44-$AH44))+N($F44)*IF($AK44-$AJ44&lt;1,($AJ44&gt;Lists!F$22)*($AJ44&lt;=Lists!F$21),MAX(0,MIN(Lists!F$21,$AK44)-MAX(Lists!F$22,$AJ44))/($AK44-$AJ44))+N($G44)*IF($AM44-$AL44&lt;1,($AL44&gt;Lists!F$22)*($AL44&lt;=Lists!F$21),MAX(0,MIN(Lists!F$21,$AM44)-MAX(Lists!F$22,$AL44))/($AM44-$AL44))))))))</f>
        <v>0</v>
      </c>
      <c r="Q44" s="53" t="n">
        <f aca="false">IF($H44=0,0,IF($AP44="X",0,IF($AP44="S",$H44/$AO44*(MIN($AO44,MAX(0,INT((Lists!G$21-N($J44))/7)+1))-MIN($AO44,MAX(0,INT((Lists!G$22-N($J44))/7)+1))),IF($AP44="D",$H44*MAX(0,MIN(Lists!G$21,N($J44)+$AO44)-MAX(Lists!G$22,N($J44)))/$AO44,IF($AP44="M",$H44/$AO44*(IF(Lists!G$21&lt;$J44,0,MIN($AO44,(((YEAR(Lists!G$21)-YEAR($J44))*12+MONTH(Lists!G$21)-MONTH($J44))-(EDATE($J44,((YEAR(Lists!G$21)-YEAR($J44))*12+MONTH(Lists!G$21)-MONTH($J44)))&gt;Lists!G$21)+1)))-IF(Lists!G$22&lt;$J44,0,MIN($AO44,(((YEAR(Lists!G$22)-YEAR($J44))*12+MONTH(Lists!G$22)-MONTH($J44))-(EDATE($J44,((YEAR(Lists!G$22)-YEAR($J44))*12+MONTH(Lists!G$22)-MONTH($J44)))&gt;Lists!G$22)+1)))),IF($AP44="F",IF(N($K44)&lt;=0,0,MIN(MAX(0,$H44),N($K44)*IF(Lists!G$21&lt;$J44,0,(((YEAR(Lists!G$21)-YEAR($J44))*12+MONTH(Lists!G$21)-MONTH($J44))-(EDATE($J44,((YEAR(Lists!G$21)-YEAR($J44))*12+MONTH(Lists!G$21)-MONTH($J44)))&gt;Lists!G$21)+1)))-MIN(MAX(0,$H44),N($K44)*IF(Lists!G$22&lt;$J44,0,(((YEAR(Lists!G$22)-YEAR($J44))*12+MONTH(Lists!G$22)-MONTH($J44))-(EDATE($J44,((YEAR(Lists!G$22)-YEAR($J44))*12+MONTH(Lists!G$22)-MONTH($J44)))&gt;Lists!G$22)+1)))),N($C44)*IF($AE44-$AD44&lt;1,($AD44&gt;Lists!G$22)*($AD44&lt;=Lists!G$21),MAX(0,MIN(Lists!G$21,$AE44)-MAX(Lists!G$22,$AD44))/($AE44-$AD44))+N($D44)*IF($AG44-$AF44&lt;1,($AF44&gt;Lists!G$22)*($AF44&lt;=Lists!G$21),MAX(0,MIN(Lists!G$21,$AG44)-MAX(Lists!G$22,$AF44))/($AG44-$AF44))+N($E44)*IF($AI44-$AH44&lt;1,($AH44&gt;Lists!G$22)*($AH44&lt;=Lists!G$21),MAX(0,MIN(Lists!G$21,$AI44)-MAX(Lists!G$22,$AH44))/($AI44-$AH44))+N($F44)*IF($AK44-$AJ44&lt;1,($AJ44&gt;Lists!G$22)*($AJ44&lt;=Lists!G$21),MAX(0,MIN(Lists!G$21,$AK44)-MAX(Lists!G$22,$AJ44))/($AK44-$AJ44))+N($G44)*IF($AM44-$AL44&lt;1,($AL44&gt;Lists!G$22)*($AL44&lt;=Lists!G$21),MAX(0,MIN(Lists!G$21,$AM44)-MAX(Lists!G$22,$AL44))/($AM44-$AL44))))))))</f>
        <v>0</v>
      </c>
      <c r="R44" s="53" t="n">
        <f aca="false">IF($H44=0,0,IF($AP44="X",0,IF($AP44="S",$H44/$AO44*(MIN($AO44,MAX(0,INT((Lists!H$21-N($J44))/7)+1))-MIN($AO44,MAX(0,INT((Lists!H$22-N($J44))/7)+1))),IF($AP44="D",$H44*MAX(0,MIN(Lists!H$21,N($J44)+$AO44)-MAX(Lists!H$22,N($J44)))/$AO44,IF($AP44="M",$H44/$AO44*(IF(Lists!H$21&lt;$J44,0,MIN($AO44,(((YEAR(Lists!H$21)-YEAR($J44))*12+MONTH(Lists!H$21)-MONTH($J44))-(EDATE($J44,((YEAR(Lists!H$21)-YEAR($J44))*12+MONTH(Lists!H$21)-MONTH($J44)))&gt;Lists!H$21)+1)))-IF(Lists!H$22&lt;$J44,0,MIN($AO44,(((YEAR(Lists!H$22)-YEAR($J44))*12+MONTH(Lists!H$22)-MONTH($J44))-(EDATE($J44,((YEAR(Lists!H$22)-YEAR($J44))*12+MONTH(Lists!H$22)-MONTH($J44)))&gt;Lists!H$22)+1)))),IF($AP44="F",IF(N($K44)&lt;=0,0,MIN(MAX(0,$H44),N($K44)*IF(Lists!H$21&lt;$J44,0,(((YEAR(Lists!H$21)-YEAR($J44))*12+MONTH(Lists!H$21)-MONTH($J44))-(EDATE($J44,((YEAR(Lists!H$21)-YEAR($J44))*12+MONTH(Lists!H$21)-MONTH($J44)))&gt;Lists!H$21)+1)))-MIN(MAX(0,$H44),N($K44)*IF(Lists!H$22&lt;$J44,0,(((YEAR(Lists!H$22)-YEAR($J44))*12+MONTH(Lists!H$22)-MONTH($J44))-(EDATE($J44,((YEAR(Lists!H$22)-YEAR($J44))*12+MONTH(Lists!H$22)-MONTH($J44)))&gt;Lists!H$22)+1)))),N($C44)*IF($AE44-$AD44&lt;1,($AD44&gt;Lists!H$22)*($AD44&lt;=Lists!H$21),MAX(0,MIN(Lists!H$21,$AE44)-MAX(Lists!H$22,$AD44))/($AE44-$AD44))+N($D44)*IF($AG44-$AF44&lt;1,($AF44&gt;Lists!H$22)*($AF44&lt;=Lists!H$21),MAX(0,MIN(Lists!H$21,$AG44)-MAX(Lists!H$22,$AF44))/($AG44-$AF44))+N($E44)*IF($AI44-$AH44&lt;1,($AH44&gt;Lists!H$22)*($AH44&lt;=Lists!H$21),MAX(0,MIN(Lists!H$21,$AI44)-MAX(Lists!H$22,$AH44))/($AI44-$AH44))+N($F44)*IF($AK44-$AJ44&lt;1,($AJ44&gt;Lists!H$22)*($AJ44&lt;=Lists!H$21),MAX(0,MIN(Lists!H$21,$AK44)-MAX(Lists!H$22,$AJ44))/($AK44-$AJ44))+N($G44)*IF($AM44-$AL44&lt;1,($AL44&gt;Lists!H$22)*($AL44&lt;=Lists!H$21),MAX(0,MIN(Lists!H$21,$AM44)-MAX(Lists!H$22,$AL44))/($AM44-$AL44))))))))</f>
        <v>0</v>
      </c>
      <c r="S44" s="53" t="n">
        <f aca="false">IF($H44=0,0,IF($AP44="X",0,IF($AP44="S",$H44/$AO44*(MIN($AO44,MAX(0,INT((Lists!I$21-N($J44))/7)+1))-MIN($AO44,MAX(0,INT((Lists!I$22-N($J44))/7)+1))),IF($AP44="D",$H44*MAX(0,MIN(Lists!I$21,N($J44)+$AO44)-MAX(Lists!I$22,N($J44)))/$AO44,IF($AP44="M",$H44/$AO44*(IF(Lists!I$21&lt;$J44,0,MIN($AO44,(((YEAR(Lists!I$21)-YEAR($J44))*12+MONTH(Lists!I$21)-MONTH($J44))-(EDATE($J44,((YEAR(Lists!I$21)-YEAR($J44))*12+MONTH(Lists!I$21)-MONTH($J44)))&gt;Lists!I$21)+1)))-IF(Lists!I$22&lt;$J44,0,MIN($AO44,(((YEAR(Lists!I$22)-YEAR($J44))*12+MONTH(Lists!I$22)-MONTH($J44))-(EDATE($J44,((YEAR(Lists!I$22)-YEAR($J44))*12+MONTH(Lists!I$22)-MONTH($J44)))&gt;Lists!I$22)+1)))),IF($AP44="F",IF(N($K44)&lt;=0,0,MIN(MAX(0,$H44),N($K44)*IF(Lists!I$21&lt;$J44,0,(((YEAR(Lists!I$21)-YEAR($J44))*12+MONTH(Lists!I$21)-MONTH($J44))-(EDATE($J44,((YEAR(Lists!I$21)-YEAR($J44))*12+MONTH(Lists!I$21)-MONTH($J44)))&gt;Lists!I$21)+1)))-MIN(MAX(0,$H44),N($K44)*IF(Lists!I$22&lt;$J44,0,(((YEAR(Lists!I$22)-YEAR($J44))*12+MONTH(Lists!I$22)-MONTH($J44))-(EDATE($J44,((YEAR(Lists!I$22)-YEAR($J44))*12+MONTH(Lists!I$22)-MONTH($J44)))&gt;Lists!I$22)+1)))),N($C44)*IF($AE44-$AD44&lt;1,($AD44&gt;Lists!I$22)*($AD44&lt;=Lists!I$21),MAX(0,MIN(Lists!I$21,$AE44)-MAX(Lists!I$22,$AD44))/($AE44-$AD44))+N($D44)*IF($AG44-$AF44&lt;1,($AF44&gt;Lists!I$22)*($AF44&lt;=Lists!I$21),MAX(0,MIN(Lists!I$21,$AG44)-MAX(Lists!I$22,$AF44))/($AG44-$AF44))+N($E44)*IF($AI44-$AH44&lt;1,($AH44&gt;Lists!I$22)*($AH44&lt;=Lists!I$21),MAX(0,MIN(Lists!I$21,$AI44)-MAX(Lists!I$22,$AH44))/($AI44-$AH44))+N($F44)*IF($AK44-$AJ44&lt;1,($AJ44&gt;Lists!I$22)*($AJ44&lt;=Lists!I$21),MAX(0,MIN(Lists!I$21,$AK44)-MAX(Lists!I$22,$AJ44))/($AK44-$AJ44))+N($G44)*IF($AM44-$AL44&lt;1,($AL44&gt;Lists!I$22)*($AL44&lt;=Lists!I$21),MAX(0,MIN(Lists!I$21,$AM44)-MAX(Lists!I$22,$AL44))/($AM44-$AL44))))))))</f>
        <v>0</v>
      </c>
      <c r="T44" s="53" t="n">
        <f aca="false">IF($H44=0,0,IF($AP44="X",0,IF($AP44="S",$H44/$AO44*(MIN($AO44,MAX(0,INT((Lists!J$21-N($J44))/7)+1))-MIN($AO44,MAX(0,INT((Lists!J$22-N($J44))/7)+1))),IF($AP44="D",$H44*MAX(0,MIN(Lists!J$21,N($J44)+$AO44)-MAX(Lists!J$22,N($J44)))/$AO44,IF($AP44="M",$H44/$AO44*(IF(Lists!J$21&lt;$J44,0,MIN($AO44,(((YEAR(Lists!J$21)-YEAR($J44))*12+MONTH(Lists!J$21)-MONTH($J44))-(EDATE($J44,((YEAR(Lists!J$21)-YEAR($J44))*12+MONTH(Lists!J$21)-MONTH($J44)))&gt;Lists!J$21)+1)))-IF(Lists!J$22&lt;$J44,0,MIN($AO44,(((YEAR(Lists!J$22)-YEAR($J44))*12+MONTH(Lists!J$22)-MONTH($J44))-(EDATE($J44,((YEAR(Lists!J$22)-YEAR($J44))*12+MONTH(Lists!J$22)-MONTH($J44)))&gt;Lists!J$22)+1)))),IF($AP44="F",IF(N($K44)&lt;=0,0,MIN(MAX(0,$H44),N($K44)*IF(Lists!J$21&lt;$J44,0,(((YEAR(Lists!J$21)-YEAR($J44))*12+MONTH(Lists!J$21)-MONTH($J44))-(EDATE($J44,((YEAR(Lists!J$21)-YEAR($J44))*12+MONTH(Lists!J$21)-MONTH($J44)))&gt;Lists!J$21)+1)))-MIN(MAX(0,$H44),N($K44)*IF(Lists!J$22&lt;$J44,0,(((YEAR(Lists!J$22)-YEAR($J44))*12+MONTH(Lists!J$22)-MONTH($J44))-(EDATE($J44,((YEAR(Lists!J$22)-YEAR($J44))*12+MONTH(Lists!J$22)-MONTH($J44)))&gt;Lists!J$22)+1)))),N($C44)*IF($AE44-$AD44&lt;1,($AD44&gt;Lists!J$22)*($AD44&lt;=Lists!J$21),MAX(0,MIN(Lists!J$21,$AE44)-MAX(Lists!J$22,$AD44))/($AE44-$AD44))+N($D44)*IF($AG44-$AF44&lt;1,($AF44&gt;Lists!J$22)*($AF44&lt;=Lists!J$21),MAX(0,MIN(Lists!J$21,$AG44)-MAX(Lists!J$22,$AF44))/($AG44-$AF44))+N($E44)*IF($AI44-$AH44&lt;1,($AH44&gt;Lists!J$22)*($AH44&lt;=Lists!J$21),MAX(0,MIN(Lists!J$21,$AI44)-MAX(Lists!J$22,$AH44))/($AI44-$AH44))+N($F44)*IF($AK44-$AJ44&lt;1,($AJ44&gt;Lists!J$22)*($AJ44&lt;=Lists!J$21),MAX(0,MIN(Lists!J$21,$AK44)-MAX(Lists!J$22,$AJ44))/($AK44-$AJ44))+N($G44)*IF($AM44-$AL44&lt;1,($AL44&gt;Lists!J$22)*($AL44&lt;=Lists!J$21),MAX(0,MIN(Lists!J$21,$AM44)-MAX(Lists!J$22,$AL44))/($AM44-$AL44))))))))</f>
        <v>0</v>
      </c>
      <c r="U44" s="53" t="n">
        <f aca="false">IF($H44=0,0,IF($AP44="X",0,IF($AP44="S",$H44/$AO44*(MIN($AO44,MAX(0,INT((Lists!K$21-N($J44))/7)+1))-MIN($AO44,MAX(0,INT((Lists!K$22-N($J44))/7)+1))),IF($AP44="D",$H44*MAX(0,MIN(Lists!K$21,N($J44)+$AO44)-MAX(Lists!K$22,N($J44)))/$AO44,IF($AP44="M",$H44/$AO44*(IF(Lists!K$21&lt;$J44,0,MIN($AO44,(((YEAR(Lists!K$21)-YEAR($J44))*12+MONTH(Lists!K$21)-MONTH($J44))-(EDATE($J44,((YEAR(Lists!K$21)-YEAR($J44))*12+MONTH(Lists!K$21)-MONTH($J44)))&gt;Lists!K$21)+1)))-IF(Lists!K$22&lt;$J44,0,MIN($AO44,(((YEAR(Lists!K$22)-YEAR($J44))*12+MONTH(Lists!K$22)-MONTH($J44))-(EDATE($J44,((YEAR(Lists!K$22)-YEAR($J44))*12+MONTH(Lists!K$22)-MONTH($J44)))&gt;Lists!K$22)+1)))),IF($AP44="F",IF(N($K44)&lt;=0,0,MIN(MAX(0,$H44),N($K44)*IF(Lists!K$21&lt;$J44,0,(((YEAR(Lists!K$21)-YEAR($J44))*12+MONTH(Lists!K$21)-MONTH($J44))-(EDATE($J44,((YEAR(Lists!K$21)-YEAR($J44))*12+MONTH(Lists!K$21)-MONTH($J44)))&gt;Lists!K$21)+1)))-MIN(MAX(0,$H44),N($K44)*IF(Lists!K$22&lt;$J44,0,(((YEAR(Lists!K$22)-YEAR($J44))*12+MONTH(Lists!K$22)-MONTH($J44))-(EDATE($J44,((YEAR(Lists!K$22)-YEAR($J44))*12+MONTH(Lists!K$22)-MONTH($J44)))&gt;Lists!K$22)+1)))),N($C44)*IF($AE44-$AD44&lt;1,($AD44&gt;Lists!K$22)*($AD44&lt;=Lists!K$21),MAX(0,MIN(Lists!K$21,$AE44)-MAX(Lists!K$22,$AD44))/($AE44-$AD44))+N($D44)*IF($AG44-$AF44&lt;1,($AF44&gt;Lists!K$22)*($AF44&lt;=Lists!K$21),MAX(0,MIN(Lists!K$21,$AG44)-MAX(Lists!K$22,$AF44))/($AG44-$AF44))+N($E44)*IF($AI44-$AH44&lt;1,($AH44&gt;Lists!K$22)*($AH44&lt;=Lists!K$21),MAX(0,MIN(Lists!K$21,$AI44)-MAX(Lists!K$22,$AH44))/($AI44-$AH44))+N($F44)*IF($AK44-$AJ44&lt;1,($AJ44&gt;Lists!K$22)*($AJ44&lt;=Lists!K$21),MAX(0,MIN(Lists!K$21,$AK44)-MAX(Lists!K$22,$AJ44))/($AK44-$AJ44))+N($G44)*IF($AM44-$AL44&lt;1,($AL44&gt;Lists!K$22)*($AL44&lt;=Lists!K$21),MAX(0,MIN(Lists!K$21,$AM44)-MAX(Lists!K$22,$AL44))/($AM44-$AL44))))))))</f>
        <v>0</v>
      </c>
      <c r="V44" s="53" t="n">
        <f aca="false">IF($H44=0,0,IF($AP44="X",0,IF($AP44="S",$H44/$AO44*(MIN($AO44,MAX(0,INT((Lists!L$21-N($J44))/7)+1))-MIN($AO44,MAX(0,INT((Lists!L$22-N($J44))/7)+1))),IF($AP44="D",$H44*MAX(0,MIN(Lists!L$21,N($J44)+$AO44)-MAX(Lists!L$22,N($J44)))/$AO44,IF($AP44="M",$H44/$AO44*(IF(Lists!L$21&lt;$J44,0,MIN($AO44,(((YEAR(Lists!L$21)-YEAR($J44))*12+MONTH(Lists!L$21)-MONTH($J44))-(EDATE($J44,((YEAR(Lists!L$21)-YEAR($J44))*12+MONTH(Lists!L$21)-MONTH($J44)))&gt;Lists!L$21)+1)))-IF(Lists!L$22&lt;$J44,0,MIN($AO44,(((YEAR(Lists!L$22)-YEAR($J44))*12+MONTH(Lists!L$22)-MONTH($J44))-(EDATE($J44,((YEAR(Lists!L$22)-YEAR($J44))*12+MONTH(Lists!L$22)-MONTH($J44)))&gt;Lists!L$22)+1)))),IF($AP44="F",IF(N($K44)&lt;=0,0,MIN(MAX(0,$H44),N($K44)*IF(Lists!L$21&lt;$J44,0,(((YEAR(Lists!L$21)-YEAR($J44))*12+MONTH(Lists!L$21)-MONTH($J44))-(EDATE($J44,((YEAR(Lists!L$21)-YEAR($J44))*12+MONTH(Lists!L$21)-MONTH($J44)))&gt;Lists!L$21)+1)))-MIN(MAX(0,$H44),N($K44)*IF(Lists!L$22&lt;$J44,0,(((YEAR(Lists!L$22)-YEAR($J44))*12+MONTH(Lists!L$22)-MONTH($J44))-(EDATE($J44,((YEAR(Lists!L$22)-YEAR($J44))*12+MONTH(Lists!L$22)-MONTH($J44)))&gt;Lists!L$22)+1)))),N($C44)*IF($AE44-$AD44&lt;1,($AD44&gt;Lists!L$22)*($AD44&lt;=Lists!L$21),MAX(0,MIN(Lists!L$21,$AE44)-MAX(Lists!L$22,$AD44))/($AE44-$AD44))+N($D44)*IF($AG44-$AF44&lt;1,($AF44&gt;Lists!L$22)*($AF44&lt;=Lists!L$21),MAX(0,MIN(Lists!L$21,$AG44)-MAX(Lists!L$22,$AF44))/($AG44-$AF44))+N($E44)*IF($AI44-$AH44&lt;1,($AH44&gt;Lists!L$22)*($AH44&lt;=Lists!L$21),MAX(0,MIN(Lists!L$21,$AI44)-MAX(Lists!L$22,$AH44))/($AI44-$AH44))+N($F44)*IF($AK44-$AJ44&lt;1,($AJ44&gt;Lists!L$22)*($AJ44&lt;=Lists!L$21),MAX(0,MIN(Lists!L$21,$AK44)-MAX(Lists!L$22,$AJ44))/($AK44-$AJ44))+N($G44)*IF($AM44-$AL44&lt;1,($AL44&gt;Lists!L$22)*($AL44&lt;=Lists!L$21),MAX(0,MIN(Lists!L$21,$AM44)-MAX(Lists!L$22,$AL44))/($AM44-$AL44))))))))</f>
        <v>0</v>
      </c>
      <c r="W44" s="53" t="n">
        <f aca="false">IF($H44=0,0,IF($AP44="X",0,IF($AP44="S",$H44/$AO44*(MIN($AO44,MAX(0,INT((Lists!M$21-N($J44))/7)+1))-MIN($AO44,MAX(0,INT((Lists!M$22-N($J44))/7)+1))),IF($AP44="D",$H44*MAX(0,MIN(Lists!M$21,N($J44)+$AO44)-MAX(Lists!M$22,N($J44)))/$AO44,IF($AP44="M",$H44/$AO44*(IF(Lists!M$21&lt;$J44,0,MIN($AO44,(((YEAR(Lists!M$21)-YEAR($J44))*12+MONTH(Lists!M$21)-MONTH($J44))-(EDATE($J44,((YEAR(Lists!M$21)-YEAR($J44))*12+MONTH(Lists!M$21)-MONTH($J44)))&gt;Lists!M$21)+1)))-IF(Lists!M$22&lt;$J44,0,MIN($AO44,(((YEAR(Lists!M$22)-YEAR($J44))*12+MONTH(Lists!M$22)-MONTH($J44))-(EDATE($J44,((YEAR(Lists!M$22)-YEAR($J44))*12+MONTH(Lists!M$22)-MONTH($J44)))&gt;Lists!M$22)+1)))),IF($AP44="F",IF(N($K44)&lt;=0,0,MIN(MAX(0,$H44),N($K44)*IF(Lists!M$21&lt;$J44,0,(((YEAR(Lists!M$21)-YEAR($J44))*12+MONTH(Lists!M$21)-MONTH($J44))-(EDATE($J44,((YEAR(Lists!M$21)-YEAR($J44))*12+MONTH(Lists!M$21)-MONTH($J44)))&gt;Lists!M$21)+1)))-MIN(MAX(0,$H44),N($K44)*IF(Lists!M$22&lt;$J44,0,(((YEAR(Lists!M$22)-YEAR($J44))*12+MONTH(Lists!M$22)-MONTH($J44))-(EDATE($J44,((YEAR(Lists!M$22)-YEAR($J44))*12+MONTH(Lists!M$22)-MONTH($J44)))&gt;Lists!M$22)+1)))),N($C44)*IF($AE44-$AD44&lt;1,($AD44&gt;Lists!M$22)*($AD44&lt;=Lists!M$21),MAX(0,MIN(Lists!M$21,$AE44)-MAX(Lists!M$22,$AD44))/($AE44-$AD44))+N($D44)*IF($AG44-$AF44&lt;1,($AF44&gt;Lists!M$22)*($AF44&lt;=Lists!M$21),MAX(0,MIN(Lists!M$21,$AG44)-MAX(Lists!M$22,$AF44))/($AG44-$AF44))+N($E44)*IF($AI44-$AH44&lt;1,($AH44&gt;Lists!M$22)*($AH44&lt;=Lists!M$21),MAX(0,MIN(Lists!M$21,$AI44)-MAX(Lists!M$22,$AH44))/($AI44-$AH44))+N($F44)*IF($AK44-$AJ44&lt;1,($AJ44&gt;Lists!M$22)*($AJ44&lt;=Lists!M$21),MAX(0,MIN(Lists!M$21,$AK44)-MAX(Lists!M$22,$AJ44))/($AK44-$AJ44))+N($G44)*IF($AM44-$AL44&lt;1,($AL44&gt;Lists!M$22)*($AL44&lt;=Lists!M$21),MAX(0,MIN(Lists!M$21,$AM44)-MAX(Lists!M$22,$AL44))/($AM44-$AL44))))))))</f>
        <v>0</v>
      </c>
      <c r="X44" s="53" t="n">
        <f aca="false">IF($H44=0,0,IF($AP44="X",0,IF($AP44="S",$H44/$AO44*(MIN($AO44,MAX(0,INT((Lists!N$21-N($J44))/7)+1))-MIN($AO44,MAX(0,INT((Lists!N$22-N($J44))/7)+1))),IF($AP44="D",$H44*MAX(0,MIN(Lists!N$21,N($J44)+$AO44)-MAX(Lists!N$22,N($J44)))/$AO44,IF($AP44="M",$H44/$AO44*(IF(Lists!N$21&lt;$J44,0,MIN($AO44,(((YEAR(Lists!N$21)-YEAR($J44))*12+MONTH(Lists!N$21)-MONTH($J44))-(EDATE($J44,((YEAR(Lists!N$21)-YEAR($J44))*12+MONTH(Lists!N$21)-MONTH($J44)))&gt;Lists!N$21)+1)))-IF(Lists!N$22&lt;$J44,0,MIN($AO44,(((YEAR(Lists!N$22)-YEAR($J44))*12+MONTH(Lists!N$22)-MONTH($J44))-(EDATE($J44,((YEAR(Lists!N$22)-YEAR($J44))*12+MONTH(Lists!N$22)-MONTH($J44)))&gt;Lists!N$22)+1)))),IF($AP44="F",IF(N($K44)&lt;=0,0,MIN(MAX(0,$H44),N($K44)*IF(Lists!N$21&lt;$J44,0,(((YEAR(Lists!N$21)-YEAR($J44))*12+MONTH(Lists!N$21)-MONTH($J44))-(EDATE($J44,((YEAR(Lists!N$21)-YEAR($J44))*12+MONTH(Lists!N$21)-MONTH($J44)))&gt;Lists!N$21)+1)))-MIN(MAX(0,$H44),N($K44)*IF(Lists!N$22&lt;$J44,0,(((YEAR(Lists!N$22)-YEAR($J44))*12+MONTH(Lists!N$22)-MONTH($J44))-(EDATE($J44,((YEAR(Lists!N$22)-YEAR($J44))*12+MONTH(Lists!N$22)-MONTH($J44)))&gt;Lists!N$22)+1)))),N($C44)*IF($AE44-$AD44&lt;1,($AD44&gt;Lists!N$22)*($AD44&lt;=Lists!N$21),MAX(0,MIN(Lists!N$21,$AE44)-MAX(Lists!N$22,$AD44))/($AE44-$AD44))+N($D44)*IF($AG44-$AF44&lt;1,($AF44&gt;Lists!N$22)*($AF44&lt;=Lists!N$21),MAX(0,MIN(Lists!N$21,$AG44)-MAX(Lists!N$22,$AF44))/($AG44-$AF44))+N($E44)*IF($AI44-$AH44&lt;1,($AH44&gt;Lists!N$22)*($AH44&lt;=Lists!N$21),MAX(0,MIN(Lists!N$21,$AI44)-MAX(Lists!N$22,$AH44))/($AI44-$AH44))+N($F44)*IF($AK44-$AJ44&lt;1,($AJ44&gt;Lists!N$22)*($AJ44&lt;=Lists!N$21),MAX(0,MIN(Lists!N$21,$AK44)-MAX(Lists!N$22,$AJ44))/($AK44-$AJ44))+N($G44)*IF($AM44-$AL44&lt;1,($AL44&gt;Lists!N$22)*($AL44&lt;=Lists!N$21),MAX(0,MIN(Lists!N$21,$AM44)-MAX(Lists!N$22,$AL44))/($AM44-$AL44))))))))</f>
        <v>0</v>
      </c>
      <c r="Y44" s="53" t="n">
        <f aca="false">IF($H44=0,0,IF($AP44="X",0,IF($AP44="S",$H44/$AO44*(MIN($AO44,MAX(0,INT((Lists!O$21-N($J44))/7)+1))-MIN($AO44,MAX(0,INT((Lists!O$22-N($J44))/7)+1))),IF($AP44="D",$H44*MAX(0,MIN(Lists!O$21,N($J44)+$AO44)-MAX(Lists!O$22,N($J44)))/$AO44,IF($AP44="M",$H44/$AO44*(IF(Lists!O$21&lt;$J44,0,MIN($AO44,(((YEAR(Lists!O$21)-YEAR($J44))*12+MONTH(Lists!O$21)-MONTH($J44))-(EDATE($J44,((YEAR(Lists!O$21)-YEAR($J44))*12+MONTH(Lists!O$21)-MONTH($J44)))&gt;Lists!O$21)+1)))-IF(Lists!O$22&lt;$J44,0,MIN($AO44,(((YEAR(Lists!O$22)-YEAR($J44))*12+MONTH(Lists!O$22)-MONTH($J44))-(EDATE($J44,((YEAR(Lists!O$22)-YEAR($J44))*12+MONTH(Lists!O$22)-MONTH($J44)))&gt;Lists!O$22)+1)))),IF($AP44="F",IF(N($K44)&lt;=0,0,MIN(MAX(0,$H44),N($K44)*IF(Lists!O$21&lt;$J44,0,(((YEAR(Lists!O$21)-YEAR($J44))*12+MONTH(Lists!O$21)-MONTH($J44))-(EDATE($J44,((YEAR(Lists!O$21)-YEAR($J44))*12+MONTH(Lists!O$21)-MONTH($J44)))&gt;Lists!O$21)+1)))-MIN(MAX(0,$H44),N($K44)*IF(Lists!O$22&lt;$J44,0,(((YEAR(Lists!O$22)-YEAR($J44))*12+MONTH(Lists!O$22)-MONTH($J44))-(EDATE($J44,((YEAR(Lists!O$22)-YEAR($J44))*12+MONTH(Lists!O$22)-MONTH($J44)))&gt;Lists!O$22)+1)))),N($C44)*IF($AE44-$AD44&lt;1,($AD44&gt;Lists!O$22)*($AD44&lt;=Lists!O$21),MAX(0,MIN(Lists!O$21,$AE44)-MAX(Lists!O$22,$AD44))/($AE44-$AD44))+N($D44)*IF($AG44-$AF44&lt;1,($AF44&gt;Lists!O$22)*($AF44&lt;=Lists!O$21),MAX(0,MIN(Lists!O$21,$AG44)-MAX(Lists!O$22,$AF44))/($AG44-$AF44))+N($E44)*IF($AI44-$AH44&lt;1,($AH44&gt;Lists!O$22)*($AH44&lt;=Lists!O$21),MAX(0,MIN(Lists!O$21,$AI44)-MAX(Lists!O$22,$AH44))/($AI44-$AH44))+N($F44)*IF($AK44-$AJ44&lt;1,($AJ44&gt;Lists!O$22)*($AJ44&lt;=Lists!O$21),MAX(0,MIN(Lists!O$21,$AK44)-MAX(Lists!O$22,$AJ44))/($AK44-$AJ44))+N($G44)*IF($AM44-$AL44&lt;1,($AL44&gt;Lists!O$22)*($AL44&lt;=Lists!O$21),MAX(0,MIN(Lists!O$21,$AM44)-MAX(Lists!O$22,$AL44))/($AM44-$AL44))))))))</f>
        <v>0</v>
      </c>
      <c r="Z44" s="46" t="n">
        <f aca="false">SUM(M44:Y44)</f>
        <v>0</v>
      </c>
      <c r="AA44" s="92" t="n">
        <f aca="false">H44-Z44</f>
        <v>0</v>
      </c>
      <c r="AB44" s="55"/>
      <c r="AC44" s="2"/>
      <c r="AD44" s="93" t="n">
        <f aca="false">Setup!$D$10+MAX(0,$AN44-30)</f>
        <v>46345</v>
      </c>
      <c r="AE44" s="93" t="n">
        <f aca="false">Setup!$D$10+IF($AN44-30&lt;0,MAX(Setup!$D$22,$AN44-0),$AN44-0)</f>
        <v>46375</v>
      </c>
      <c r="AF44" s="93" t="n">
        <f aca="false">Setup!$D$10+MAX(0,$AN44-60)</f>
        <v>46335</v>
      </c>
      <c r="AG44" s="93" t="n">
        <f aca="false">Setup!$D$10+IF($AN44-60&lt;0,MAX(Setup!$D$22,$AN44-31),$AN44-31)</f>
        <v>46363</v>
      </c>
      <c r="AH44" s="93" t="n">
        <f aca="false">Setup!$D$10+MAX(0,$AN44-90)</f>
        <v>46335</v>
      </c>
      <c r="AI44" s="93" t="n">
        <f aca="false">Setup!$D$10+IF($AN44-90&lt;0,MAX(Setup!$D$22,$AN44-61),$AN44-61)</f>
        <v>46363</v>
      </c>
      <c r="AJ44" s="93" t="n">
        <f aca="false">Setup!$D$10+MAX(0,$AN44-120)</f>
        <v>46335</v>
      </c>
      <c r="AK44" s="93" t="n">
        <f aca="false">Setup!$D$10+IF($AN44-120&lt;0,MAX(Setup!$D$22,$AN44-91),$AN44-91)</f>
        <v>46363</v>
      </c>
      <c r="AL44" s="93" t="n">
        <f aca="false">Setup!$D$10</f>
        <v>46335</v>
      </c>
      <c r="AM44" s="93" t="n">
        <f aca="false">IF(AL44=2958465,AL44,Setup!$D$10+Setup!$D$22)</f>
        <v>46363</v>
      </c>
      <c r="AN44" s="94" t="n">
        <f aca="false">IF(N(L44)=0,Setup!$D$21,L44)</f>
        <v>40</v>
      </c>
      <c r="AO44" s="94" t="n">
        <f aca="false">MAX(1,ROUND(N(K44),0))</f>
        <v>1</v>
      </c>
      <c r="AP44" s="95" t="str">
        <f aca="false">IF(I44="On hold","X",IF(N(J44)=0,"A",IF(I44="Specific date","S",IF(I44="Spread over days","D",IF(I44="Monthly on set day","M",IF(I44="Monthly fixed amount","F","A"))))))</f>
        <v>A</v>
      </c>
    </row>
    <row r="45" customFormat="false" ht="15" hidden="false" customHeight="false" outlineLevel="0" collapsed="false">
      <c r="A45" s="87" t="n">
        <v>37</v>
      </c>
      <c r="B45" s="55"/>
      <c r="C45" s="88"/>
      <c r="D45" s="88"/>
      <c r="E45" s="88"/>
      <c r="F45" s="88"/>
      <c r="G45" s="88"/>
      <c r="H45" s="89" t="n">
        <f aca="false">SUM(C45:G45)</f>
        <v>0</v>
      </c>
      <c r="I45" s="58"/>
      <c r="J45" s="90"/>
      <c r="K45" s="91"/>
      <c r="L45" s="80"/>
      <c r="M45" s="53" t="n">
        <f aca="false">IF($H45=0,0,IF($AP45="X",0,IF($AP45="S",$H45/$AO45*(MIN($AO45,MAX(0,INT((Lists!C$21-N($J45))/7)+1))-MIN($AO45,MAX(0,INT((Lists!C$22-N($J45))/7)+1))),IF($AP45="D",$H45*MAX(0,MIN(Lists!C$21,N($J45)+$AO45)-MAX(Lists!C$22,N($J45)))/$AO45,IF($AP45="M",$H45/$AO45*(IF(Lists!C$21&lt;$J45,0,MIN($AO45,(((YEAR(Lists!C$21)-YEAR($J45))*12+MONTH(Lists!C$21)-MONTH($J45))-(EDATE($J45,((YEAR(Lists!C$21)-YEAR($J45))*12+MONTH(Lists!C$21)-MONTH($J45)))&gt;Lists!C$21)+1)))-IF(Lists!C$22&lt;$J45,0,MIN($AO45,(((YEAR(Lists!C$22)-YEAR($J45))*12+MONTH(Lists!C$22)-MONTH($J45))-(EDATE($J45,((YEAR(Lists!C$22)-YEAR($J45))*12+MONTH(Lists!C$22)-MONTH($J45)))&gt;Lists!C$22)+1)))),IF($AP45="F",IF(N($K45)&lt;=0,0,MIN(MAX(0,$H45),N($K45)*IF(Lists!C$21&lt;$J45,0,(((YEAR(Lists!C$21)-YEAR($J45))*12+MONTH(Lists!C$21)-MONTH($J45))-(EDATE($J45,((YEAR(Lists!C$21)-YEAR($J45))*12+MONTH(Lists!C$21)-MONTH($J45)))&gt;Lists!C$21)+1)))-MIN(MAX(0,$H45),N($K45)*IF(Lists!C$22&lt;$J45,0,(((YEAR(Lists!C$22)-YEAR($J45))*12+MONTH(Lists!C$22)-MONTH($J45))-(EDATE($J45,((YEAR(Lists!C$22)-YEAR($J45))*12+MONTH(Lists!C$22)-MONTH($J45)))&gt;Lists!C$22)+1)))),N($C45)*IF($AE45-$AD45&lt;1,($AD45&gt;Lists!C$22)*($AD45&lt;=Lists!C$21),MAX(0,MIN(Lists!C$21,$AE45)-MAX(Lists!C$22,$AD45))/($AE45-$AD45))+N($D45)*IF($AG45-$AF45&lt;1,($AF45&gt;Lists!C$22)*($AF45&lt;=Lists!C$21),MAX(0,MIN(Lists!C$21,$AG45)-MAX(Lists!C$22,$AF45))/($AG45-$AF45))+N($E45)*IF($AI45-$AH45&lt;1,($AH45&gt;Lists!C$22)*($AH45&lt;=Lists!C$21),MAX(0,MIN(Lists!C$21,$AI45)-MAX(Lists!C$22,$AH45))/($AI45-$AH45))+N($F45)*IF($AK45-$AJ45&lt;1,($AJ45&gt;Lists!C$22)*($AJ45&lt;=Lists!C$21),MAX(0,MIN(Lists!C$21,$AK45)-MAX(Lists!C$22,$AJ45))/($AK45-$AJ45))+N($G45)*IF($AM45-$AL45&lt;1,($AL45&gt;Lists!C$22)*($AL45&lt;=Lists!C$21),MAX(0,MIN(Lists!C$21,$AM45)-MAX(Lists!C$22,$AL45))/($AM45-$AL45))))))))</f>
        <v>0</v>
      </c>
      <c r="N45" s="53" t="n">
        <f aca="false">IF($H45=0,0,IF($AP45="X",0,IF($AP45="S",$H45/$AO45*(MIN($AO45,MAX(0,INT((Lists!D$21-N($J45))/7)+1))-MIN($AO45,MAX(0,INT((Lists!D$22-N($J45))/7)+1))),IF($AP45="D",$H45*MAX(0,MIN(Lists!D$21,N($J45)+$AO45)-MAX(Lists!D$22,N($J45)))/$AO45,IF($AP45="M",$H45/$AO45*(IF(Lists!D$21&lt;$J45,0,MIN($AO45,(((YEAR(Lists!D$21)-YEAR($J45))*12+MONTH(Lists!D$21)-MONTH($J45))-(EDATE($J45,((YEAR(Lists!D$21)-YEAR($J45))*12+MONTH(Lists!D$21)-MONTH($J45)))&gt;Lists!D$21)+1)))-IF(Lists!D$22&lt;$J45,0,MIN($AO45,(((YEAR(Lists!D$22)-YEAR($J45))*12+MONTH(Lists!D$22)-MONTH($J45))-(EDATE($J45,((YEAR(Lists!D$22)-YEAR($J45))*12+MONTH(Lists!D$22)-MONTH($J45)))&gt;Lists!D$22)+1)))),IF($AP45="F",IF(N($K45)&lt;=0,0,MIN(MAX(0,$H45),N($K45)*IF(Lists!D$21&lt;$J45,0,(((YEAR(Lists!D$21)-YEAR($J45))*12+MONTH(Lists!D$21)-MONTH($J45))-(EDATE($J45,((YEAR(Lists!D$21)-YEAR($J45))*12+MONTH(Lists!D$21)-MONTH($J45)))&gt;Lists!D$21)+1)))-MIN(MAX(0,$H45),N($K45)*IF(Lists!D$22&lt;$J45,0,(((YEAR(Lists!D$22)-YEAR($J45))*12+MONTH(Lists!D$22)-MONTH($J45))-(EDATE($J45,((YEAR(Lists!D$22)-YEAR($J45))*12+MONTH(Lists!D$22)-MONTH($J45)))&gt;Lists!D$22)+1)))),N($C45)*IF($AE45-$AD45&lt;1,($AD45&gt;Lists!D$22)*($AD45&lt;=Lists!D$21),MAX(0,MIN(Lists!D$21,$AE45)-MAX(Lists!D$22,$AD45))/($AE45-$AD45))+N($D45)*IF($AG45-$AF45&lt;1,($AF45&gt;Lists!D$22)*($AF45&lt;=Lists!D$21),MAX(0,MIN(Lists!D$21,$AG45)-MAX(Lists!D$22,$AF45))/($AG45-$AF45))+N($E45)*IF($AI45-$AH45&lt;1,($AH45&gt;Lists!D$22)*($AH45&lt;=Lists!D$21),MAX(0,MIN(Lists!D$21,$AI45)-MAX(Lists!D$22,$AH45))/($AI45-$AH45))+N($F45)*IF($AK45-$AJ45&lt;1,($AJ45&gt;Lists!D$22)*($AJ45&lt;=Lists!D$21),MAX(0,MIN(Lists!D$21,$AK45)-MAX(Lists!D$22,$AJ45))/($AK45-$AJ45))+N($G45)*IF($AM45-$AL45&lt;1,($AL45&gt;Lists!D$22)*($AL45&lt;=Lists!D$21),MAX(0,MIN(Lists!D$21,$AM45)-MAX(Lists!D$22,$AL45))/($AM45-$AL45))))))))</f>
        <v>0</v>
      </c>
      <c r="O45" s="53" t="n">
        <f aca="false">IF($H45=0,0,IF($AP45="X",0,IF($AP45="S",$H45/$AO45*(MIN($AO45,MAX(0,INT((Lists!E$21-N($J45))/7)+1))-MIN($AO45,MAX(0,INT((Lists!E$22-N($J45))/7)+1))),IF($AP45="D",$H45*MAX(0,MIN(Lists!E$21,N($J45)+$AO45)-MAX(Lists!E$22,N($J45)))/$AO45,IF($AP45="M",$H45/$AO45*(IF(Lists!E$21&lt;$J45,0,MIN($AO45,(((YEAR(Lists!E$21)-YEAR($J45))*12+MONTH(Lists!E$21)-MONTH($J45))-(EDATE($J45,((YEAR(Lists!E$21)-YEAR($J45))*12+MONTH(Lists!E$21)-MONTH($J45)))&gt;Lists!E$21)+1)))-IF(Lists!E$22&lt;$J45,0,MIN($AO45,(((YEAR(Lists!E$22)-YEAR($J45))*12+MONTH(Lists!E$22)-MONTH($J45))-(EDATE($J45,((YEAR(Lists!E$22)-YEAR($J45))*12+MONTH(Lists!E$22)-MONTH($J45)))&gt;Lists!E$22)+1)))),IF($AP45="F",IF(N($K45)&lt;=0,0,MIN(MAX(0,$H45),N($K45)*IF(Lists!E$21&lt;$J45,0,(((YEAR(Lists!E$21)-YEAR($J45))*12+MONTH(Lists!E$21)-MONTH($J45))-(EDATE($J45,((YEAR(Lists!E$21)-YEAR($J45))*12+MONTH(Lists!E$21)-MONTH($J45)))&gt;Lists!E$21)+1)))-MIN(MAX(0,$H45),N($K45)*IF(Lists!E$22&lt;$J45,0,(((YEAR(Lists!E$22)-YEAR($J45))*12+MONTH(Lists!E$22)-MONTH($J45))-(EDATE($J45,((YEAR(Lists!E$22)-YEAR($J45))*12+MONTH(Lists!E$22)-MONTH($J45)))&gt;Lists!E$22)+1)))),N($C45)*IF($AE45-$AD45&lt;1,($AD45&gt;Lists!E$22)*($AD45&lt;=Lists!E$21),MAX(0,MIN(Lists!E$21,$AE45)-MAX(Lists!E$22,$AD45))/($AE45-$AD45))+N($D45)*IF($AG45-$AF45&lt;1,($AF45&gt;Lists!E$22)*($AF45&lt;=Lists!E$21),MAX(0,MIN(Lists!E$21,$AG45)-MAX(Lists!E$22,$AF45))/($AG45-$AF45))+N($E45)*IF($AI45-$AH45&lt;1,($AH45&gt;Lists!E$22)*($AH45&lt;=Lists!E$21),MAX(0,MIN(Lists!E$21,$AI45)-MAX(Lists!E$22,$AH45))/($AI45-$AH45))+N($F45)*IF($AK45-$AJ45&lt;1,($AJ45&gt;Lists!E$22)*($AJ45&lt;=Lists!E$21),MAX(0,MIN(Lists!E$21,$AK45)-MAX(Lists!E$22,$AJ45))/($AK45-$AJ45))+N($G45)*IF($AM45-$AL45&lt;1,($AL45&gt;Lists!E$22)*($AL45&lt;=Lists!E$21),MAX(0,MIN(Lists!E$21,$AM45)-MAX(Lists!E$22,$AL45))/($AM45-$AL45))))))))</f>
        <v>0</v>
      </c>
      <c r="P45" s="53" t="n">
        <f aca="false">IF($H45=0,0,IF($AP45="X",0,IF($AP45="S",$H45/$AO45*(MIN($AO45,MAX(0,INT((Lists!F$21-N($J45))/7)+1))-MIN($AO45,MAX(0,INT((Lists!F$22-N($J45))/7)+1))),IF($AP45="D",$H45*MAX(0,MIN(Lists!F$21,N($J45)+$AO45)-MAX(Lists!F$22,N($J45)))/$AO45,IF($AP45="M",$H45/$AO45*(IF(Lists!F$21&lt;$J45,0,MIN($AO45,(((YEAR(Lists!F$21)-YEAR($J45))*12+MONTH(Lists!F$21)-MONTH($J45))-(EDATE($J45,((YEAR(Lists!F$21)-YEAR($J45))*12+MONTH(Lists!F$21)-MONTH($J45)))&gt;Lists!F$21)+1)))-IF(Lists!F$22&lt;$J45,0,MIN($AO45,(((YEAR(Lists!F$22)-YEAR($J45))*12+MONTH(Lists!F$22)-MONTH($J45))-(EDATE($J45,((YEAR(Lists!F$22)-YEAR($J45))*12+MONTH(Lists!F$22)-MONTH($J45)))&gt;Lists!F$22)+1)))),IF($AP45="F",IF(N($K45)&lt;=0,0,MIN(MAX(0,$H45),N($K45)*IF(Lists!F$21&lt;$J45,0,(((YEAR(Lists!F$21)-YEAR($J45))*12+MONTH(Lists!F$21)-MONTH($J45))-(EDATE($J45,((YEAR(Lists!F$21)-YEAR($J45))*12+MONTH(Lists!F$21)-MONTH($J45)))&gt;Lists!F$21)+1)))-MIN(MAX(0,$H45),N($K45)*IF(Lists!F$22&lt;$J45,0,(((YEAR(Lists!F$22)-YEAR($J45))*12+MONTH(Lists!F$22)-MONTH($J45))-(EDATE($J45,((YEAR(Lists!F$22)-YEAR($J45))*12+MONTH(Lists!F$22)-MONTH($J45)))&gt;Lists!F$22)+1)))),N($C45)*IF($AE45-$AD45&lt;1,($AD45&gt;Lists!F$22)*($AD45&lt;=Lists!F$21),MAX(0,MIN(Lists!F$21,$AE45)-MAX(Lists!F$22,$AD45))/($AE45-$AD45))+N($D45)*IF($AG45-$AF45&lt;1,($AF45&gt;Lists!F$22)*($AF45&lt;=Lists!F$21),MAX(0,MIN(Lists!F$21,$AG45)-MAX(Lists!F$22,$AF45))/($AG45-$AF45))+N($E45)*IF($AI45-$AH45&lt;1,($AH45&gt;Lists!F$22)*($AH45&lt;=Lists!F$21),MAX(0,MIN(Lists!F$21,$AI45)-MAX(Lists!F$22,$AH45))/($AI45-$AH45))+N($F45)*IF($AK45-$AJ45&lt;1,($AJ45&gt;Lists!F$22)*($AJ45&lt;=Lists!F$21),MAX(0,MIN(Lists!F$21,$AK45)-MAX(Lists!F$22,$AJ45))/($AK45-$AJ45))+N($G45)*IF($AM45-$AL45&lt;1,($AL45&gt;Lists!F$22)*($AL45&lt;=Lists!F$21),MAX(0,MIN(Lists!F$21,$AM45)-MAX(Lists!F$22,$AL45))/($AM45-$AL45))))))))</f>
        <v>0</v>
      </c>
      <c r="Q45" s="53" t="n">
        <f aca="false">IF($H45=0,0,IF($AP45="X",0,IF($AP45="S",$H45/$AO45*(MIN($AO45,MAX(0,INT((Lists!G$21-N($J45))/7)+1))-MIN($AO45,MAX(0,INT((Lists!G$22-N($J45))/7)+1))),IF($AP45="D",$H45*MAX(0,MIN(Lists!G$21,N($J45)+$AO45)-MAX(Lists!G$22,N($J45)))/$AO45,IF($AP45="M",$H45/$AO45*(IF(Lists!G$21&lt;$J45,0,MIN($AO45,(((YEAR(Lists!G$21)-YEAR($J45))*12+MONTH(Lists!G$21)-MONTH($J45))-(EDATE($J45,((YEAR(Lists!G$21)-YEAR($J45))*12+MONTH(Lists!G$21)-MONTH($J45)))&gt;Lists!G$21)+1)))-IF(Lists!G$22&lt;$J45,0,MIN($AO45,(((YEAR(Lists!G$22)-YEAR($J45))*12+MONTH(Lists!G$22)-MONTH($J45))-(EDATE($J45,((YEAR(Lists!G$22)-YEAR($J45))*12+MONTH(Lists!G$22)-MONTH($J45)))&gt;Lists!G$22)+1)))),IF($AP45="F",IF(N($K45)&lt;=0,0,MIN(MAX(0,$H45),N($K45)*IF(Lists!G$21&lt;$J45,0,(((YEAR(Lists!G$21)-YEAR($J45))*12+MONTH(Lists!G$21)-MONTH($J45))-(EDATE($J45,((YEAR(Lists!G$21)-YEAR($J45))*12+MONTH(Lists!G$21)-MONTH($J45)))&gt;Lists!G$21)+1)))-MIN(MAX(0,$H45),N($K45)*IF(Lists!G$22&lt;$J45,0,(((YEAR(Lists!G$22)-YEAR($J45))*12+MONTH(Lists!G$22)-MONTH($J45))-(EDATE($J45,((YEAR(Lists!G$22)-YEAR($J45))*12+MONTH(Lists!G$22)-MONTH($J45)))&gt;Lists!G$22)+1)))),N($C45)*IF($AE45-$AD45&lt;1,($AD45&gt;Lists!G$22)*($AD45&lt;=Lists!G$21),MAX(0,MIN(Lists!G$21,$AE45)-MAX(Lists!G$22,$AD45))/($AE45-$AD45))+N($D45)*IF($AG45-$AF45&lt;1,($AF45&gt;Lists!G$22)*($AF45&lt;=Lists!G$21),MAX(0,MIN(Lists!G$21,$AG45)-MAX(Lists!G$22,$AF45))/($AG45-$AF45))+N($E45)*IF($AI45-$AH45&lt;1,($AH45&gt;Lists!G$22)*($AH45&lt;=Lists!G$21),MAX(0,MIN(Lists!G$21,$AI45)-MAX(Lists!G$22,$AH45))/($AI45-$AH45))+N($F45)*IF($AK45-$AJ45&lt;1,($AJ45&gt;Lists!G$22)*($AJ45&lt;=Lists!G$21),MAX(0,MIN(Lists!G$21,$AK45)-MAX(Lists!G$22,$AJ45))/($AK45-$AJ45))+N($G45)*IF($AM45-$AL45&lt;1,($AL45&gt;Lists!G$22)*($AL45&lt;=Lists!G$21),MAX(0,MIN(Lists!G$21,$AM45)-MAX(Lists!G$22,$AL45))/($AM45-$AL45))))))))</f>
        <v>0</v>
      </c>
      <c r="R45" s="53" t="n">
        <f aca="false">IF($H45=0,0,IF($AP45="X",0,IF($AP45="S",$H45/$AO45*(MIN($AO45,MAX(0,INT((Lists!H$21-N($J45))/7)+1))-MIN($AO45,MAX(0,INT((Lists!H$22-N($J45))/7)+1))),IF($AP45="D",$H45*MAX(0,MIN(Lists!H$21,N($J45)+$AO45)-MAX(Lists!H$22,N($J45)))/$AO45,IF($AP45="M",$H45/$AO45*(IF(Lists!H$21&lt;$J45,0,MIN($AO45,(((YEAR(Lists!H$21)-YEAR($J45))*12+MONTH(Lists!H$21)-MONTH($J45))-(EDATE($J45,((YEAR(Lists!H$21)-YEAR($J45))*12+MONTH(Lists!H$21)-MONTH($J45)))&gt;Lists!H$21)+1)))-IF(Lists!H$22&lt;$J45,0,MIN($AO45,(((YEAR(Lists!H$22)-YEAR($J45))*12+MONTH(Lists!H$22)-MONTH($J45))-(EDATE($J45,((YEAR(Lists!H$22)-YEAR($J45))*12+MONTH(Lists!H$22)-MONTH($J45)))&gt;Lists!H$22)+1)))),IF($AP45="F",IF(N($K45)&lt;=0,0,MIN(MAX(0,$H45),N($K45)*IF(Lists!H$21&lt;$J45,0,(((YEAR(Lists!H$21)-YEAR($J45))*12+MONTH(Lists!H$21)-MONTH($J45))-(EDATE($J45,((YEAR(Lists!H$21)-YEAR($J45))*12+MONTH(Lists!H$21)-MONTH($J45)))&gt;Lists!H$21)+1)))-MIN(MAX(0,$H45),N($K45)*IF(Lists!H$22&lt;$J45,0,(((YEAR(Lists!H$22)-YEAR($J45))*12+MONTH(Lists!H$22)-MONTH($J45))-(EDATE($J45,((YEAR(Lists!H$22)-YEAR($J45))*12+MONTH(Lists!H$22)-MONTH($J45)))&gt;Lists!H$22)+1)))),N($C45)*IF($AE45-$AD45&lt;1,($AD45&gt;Lists!H$22)*($AD45&lt;=Lists!H$21),MAX(0,MIN(Lists!H$21,$AE45)-MAX(Lists!H$22,$AD45))/($AE45-$AD45))+N($D45)*IF($AG45-$AF45&lt;1,($AF45&gt;Lists!H$22)*($AF45&lt;=Lists!H$21),MAX(0,MIN(Lists!H$21,$AG45)-MAX(Lists!H$22,$AF45))/($AG45-$AF45))+N($E45)*IF($AI45-$AH45&lt;1,($AH45&gt;Lists!H$22)*($AH45&lt;=Lists!H$21),MAX(0,MIN(Lists!H$21,$AI45)-MAX(Lists!H$22,$AH45))/($AI45-$AH45))+N($F45)*IF($AK45-$AJ45&lt;1,($AJ45&gt;Lists!H$22)*($AJ45&lt;=Lists!H$21),MAX(0,MIN(Lists!H$21,$AK45)-MAX(Lists!H$22,$AJ45))/($AK45-$AJ45))+N($G45)*IF($AM45-$AL45&lt;1,($AL45&gt;Lists!H$22)*($AL45&lt;=Lists!H$21),MAX(0,MIN(Lists!H$21,$AM45)-MAX(Lists!H$22,$AL45))/($AM45-$AL45))))))))</f>
        <v>0</v>
      </c>
      <c r="S45" s="53" t="n">
        <f aca="false">IF($H45=0,0,IF($AP45="X",0,IF($AP45="S",$H45/$AO45*(MIN($AO45,MAX(0,INT((Lists!I$21-N($J45))/7)+1))-MIN($AO45,MAX(0,INT((Lists!I$22-N($J45))/7)+1))),IF($AP45="D",$H45*MAX(0,MIN(Lists!I$21,N($J45)+$AO45)-MAX(Lists!I$22,N($J45)))/$AO45,IF($AP45="M",$H45/$AO45*(IF(Lists!I$21&lt;$J45,0,MIN($AO45,(((YEAR(Lists!I$21)-YEAR($J45))*12+MONTH(Lists!I$21)-MONTH($J45))-(EDATE($J45,((YEAR(Lists!I$21)-YEAR($J45))*12+MONTH(Lists!I$21)-MONTH($J45)))&gt;Lists!I$21)+1)))-IF(Lists!I$22&lt;$J45,0,MIN($AO45,(((YEAR(Lists!I$22)-YEAR($J45))*12+MONTH(Lists!I$22)-MONTH($J45))-(EDATE($J45,((YEAR(Lists!I$22)-YEAR($J45))*12+MONTH(Lists!I$22)-MONTH($J45)))&gt;Lists!I$22)+1)))),IF($AP45="F",IF(N($K45)&lt;=0,0,MIN(MAX(0,$H45),N($K45)*IF(Lists!I$21&lt;$J45,0,(((YEAR(Lists!I$21)-YEAR($J45))*12+MONTH(Lists!I$21)-MONTH($J45))-(EDATE($J45,((YEAR(Lists!I$21)-YEAR($J45))*12+MONTH(Lists!I$21)-MONTH($J45)))&gt;Lists!I$21)+1)))-MIN(MAX(0,$H45),N($K45)*IF(Lists!I$22&lt;$J45,0,(((YEAR(Lists!I$22)-YEAR($J45))*12+MONTH(Lists!I$22)-MONTH($J45))-(EDATE($J45,((YEAR(Lists!I$22)-YEAR($J45))*12+MONTH(Lists!I$22)-MONTH($J45)))&gt;Lists!I$22)+1)))),N($C45)*IF($AE45-$AD45&lt;1,($AD45&gt;Lists!I$22)*($AD45&lt;=Lists!I$21),MAX(0,MIN(Lists!I$21,$AE45)-MAX(Lists!I$22,$AD45))/($AE45-$AD45))+N($D45)*IF($AG45-$AF45&lt;1,($AF45&gt;Lists!I$22)*($AF45&lt;=Lists!I$21),MAX(0,MIN(Lists!I$21,$AG45)-MAX(Lists!I$22,$AF45))/($AG45-$AF45))+N($E45)*IF($AI45-$AH45&lt;1,($AH45&gt;Lists!I$22)*($AH45&lt;=Lists!I$21),MAX(0,MIN(Lists!I$21,$AI45)-MAX(Lists!I$22,$AH45))/($AI45-$AH45))+N($F45)*IF($AK45-$AJ45&lt;1,($AJ45&gt;Lists!I$22)*($AJ45&lt;=Lists!I$21),MAX(0,MIN(Lists!I$21,$AK45)-MAX(Lists!I$22,$AJ45))/($AK45-$AJ45))+N($G45)*IF($AM45-$AL45&lt;1,($AL45&gt;Lists!I$22)*($AL45&lt;=Lists!I$21),MAX(0,MIN(Lists!I$21,$AM45)-MAX(Lists!I$22,$AL45))/($AM45-$AL45))))))))</f>
        <v>0</v>
      </c>
      <c r="T45" s="53" t="n">
        <f aca="false">IF($H45=0,0,IF($AP45="X",0,IF($AP45="S",$H45/$AO45*(MIN($AO45,MAX(0,INT((Lists!J$21-N($J45))/7)+1))-MIN($AO45,MAX(0,INT((Lists!J$22-N($J45))/7)+1))),IF($AP45="D",$H45*MAX(0,MIN(Lists!J$21,N($J45)+$AO45)-MAX(Lists!J$22,N($J45)))/$AO45,IF($AP45="M",$H45/$AO45*(IF(Lists!J$21&lt;$J45,0,MIN($AO45,(((YEAR(Lists!J$21)-YEAR($J45))*12+MONTH(Lists!J$21)-MONTH($J45))-(EDATE($J45,((YEAR(Lists!J$21)-YEAR($J45))*12+MONTH(Lists!J$21)-MONTH($J45)))&gt;Lists!J$21)+1)))-IF(Lists!J$22&lt;$J45,0,MIN($AO45,(((YEAR(Lists!J$22)-YEAR($J45))*12+MONTH(Lists!J$22)-MONTH($J45))-(EDATE($J45,((YEAR(Lists!J$22)-YEAR($J45))*12+MONTH(Lists!J$22)-MONTH($J45)))&gt;Lists!J$22)+1)))),IF($AP45="F",IF(N($K45)&lt;=0,0,MIN(MAX(0,$H45),N($K45)*IF(Lists!J$21&lt;$J45,0,(((YEAR(Lists!J$21)-YEAR($J45))*12+MONTH(Lists!J$21)-MONTH($J45))-(EDATE($J45,((YEAR(Lists!J$21)-YEAR($J45))*12+MONTH(Lists!J$21)-MONTH($J45)))&gt;Lists!J$21)+1)))-MIN(MAX(0,$H45),N($K45)*IF(Lists!J$22&lt;$J45,0,(((YEAR(Lists!J$22)-YEAR($J45))*12+MONTH(Lists!J$22)-MONTH($J45))-(EDATE($J45,((YEAR(Lists!J$22)-YEAR($J45))*12+MONTH(Lists!J$22)-MONTH($J45)))&gt;Lists!J$22)+1)))),N($C45)*IF($AE45-$AD45&lt;1,($AD45&gt;Lists!J$22)*($AD45&lt;=Lists!J$21),MAX(0,MIN(Lists!J$21,$AE45)-MAX(Lists!J$22,$AD45))/($AE45-$AD45))+N($D45)*IF($AG45-$AF45&lt;1,($AF45&gt;Lists!J$22)*($AF45&lt;=Lists!J$21),MAX(0,MIN(Lists!J$21,$AG45)-MAX(Lists!J$22,$AF45))/($AG45-$AF45))+N($E45)*IF($AI45-$AH45&lt;1,($AH45&gt;Lists!J$22)*($AH45&lt;=Lists!J$21),MAX(0,MIN(Lists!J$21,$AI45)-MAX(Lists!J$22,$AH45))/($AI45-$AH45))+N($F45)*IF($AK45-$AJ45&lt;1,($AJ45&gt;Lists!J$22)*($AJ45&lt;=Lists!J$21),MAX(0,MIN(Lists!J$21,$AK45)-MAX(Lists!J$22,$AJ45))/($AK45-$AJ45))+N($G45)*IF($AM45-$AL45&lt;1,($AL45&gt;Lists!J$22)*($AL45&lt;=Lists!J$21),MAX(0,MIN(Lists!J$21,$AM45)-MAX(Lists!J$22,$AL45))/($AM45-$AL45))))))))</f>
        <v>0</v>
      </c>
      <c r="U45" s="53" t="n">
        <f aca="false">IF($H45=0,0,IF($AP45="X",0,IF($AP45="S",$H45/$AO45*(MIN($AO45,MAX(0,INT((Lists!K$21-N($J45))/7)+1))-MIN($AO45,MAX(0,INT((Lists!K$22-N($J45))/7)+1))),IF($AP45="D",$H45*MAX(0,MIN(Lists!K$21,N($J45)+$AO45)-MAX(Lists!K$22,N($J45)))/$AO45,IF($AP45="M",$H45/$AO45*(IF(Lists!K$21&lt;$J45,0,MIN($AO45,(((YEAR(Lists!K$21)-YEAR($J45))*12+MONTH(Lists!K$21)-MONTH($J45))-(EDATE($J45,((YEAR(Lists!K$21)-YEAR($J45))*12+MONTH(Lists!K$21)-MONTH($J45)))&gt;Lists!K$21)+1)))-IF(Lists!K$22&lt;$J45,0,MIN($AO45,(((YEAR(Lists!K$22)-YEAR($J45))*12+MONTH(Lists!K$22)-MONTH($J45))-(EDATE($J45,((YEAR(Lists!K$22)-YEAR($J45))*12+MONTH(Lists!K$22)-MONTH($J45)))&gt;Lists!K$22)+1)))),IF($AP45="F",IF(N($K45)&lt;=0,0,MIN(MAX(0,$H45),N($K45)*IF(Lists!K$21&lt;$J45,0,(((YEAR(Lists!K$21)-YEAR($J45))*12+MONTH(Lists!K$21)-MONTH($J45))-(EDATE($J45,((YEAR(Lists!K$21)-YEAR($J45))*12+MONTH(Lists!K$21)-MONTH($J45)))&gt;Lists!K$21)+1)))-MIN(MAX(0,$H45),N($K45)*IF(Lists!K$22&lt;$J45,0,(((YEAR(Lists!K$22)-YEAR($J45))*12+MONTH(Lists!K$22)-MONTH($J45))-(EDATE($J45,((YEAR(Lists!K$22)-YEAR($J45))*12+MONTH(Lists!K$22)-MONTH($J45)))&gt;Lists!K$22)+1)))),N($C45)*IF($AE45-$AD45&lt;1,($AD45&gt;Lists!K$22)*($AD45&lt;=Lists!K$21),MAX(0,MIN(Lists!K$21,$AE45)-MAX(Lists!K$22,$AD45))/($AE45-$AD45))+N($D45)*IF($AG45-$AF45&lt;1,($AF45&gt;Lists!K$22)*($AF45&lt;=Lists!K$21),MAX(0,MIN(Lists!K$21,$AG45)-MAX(Lists!K$22,$AF45))/($AG45-$AF45))+N($E45)*IF($AI45-$AH45&lt;1,($AH45&gt;Lists!K$22)*($AH45&lt;=Lists!K$21),MAX(0,MIN(Lists!K$21,$AI45)-MAX(Lists!K$22,$AH45))/($AI45-$AH45))+N($F45)*IF($AK45-$AJ45&lt;1,($AJ45&gt;Lists!K$22)*($AJ45&lt;=Lists!K$21),MAX(0,MIN(Lists!K$21,$AK45)-MAX(Lists!K$22,$AJ45))/($AK45-$AJ45))+N($G45)*IF($AM45-$AL45&lt;1,($AL45&gt;Lists!K$22)*($AL45&lt;=Lists!K$21),MAX(0,MIN(Lists!K$21,$AM45)-MAX(Lists!K$22,$AL45))/($AM45-$AL45))))))))</f>
        <v>0</v>
      </c>
      <c r="V45" s="53" t="n">
        <f aca="false">IF($H45=0,0,IF($AP45="X",0,IF($AP45="S",$H45/$AO45*(MIN($AO45,MAX(0,INT((Lists!L$21-N($J45))/7)+1))-MIN($AO45,MAX(0,INT((Lists!L$22-N($J45))/7)+1))),IF($AP45="D",$H45*MAX(0,MIN(Lists!L$21,N($J45)+$AO45)-MAX(Lists!L$22,N($J45)))/$AO45,IF($AP45="M",$H45/$AO45*(IF(Lists!L$21&lt;$J45,0,MIN($AO45,(((YEAR(Lists!L$21)-YEAR($J45))*12+MONTH(Lists!L$21)-MONTH($J45))-(EDATE($J45,((YEAR(Lists!L$21)-YEAR($J45))*12+MONTH(Lists!L$21)-MONTH($J45)))&gt;Lists!L$21)+1)))-IF(Lists!L$22&lt;$J45,0,MIN($AO45,(((YEAR(Lists!L$22)-YEAR($J45))*12+MONTH(Lists!L$22)-MONTH($J45))-(EDATE($J45,((YEAR(Lists!L$22)-YEAR($J45))*12+MONTH(Lists!L$22)-MONTH($J45)))&gt;Lists!L$22)+1)))),IF($AP45="F",IF(N($K45)&lt;=0,0,MIN(MAX(0,$H45),N($K45)*IF(Lists!L$21&lt;$J45,0,(((YEAR(Lists!L$21)-YEAR($J45))*12+MONTH(Lists!L$21)-MONTH($J45))-(EDATE($J45,((YEAR(Lists!L$21)-YEAR($J45))*12+MONTH(Lists!L$21)-MONTH($J45)))&gt;Lists!L$21)+1)))-MIN(MAX(0,$H45),N($K45)*IF(Lists!L$22&lt;$J45,0,(((YEAR(Lists!L$22)-YEAR($J45))*12+MONTH(Lists!L$22)-MONTH($J45))-(EDATE($J45,((YEAR(Lists!L$22)-YEAR($J45))*12+MONTH(Lists!L$22)-MONTH($J45)))&gt;Lists!L$22)+1)))),N($C45)*IF($AE45-$AD45&lt;1,($AD45&gt;Lists!L$22)*($AD45&lt;=Lists!L$21),MAX(0,MIN(Lists!L$21,$AE45)-MAX(Lists!L$22,$AD45))/($AE45-$AD45))+N($D45)*IF($AG45-$AF45&lt;1,($AF45&gt;Lists!L$22)*($AF45&lt;=Lists!L$21),MAX(0,MIN(Lists!L$21,$AG45)-MAX(Lists!L$22,$AF45))/($AG45-$AF45))+N($E45)*IF($AI45-$AH45&lt;1,($AH45&gt;Lists!L$22)*($AH45&lt;=Lists!L$21),MAX(0,MIN(Lists!L$21,$AI45)-MAX(Lists!L$22,$AH45))/($AI45-$AH45))+N($F45)*IF($AK45-$AJ45&lt;1,($AJ45&gt;Lists!L$22)*($AJ45&lt;=Lists!L$21),MAX(0,MIN(Lists!L$21,$AK45)-MAX(Lists!L$22,$AJ45))/($AK45-$AJ45))+N($G45)*IF($AM45-$AL45&lt;1,($AL45&gt;Lists!L$22)*($AL45&lt;=Lists!L$21),MAX(0,MIN(Lists!L$21,$AM45)-MAX(Lists!L$22,$AL45))/($AM45-$AL45))))))))</f>
        <v>0</v>
      </c>
      <c r="W45" s="53" t="n">
        <f aca="false">IF($H45=0,0,IF($AP45="X",0,IF($AP45="S",$H45/$AO45*(MIN($AO45,MAX(0,INT((Lists!M$21-N($J45))/7)+1))-MIN($AO45,MAX(0,INT((Lists!M$22-N($J45))/7)+1))),IF($AP45="D",$H45*MAX(0,MIN(Lists!M$21,N($J45)+$AO45)-MAX(Lists!M$22,N($J45)))/$AO45,IF($AP45="M",$H45/$AO45*(IF(Lists!M$21&lt;$J45,0,MIN($AO45,(((YEAR(Lists!M$21)-YEAR($J45))*12+MONTH(Lists!M$21)-MONTH($J45))-(EDATE($J45,((YEAR(Lists!M$21)-YEAR($J45))*12+MONTH(Lists!M$21)-MONTH($J45)))&gt;Lists!M$21)+1)))-IF(Lists!M$22&lt;$J45,0,MIN($AO45,(((YEAR(Lists!M$22)-YEAR($J45))*12+MONTH(Lists!M$22)-MONTH($J45))-(EDATE($J45,((YEAR(Lists!M$22)-YEAR($J45))*12+MONTH(Lists!M$22)-MONTH($J45)))&gt;Lists!M$22)+1)))),IF($AP45="F",IF(N($K45)&lt;=0,0,MIN(MAX(0,$H45),N($K45)*IF(Lists!M$21&lt;$J45,0,(((YEAR(Lists!M$21)-YEAR($J45))*12+MONTH(Lists!M$21)-MONTH($J45))-(EDATE($J45,((YEAR(Lists!M$21)-YEAR($J45))*12+MONTH(Lists!M$21)-MONTH($J45)))&gt;Lists!M$21)+1)))-MIN(MAX(0,$H45),N($K45)*IF(Lists!M$22&lt;$J45,0,(((YEAR(Lists!M$22)-YEAR($J45))*12+MONTH(Lists!M$22)-MONTH($J45))-(EDATE($J45,((YEAR(Lists!M$22)-YEAR($J45))*12+MONTH(Lists!M$22)-MONTH($J45)))&gt;Lists!M$22)+1)))),N($C45)*IF($AE45-$AD45&lt;1,($AD45&gt;Lists!M$22)*($AD45&lt;=Lists!M$21),MAX(0,MIN(Lists!M$21,$AE45)-MAX(Lists!M$22,$AD45))/($AE45-$AD45))+N($D45)*IF($AG45-$AF45&lt;1,($AF45&gt;Lists!M$22)*($AF45&lt;=Lists!M$21),MAX(0,MIN(Lists!M$21,$AG45)-MAX(Lists!M$22,$AF45))/($AG45-$AF45))+N($E45)*IF($AI45-$AH45&lt;1,($AH45&gt;Lists!M$22)*($AH45&lt;=Lists!M$21),MAX(0,MIN(Lists!M$21,$AI45)-MAX(Lists!M$22,$AH45))/($AI45-$AH45))+N($F45)*IF($AK45-$AJ45&lt;1,($AJ45&gt;Lists!M$22)*($AJ45&lt;=Lists!M$21),MAX(0,MIN(Lists!M$21,$AK45)-MAX(Lists!M$22,$AJ45))/($AK45-$AJ45))+N($G45)*IF($AM45-$AL45&lt;1,($AL45&gt;Lists!M$22)*($AL45&lt;=Lists!M$21),MAX(0,MIN(Lists!M$21,$AM45)-MAX(Lists!M$22,$AL45))/($AM45-$AL45))))))))</f>
        <v>0</v>
      </c>
      <c r="X45" s="53" t="n">
        <f aca="false">IF($H45=0,0,IF($AP45="X",0,IF($AP45="S",$H45/$AO45*(MIN($AO45,MAX(0,INT((Lists!N$21-N($J45))/7)+1))-MIN($AO45,MAX(0,INT((Lists!N$22-N($J45))/7)+1))),IF($AP45="D",$H45*MAX(0,MIN(Lists!N$21,N($J45)+$AO45)-MAX(Lists!N$22,N($J45)))/$AO45,IF($AP45="M",$H45/$AO45*(IF(Lists!N$21&lt;$J45,0,MIN($AO45,(((YEAR(Lists!N$21)-YEAR($J45))*12+MONTH(Lists!N$21)-MONTH($J45))-(EDATE($J45,((YEAR(Lists!N$21)-YEAR($J45))*12+MONTH(Lists!N$21)-MONTH($J45)))&gt;Lists!N$21)+1)))-IF(Lists!N$22&lt;$J45,0,MIN($AO45,(((YEAR(Lists!N$22)-YEAR($J45))*12+MONTH(Lists!N$22)-MONTH($J45))-(EDATE($J45,((YEAR(Lists!N$22)-YEAR($J45))*12+MONTH(Lists!N$22)-MONTH($J45)))&gt;Lists!N$22)+1)))),IF($AP45="F",IF(N($K45)&lt;=0,0,MIN(MAX(0,$H45),N($K45)*IF(Lists!N$21&lt;$J45,0,(((YEAR(Lists!N$21)-YEAR($J45))*12+MONTH(Lists!N$21)-MONTH($J45))-(EDATE($J45,((YEAR(Lists!N$21)-YEAR($J45))*12+MONTH(Lists!N$21)-MONTH($J45)))&gt;Lists!N$21)+1)))-MIN(MAX(0,$H45),N($K45)*IF(Lists!N$22&lt;$J45,0,(((YEAR(Lists!N$22)-YEAR($J45))*12+MONTH(Lists!N$22)-MONTH($J45))-(EDATE($J45,((YEAR(Lists!N$22)-YEAR($J45))*12+MONTH(Lists!N$22)-MONTH($J45)))&gt;Lists!N$22)+1)))),N($C45)*IF($AE45-$AD45&lt;1,($AD45&gt;Lists!N$22)*($AD45&lt;=Lists!N$21),MAX(0,MIN(Lists!N$21,$AE45)-MAX(Lists!N$22,$AD45))/($AE45-$AD45))+N($D45)*IF($AG45-$AF45&lt;1,($AF45&gt;Lists!N$22)*($AF45&lt;=Lists!N$21),MAX(0,MIN(Lists!N$21,$AG45)-MAX(Lists!N$22,$AF45))/($AG45-$AF45))+N($E45)*IF($AI45-$AH45&lt;1,($AH45&gt;Lists!N$22)*($AH45&lt;=Lists!N$21),MAX(0,MIN(Lists!N$21,$AI45)-MAX(Lists!N$22,$AH45))/($AI45-$AH45))+N($F45)*IF($AK45-$AJ45&lt;1,($AJ45&gt;Lists!N$22)*($AJ45&lt;=Lists!N$21),MAX(0,MIN(Lists!N$21,$AK45)-MAX(Lists!N$22,$AJ45))/($AK45-$AJ45))+N($G45)*IF($AM45-$AL45&lt;1,($AL45&gt;Lists!N$22)*($AL45&lt;=Lists!N$21),MAX(0,MIN(Lists!N$21,$AM45)-MAX(Lists!N$22,$AL45))/($AM45-$AL45))))))))</f>
        <v>0</v>
      </c>
      <c r="Y45" s="53" t="n">
        <f aca="false">IF($H45=0,0,IF($AP45="X",0,IF($AP45="S",$H45/$AO45*(MIN($AO45,MAX(0,INT((Lists!O$21-N($J45))/7)+1))-MIN($AO45,MAX(0,INT((Lists!O$22-N($J45))/7)+1))),IF($AP45="D",$H45*MAX(0,MIN(Lists!O$21,N($J45)+$AO45)-MAX(Lists!O$22,N($J45)))/$AO45,IF($AP45="M",$H45/$AO45*(IF(Lists!O$21&lt;$J45,0,MIN($AO45,(((YEAR(Lists!O$21)-YEAR($J45))*12+MONTH(Lists!O$21)-MONTH($J45))-(EDATE($J45,((YEAR(Lists!O$21)-YEAR($J45))*12+MONTH(Lists!O$21)-MONTH($J45)))&gt;Lists!O$21)+1)))-IF(Lists!O$22&lt;$J45,0,MIN($AO45,(((YEAR(Lists!O$22)-YEAR($J45))*12+MONTH(Lists!O$22)-MONTH($J45))-(EDATE($J45,((YEAR(Lists!O$22)-YEAR($J45))*12+MONTH(Lists!O$22)-MONTH($J45)))&gt;Lists!O$22)+1)))),IF($AP45="F",IF(N($K45)&lt;=0,0,MIN(MAX(0,$H45),N($K45)*IF(Lists!O$21&lt;$J45,0,(((YEAR(Lists!O$21)-YEAR($J45))*12+MONTH(Lists!O$21)-MONTH($J45))-(EDATE($J45,((YEAR(Lists!O$21)-YEAR($J45))*12+MONTH(Lists!O$21)-MONTH($J45)))&gt;Lists!O$21)+1)))-MIN(MAX(0,$H45),N($K45)*IF(Lists!O$22&lt;$J45,0,(((YEAR(Lists!O$22)-YEAR($J45))*12+MONTH(Lists!O$22)-MONTH($J45))-(EDATE($J45,((YEAR(Lists!O$22)-YEAR($J45))*12+MONTH(Lists!O$22)-MONTH($J45)))&gt;Lists!O$22)+1)))),N($C45)*IF($AE45-$AD45&lt;1,($AD45&gt;Lists!O$22)*($AD45&lt;=Lists!O$21),MAX(0,MIN(Lists!O$21,$AE45)-MAX(Lists!O$22,$AD45))/($AE45-$AD45))+N($D45)*IF($AG45-$AF45&lt;1,($AF45&gt;Lists!O$22)*($AF45&lt;=Lists!O$21),MAX(0,MIN(Lists!O$21,$AG45)-MAX(Lists!O$22,$AF45))/($AG45-$AF45))+N($E45)*IF($AI45-$AH45&lt;1,($AH45&gt;Lists!O$22)*($AH45&lt;=Lists!O$21),MAX(0,MIN(Lists!O$21,$AI45)-MAX(Lists!O$22,$AH45))/($AI45-$AH45))+N($F45)*IF($AK45-$AJ45&lt;1,($AJ45&gt;Lists!O$22)*($AJ45&lt;=Lists!O$21),MAX(0,MIN(Lists!O$21,$AK45)-MAX(Lists!O$22,$AJ45))/($AK45-$AJ45))+N($G45)*IF($AM45-$AL45&lt;1,($AL45&gt;Lists!O$22)*($AL45&lt;=Lists!O$21),MAX(0,MIN(Lists!O$21,$AM45)-MAX(Lists!O$22,$AL45))/($AM45-$AL45))))))))</f>
        <v>0</v>
      </c>
      <c r="Z45" s="46" t="n">
        <f aca="false">SUM(M45:Y45)</f>
        <v>0</v>
      </c>
      <c r="AA45" s="92" t="n">
        <f aca="false">H45-Z45</f>
        <v>0</v>
      </c>
      <c r="AB45" s="55"/>
      <c r="AC45" s="2"/>
      <c r="AD45" s="93" t="n">
        <f aca="false">Setup!$D$10+MAX(0,$AN45-30)</f>
        <v>46345</v>
      </c>
      <c r="AE45" s="93" t="n">
        <f aca="false">Setup!$D$10+IF($AN45-30&lt;0,MAX(Setup!$D$22,$AN45-0),$AN45-0)</f>
        <v>46375</v>
      </c>
      <c r="AF45" s="93" t="n">
        <f aca="false">Setup!$D$10+MAX(0,$AN45-60)</f>
        <v>46335</v>
      </c>
      <c r="AG45" s="93" t="n">
        <f aca="false">Setup!$D$10+IF($AN45-60&lt;0,MAX(Setup!$D$22,$AN45-31),$AN45-31)</f>
        <v>46363</v>
      </c>
      <c r="AH45" s="93" t="n">
        <f aca="false">Setup!$D$10+MAX(0,$AN45-90)</f>
        <v>46335</v>
      </c>
      <c r="AI45" s="93" t="n">
        <f aca="false">Setup!$D$10+IF($AN45-90&lt;0,MAX(Setup!$D$22,$AN45-61),$AN45-61)</f>
        <v>46363</v>
      </c>
      <c r="AJ45" s="93" t="n">
        <f aca="false">Setup!$D$10+MAX(0,$AN45-120)</f>
        <v>46335</v>
      </c>
      <c r="AK45" s="93" t="n">
        <f aca="false">Setup!$D$10+IF($AN45-120&lt;0,MAX(Setup!$D$22,$AN45-91),$AN45-91)</f>
        <v>46363</v>
      </c>
      <c r="AL45" s="93" t="n">
        <f aca="false">Setup!$D$10</f>
        <v>46335</v>
      </c>
      <c r="AM45" s="93" t="n">
        <f aca="false">IF(AL45=2958465,AL45,Setup!$D$10+Setup!$D$22)</f>
        <v>46363</v>
      </c>
      <c r="AN45" s="94" t="n">
        <f aca="false">IF(N(L45)=0,Setup!$D$21,L45)</f>
        <v>40</v>
      </c>
      <c r="AO45" s="94" t="n">
        <f aca="false">MAX(1,ROUND(N(K45),0))</f>
        <v>1</v>
      </c>
      <c r="AP45" s="95" t="str">
        <f aca="false">IF(I45="On hold","X",IF(N(J45)=0,"A",IF(I45="Specific date","S",IF(I45="Spread over days","D",IF(I45="Monthly on set day","M",IF(I45="Monthly fixed amount","F","A"))))))</f>
        <v>A</v>
      </c>
    </row>
    <row r="46" customFormat="false" ht="15" hidden="false" customHeight="false" outlineLevel="0" collapsed="false">
      <c r="A46" s="87" t="n">
        <v>38</v>
      </c>
      <c r="B46" s="55"/>
      <c r="C46" s="88"/>
      <c r="D46" s="88"/>
      <c r="E46" s="88"/>
      <c r="F46" s="88"/>
      <c r="G46" s="88"/>
      <c r="H46" s="89" t="n">
        <f aca="false">SUM(C46:G46)</f>
        <v>0</v>
      </c>
      <c r="I46" s="58"/>
      <c r="J46" s="90"/>
      <c r="K46" s="91"/>
      <c r="L46" s="80"/>
      <c r="M46" s="53" t="n">
        <f aca="false">IF($H46=0,0,IF($AP46="X",0,IF($AP46="S",$H46/$AO46*(MIN($AO46,MAX(0,INT((Lists!C$21-N($J46))/7)+1))-MIN($AO46,MAX(0,INT((Lists!C$22-N($J46))/7)+1))),IF($AP46="D",$H46*MAX(0,MIN(Lists!C$21,N($J46)+$AO46)-MAX(Lists!C$22,N($J46)))/$AO46,IF($AP46="M",$H46/$AO46*(IF(Lists!C$21&lt;$J46,0,MIN($AO46,(((YEAR(Lists!C$21)-YEAR($J46))*12+MONTH(Lists!C$21)-MONTH($J46))-(EDATE($J46,((YEAR(Lists!C$21)-YEAR($J46))*12+MONTH(Lists!C$21)-MONTH($J46)))&gt;Lists!C$21)+1)))-IF(Lists!C$22&lt;$J46,0,MIN($AO46,(((YEAR(Lists!C$22)-YEAR($J46))*12+MONTH(Lists!C$22)-MONTH($J46))-(EDATE($J46,((YEAR(Lists!C$22)-YEAR($J46))*12+MONTH(Lists!C$22)-MONTH($J46)))&gt;Lists!C$22)+1)))),IF($AP46="F",IF(N($K46)&lt;=0,0,MIN(MAX(0,$H46),N($K46)*IF(Lists!C$21&lt;$J46,0,(((YEAR(Lists!C$21)-YEAR($J46))*12+MONTH(Lists!C$21)-MONTH($J46))-(EDATE($J46,((YEAR(Lists!C$21)-YEAR($J46))*12+MONTH(Lists!C$21)-MONTH($J46)))&gt;Lists!C$21)+1)))-MIN(MAX(0,$H46),N($K46)*IF(Lists!C$22&lt;$J46,0,(((YEAR(Lists!C$22)-YEAR($J46))*12+MONTH(Lists!C$22)-MONTH($J46))-(EDATE($J46,((YEAR(Lists!C$22)-YEAR($J46))*12+MONTH(Lists!C$22)-MONTH($J46)))&gt;Lists!C$22)+1)))),N($C46)*IF($AE46-$AD46&lt;1,($AD46&gt;Lists!C$22)*($AD46&lt;=Lists!C$21),MAX(0,MIN(Lists!C$21,$AE46)-MAX(Lists!C$22,$AD46))/($AE46-$AD46))+N($D46)*IF($AG46-$AF46&lt;1,($AF46&gt;Lists!C$22)*($AF46&lt;=Lists!C$21),MAX(0,MIN(Lists!C$21,$AG46)-MAX(Lists!C$22,$AF46))/($AG46-$AF46))+N($E46)*IF($AI46-$AH46&lt;1,($AH46&gt;Lists!C$22)*($AH46&lt;=Lists!C$21),MAX(0,MIN(Lists!C$21,$AI46)-MAX(Lists!C$22,$AH46))/($AI46-$AH46))+N($F46)*IF($AK46-$AJ46&lt;1,($AJ46&gt;Lists!C$22)*($AJ46&lt;=Lists!C$21),MAX(0,MIN(Lists!C$21,$AK46)-MAX(Lists!C$22,$AJ46))/($AK46-$AJ46))+N($G46)*IF($AM46-$AL46&lt;1,($AL46&gt;Lists!C$22)*($AL46&lt;=Lists!C$21),MAX(0,MIN(Lists!C$21,$AM46)-MAX(Lists!C$22,$AL46))/($AM46-$AL46))))))))</f>
        <v>0</v>
      </c>
      <c r="N46" s="53" t="n">
        <f aca="false">IF($H46=0,0,IF($AP46="X",0,IF($AP46="S",$H46/$AO46*(MIN($AO46,MAX(0,INT((Lists!D$21-N($J46))/7)+1))-MIN($AO46,MAX(0,INT((Lists!D$22-N($J46))/7)+1))),IF($AP46="D",$H46*MAX(0,MIN(Lists!D$21,N($J46)+$AO46)-MAX(Lists!D$22,N($J46)))/$AO46,IF($AP46="M",$H46/$AO46*(IF(Lists!D$21&lt;$J46,0,MIN($AO46,(((YEAR(Lists!D$21)-YEAR($J46))*12+MONTH(Lists!D$21)-MONTH($J46))-(EDATE($J46,((YEAR(Lists!D$21)-YEAR($J46))*12+MONTH(Lists!D$21)-MONTH($J46)))&gt;Lists!D$21)+1)))-IF(Lists!D$22&lt;$J46,0,MIN($AO46,(((YEAR(Lists!D$22)-YEAR($J46))*12+MONTH(Lists!D$22)-MONTH($J46))-(EDATE($J46,((YEAR(Lists!D$22)-YEAR($J46))*12+MONTH(Lists!D$22)-MONTH($J46)))&gt;Lists!D$22)+1)))),IF($AP46="F",IF(N($K46)&lt;=0,0,MIN(MAX(0,$H46),N($K46)*IF(Lists!D$21&lt;$J46,0,(((YEAR(Lists!D$21)-YEAR($J46))*12+MONTH(Lists!D$21)-MONTH($J46))-(EDATE($J46,((YEAR(Lists!D$21)-YEAR($J46))*12+MONTH(Lists!D$21)-MONTH($J46)))&gt;Lists!D$21)+1)))-MIN(MAX(0,$H46),N($K46)*IF(Lists!D$22&lt;$J46,0,(((YEAR(Lists!D$22)-YEAR($J46))*12+MONTH(Lists!D$22)-MONTH($J46))-(EDATE($J46,((YEAR(Lists!D$22)-YEAR($J46))*12+MONTH(Lists!D$22)-MONTH($J46)))&gt;Lists!D$22)+1)))),N($C46)*IF($AE46-$AD46&lt;1,($AD46&gt;Lists!D$22)*($AD46&lt;=Lists!D$21),MAX(0,MIN(Lists!D$21,$AE46)-MAX(Lists!D$22,$AD46))/($AE46-$AD46))+N($D46)*IF($AG46-$AF46&lt;1,($AF46&gt;Lists!D$22)*($AF46&lt;=Lists!D$21),MAX(0,MIN(Lists!D$21,$AG46)-MAX(Lists!D$22,$AF46))/($AG46-$AF46))+N($E46)*IF($AI46-$AH46&lt;1,($AH46&gt;Lists!D$22)*($AH46&lt;=Lists!D$21),MAX(0,MIN(Lists!D$21,$AI46)-MAX(Lists!D$22,$AH46))/($AI46-$AH46))+N($F46)*IF($AK46-$AJ46&lt;1,($AJ46&gt;Lists!D$22)*($AJ46&lt;=Lists!D$21),MAX(0,MIN(Lists!D$21,$AK46)-MAX(Lists!D$22,$AJ46))/($AK46-$AJ46))+N($G46)*IF($AM46-$AL46&lt;1,($AL46&gt;Lists!D$22)*($AL46&lt;=Lists!D$21),MAX(0,MIN(Lists!D$21,$AM46)-MAX(Lists!D$22,$AL46))/($AM46-$AL46))))))))</f>
        <v>0</v>
      </c>
      <c r="O46" s="53" t="n">
        <f aca="false">IF($H46=0,0,IF($AP46="X",0,IF($AP46="S",$H46/$AO46*(MIN($AO46,MAX(0,INT((Lists!E$21-N($J46))/7)+1))-MIN($AO46,MAX(0,INT((Lists!E$22-N($J46))/7)+1))),IF($AP46="D",$H46*MAX(0,MIN(Lists!E$21,N($J46)+$AO46)-MAX(Lists!E$22,N($J46)))/$AO46,IF($AP46="M",$H46/$AO46*(IF(Lists!E$21&lt;$J46,0,MIN($AO46,(((YEAR(Lists!E$21)-YEAR($J46))*12+MONTH(Lists!E$21)-MONTH($J46))-(EDATE($J46,((YEAR(Lists!E$21)-YEAR($J46))*12+MONTH(Lists!E$21)-MONTH($J46)))&gt;Lists!E$21)+1)))-IF(Lists!E$22&lt;$J46,0,MIN($AO46,(((YEAR(Lists!E$22)-YEAR($J46))*12+MONTH(Lists!E$22)-MONTH($J46))-(EDATE($J46,((YEAR(Lists!E$22)-YEAR($J46))*12+MONTH(Lists!E$22)-MONTH($J46)))&gt;Lists!E$22)+1)))),IF($AP46="F",IF(N($K46)&lt;=0,0,MIN(MAX(0,$H46),N($K46)*IF(Lists!E$21&lt;$J46,0,(((YEAR(Lists!E$21)-YEAR($J46))*12+MONTH(Lists!E$21)-MONTH($J46))-(EDATE($J46,((YEAR(Lists!E$21)-YEAR($J46))*12+MONTH(Lists!E$21)-MONTH($J46)))&gt;Lists!E$21)+1)))-MIN(MAX(0,$H46),N($K46)*IF(Lists!E$22&lt;$J46,0,(((YEAR(Lists!E$22)-YEAR($J46))*12+MONTH(Lists!E$22)-MONTH($J46))-(EDATE($J46,((YEAR(Lists!E$22)-YEAR($J46))*12+MONTH(Lists!E$22)-MONTH($J46)))&gt;Lists!E$22)+1)))),N($C46)*IF($AE46-$AD46&lt;1,($AD46&gt;Lists!E$22)*($AD46&lt;=Lists!E$21),MAX(0,MIN(Lists!E$21,$AE46)-MAX(Lists!E$22,$AD46))/($AE46-$AD46))+N($D46)*IF($AG46-$AF46&lt;1,($AF46&gt;Lists!E$22)*($AF46&lt;=Lists!E$21),MAX(0,MIN(Lists!E$21,$AG46)-MAX(Lists!E$22,$AF46))/($AG46-$AF46))+N($E46)*IF($AI46-$AH46&lt;1,($AH46&gt;Lists!E$22)*($AH46&lt;=Lists!E$21),MAX(0,MIN(Lists!E$21,$AI46)-MAX(Lists!E$22,$AH46))/($AI46-$AH46))+N($F46)*IF($AK46-$AJ46&lt;1,($AJ46&gt;Lists!E$22)*($AJ46&lt;=Lists!E$21),MAX(0,MIN(Lists!E$21,$AK46)-MAX(Lists!E$22,$AJ46))/($AK46-$AJ46))+N($G46)*IF($AM46-$AL46&lt;1,($AL46&gt;Lists!E$22)*($AL46&lt;=Lists!E$21),MAX(0,MIN(Lists!E$21,$AM46)-MAX(Lists!E$22,$AL46))/($AM46-$AL46))))))))</f>
        <v>0</v>
      </c>
      <c r="P46" s="53" t="n">
        <f aca="false">IF($H46=0,0,IF($AP46="X",0,IF($AP46="S",$H46/$AO46*(MIN($AO46,MAX(0,INT((Lists!F$21-N($J46))/7)+1))-MIN($AO46,MAX(0,INT((Lists!F$22-N($J46))/7)+1))),IF($AP46="D",$H46*MAX(0,MIN(Lists!F$21,N($J46)+$AO46)-MAX(Lists!F$22,N($J46)))/$AO46,IF($AP46="M",$H46/$AO46*(IF(Lists!F$21&lt;$J46,0,MIN($AO46,(((YEAR(Lists!F$21)-YEAR($J46))*12+MONTH(Lists!F$21)-MONTH($J46))-(EDATE($J46,((YEAR(Lists!F$21)-YEAR($J46))*12+MONTH(Lists!F$21)-MONTH($J46)))&gt;Lists!F$21)+1)))-IF(Lists!F$22&lt;$J46,0,MIN($AO46,(((YEAR(Lists!F$22)-YEAR($J46))*12+MONTH(Lists!F$22)-MONTH($J46))-(EDATE($J46,((YEAR(Lists!F$22)-YEAR($J46))*12+MONTH(Lists!F$22)-MONTH($J46)))&gt;Lists!F$22)+1)))),IF($AP46="F",IF(N($K46)&lt;=0,0,MIN(MAX(0,$H46),N($K46)*IF(Lists!F$21&lt;$J46,0,(((YEAR(Lists!F$21)-YEAR($J46))*12+MONTH(Lists!F$21)-MONTH($J46))-(EDATE($J46,((YEAR(Lists!F$21)-YEAR($J46))*12+MONTH(Lists!F$21)-MONTH($J46)))&gt;Lists!F$21)+1)))-MIN(MAX(0,$H46),N($K46)*IF(Lists!F$22&lt;$J46,0,(((YEAR(Lists!F$22)-YEAR($J46))*12+MONTH(Lists!F$22)-MONTH($J46))-(EDATE($J46,((YEAR(Lists!F$22)-YEAR($J46))*12+MONTH(Lists!F$22)-MONTH($J46)))&gt;Lists!F$22)+1)))),N($C46)*IF($AE46-$AD46&lt;1,($AD46&gt;Lists!F$22)*($AD46&lt;=Lists!F$21),MAX(0,MIN(Lists!F$21,$AE46)-MAX(Lists!F$22,$AD46))/($AE46-$AD46))+N($D46)*IF($AG46-$AF46&lt;1,($AF46&gt;Lists!F$22)*($AF46&lt;=Lists!F$21),MAX(0,MIN(Lists!F$21,$AG46)-MAX(Lists!F$22,$AF46))/($AG46-$AF46))+N($E46)*IF($AI46-$AH46&lt;1,($AH46&gt;Lists!F$22)*($AH46&lt;=Lists!F$21),MAX(0,MIN(Lists!F$21,$AI46)-MAX(Lists!F$22,$AH46))/($AI46-$AH46))+N($F46)*IF($AK46-$AJ46&lt;1,($AJ46&gt;Lists!F$22)*($AJ46&lt;=Lists!F$21),MAX(0,MIN(Lists!F$21,$AK46)-MAX(Lists!F$22,$AJ46))/($AK46-$AJ46))+N($G46)*IF($AM46-$AL46&lt;1,($AL46&gt;Lists!F$22)*($AL46&lt;=Lists!F$21),MAX(0,MIN(Lists!F$21,$AM46)-MAX(Lists!F$22,$AL46))/($AM46-$AL46))))))))</f>
        <v>0</v>
      </c>
      <c r="Q46" s="53" t="n">
        <f aca="false">IF($H46=0,0,IF($AP46="X",0,IF($AP46="S",$H46/$AO46*(MIN($AO46,MAX(0,INT((Lists!G$21-N($J46))/7)+1))-MIN($AO46,MAX(0,INT((Lists!G$22-N($J46))/7)+1))),IF($AP46="D",$H46*MAX(0,MIN(Lists!G$21,N($J46)+$AO46)-MAX(Lists!G$22,N($J46)))/$AO46,IF($AP46="M",$H46/$AO46*(IF(Lists!G$21&lt;$J46,0,MIN($AO46,(((YEAR(Lists!G$21)-YEAR($J46))*12+MONTH(Lists!G$21)-MONTH($J46))-(EDATE($J46,((YEAR(Lists!G$21)-YEAR($J46))*12+MONTH(Lists!G$21)-MONTH($J46)))&gt;Lists!G$21)+1)))-IF(Lists!G$22&lt;$J46,0,MIN($AO46,(((YEAR(Lists!G$22)-YEAR($J46))*12+MONTH(Lists!G$22)-MONTH($J46))-(EDATE($J46,((YEAR(Lists!G$22)-YEAR($J46))*12+MONTH(Lists!G$22)-MONTH($J46)))&gt;Lists!G$22)+1)))),IF($AP46="F",IF(N($K46)&lt;=0,0,MIN(MAX(0,$H46),N($K46)*IF(Lists!G$21&lt;$J46,0,(((YEAR(Lists!G$21)-YEAR($J46))*12+MONTH(Lists!G$21)-MONTH($J46))-(EDATE($J46,((YEAR(Lists!G$21)-YEAR($J46))*12+MONTH(Lists!G$21)-MONTH($J46)))&gt;Lists!G$21)+1)))-MIN(MAX(0,$H46),N($K46)*IF(Lists!G$22&lt;$J46,0,(((YEAR(Lists!G$22)-YEAR($J46))*12+MONTH(Lists!G$22)-MONTH($J46))-(EDATE($J46,((YEAR(Lists!G$22)-YEAR($J46))*12+MONTH(Lists!G$22)-MONTH($J46)))&gt;Lists!G$22)+1)))),N($C46)*IF($AE46-$AD46&lt;1,($AD46&gt;Lists!G$22)*($AD46&lt;=Lists!G$21),MAX(0,MIN(Lists!G$21,$AE46)-MAX(Lists!G$22,$AD46))/($AE46-$AD46))+N($D46)*IF($AG46-$AF46&lt;1,($AF46&gt;Lists!G$22)*($AF46&lt;=Lists!G$21),MAX(0,MIN(Lists!G$21,$AG46)-MAX(Lists!G$22,$AF46))/($AG46-$AF46))+N($E46)*IF($AI46-$AH46&lt;1,($AH46&gt;Lists!G$22)*($AH46&lt;=Lists!G$21),MAX(0,MIN(Lists!G$21,$AI46)-MAX(Lists!G$22,$AH46))/($AI46-$AH46))+N($F46)*IF($AK46-$AJ46&lt;1,($AJ46&gt;Lists!G$22)*($AJ46&lt;=Lists!G$21),MAX(0,MIN(Lists!G$21,$AK46)-MAX(Lists!G$22,$AJ46))/($AK46-$AJ46))+N($G46)*IF($AM46-$AL46&lt;1,($AL46&gt;Lists!G$22)*($AL46&lt;=Lists!G$21),MAX(0,MIN(Lists!G$21,$AM46)-MAX(Lists!G$22,$AL46))/($AM46-$AL46))))))))</f>
        <v>0</v>
      </c>
      <c r="R46" s="53" t="n">
        <f aca="false">IF($H46=0,0,IF($AP46="X",0,IF($AP46="S",$H46/$AO46*(MIN($AO46,MAX(0,INT((Lists!H$21-N($J46))/7)+1))-MIN($AO46,MAX(0,INT((Lists!H$22-N($J46))/7)+1))),IF($AP46="D",$H46*MAX(0,MIN(Lists!H$21,N($J46)+$AO46)-MAX(Lists!H$22,N($J46)))/$AO46,IF($AP46="M",$H46/$AO46*(IF(Lists!H$21&lt;$J46,0,MIN($AO46,(((YEAR(Lists!H$21)-YEAR($J46))*12+MONTH(Lists!H$21)-MONTH($J46))-(EDATE($J46,((YEAR(Lists!H$21)-YEAR($J46))*12+MONTH(Lists!H$21)-MONTH($J46)))&gt;Lists!H$21)+1)))-IF(Lists!H$22&lt;$J46,0,MIN($AO46,(((YEAR(Lists!H$22)-YEAR($J46))*12+MONTH(Lists!H$22)-MONTH($J46))-(EDATE($J46,((YEAR(Lists!H$22)-YEAR($J46))*12+MONTH(Lists!H$22)-MONTH($J46)))&gt;Lists!H$22)+1)))),IF($AP46="F",IF(N($K46)&lt;=0,0,MIN(MAX(0,$H46),N($K46)*IF(Lists!H$21&lt;$J46,0,(((YEAR(Lists!H$21)-YEAR($J46))*12+MONTH(Lists!H$21)-MONTH($J46))-(EDATE($J46,((YEAR(Lists!H$21)-YEAR($J46))*12+MONTH(Lists!H$21)-MONTH($J46)))&gt;Lists!H$21)+1)))-MIN(MAX(0,$H46),N($K46)*IF(Lists!H$22&lt;$J46,0,(((YEAR(Lists!H$22)-YEAR($J46))*12+MONTH(Lists!H$22)-MONTH($J46))-(EDATE($J46,((YEAR(Lists!H$22)-YEAR($J46))*12+MONTH(Lists!H$22)-MONTH($J46)))&gt;Lists!H$22)+1)))),N($C46)*IF($AE46-$AD46&lt;1,($AD46&gt;Lists!H$22)*($AD46&lt;=Lists!H$21),MAX(0,MIN(Lists!H$21,$AE46)-MAX(Lists!H$22,$AD46))/($AE46-$AD46))+N($D46)*IF($AG46-$AF46&lt;1,($AF46&gt;Lists!H$22)*($AF46&lt;=Lists!H$21),MAX(0,MIN(Lists!H$21,$AG46)-MAX(Lists!H$22,$AF46))/($AG46-$AF46))+N($E46)*IF($AI46-$AH46&lt;1,($AH46&gt;Lists!H$22)*($AH46&lt;=Lists!H$21),MAX(0,MIN(Lists!H$21,$AI46)-MAX(Lists!H$22,$AH46))/($AI46-$AH46))+N($F46)*IF($AK46-$AJ46&lt;1,($AJ46&gt;Lists!H$22)*($AJ46&lt;=Lists!H$21),MAX(0,MIN(Lists!H$21,$AK46)-MAX(Lists!H$22,$AJ46))/($AK46-$AJ46))+N($G46)*IF($AM46-$AL46&lt;1,($AL46&gt;Lists!H$22)*($AL46&lt;=Lists!H$21),MAX(0,MIN(Lists!H$21,$AM46)-MAX(Lists!H$22,$AL46))/($AM46-$AL46))))))))</f>
        <v>0</v>
      </c>
      <c r="S46" s="53" t="n">
        <f aca="false">IF($H46=0,0,IF($AP46="X",0,IF($AP46="S",$H46/$AO46*(MIN($AO46,MAX(0,INT((Lists!I$21-N($J46))/7)+1))-MIN($AO46,MAX(0,INT((Lists!I$22-N($J46))/7)+1))),IF($AP46="D",$H46*MAX(0,MIN(Lists!I$21,N($J46)+$AO46)-MAX(Lists!I$22,N($J46)))/$AO46,IF($AP46="M",$H46/$AO46*(IF(Lists!I$21&lt;$J46,0,MIN($AO46,(((YEAR(Lists!I$21)-YEAR($J46))*12+MONTH(Lists!I$21)-MONTH($J46))-(EDATE($J46,((YEAR(Lists!I$21)-YEAR($J46))*12+MONTH(Lists!I$21)-MONTH($J46)))&gt;Lists!I$21)+1)))-IF(Lists!I$22&lt;$J46,0,MIN($AO46,(((YEAR(Lists!I$22)-YEAR($J46))*12+MONTH(Lists!I$22)-MONTH($J46))-(EDATE($J46,((YEAR(Lists!I$22)-YEAR($J46))*12+MONTH(Lists!I$22)-MONTH($J46)))&gt;Lists!I$22)+1)))),IF($AP46="F",IF(N($K46)&lt;=0,0,MIN(MAX(0,$H46),N($K46)*IF(Lists!I$21&lt;$J46,0,(((YEAR(Lists!I$21)-YEAR($J46))*12+MONTH(Lists!I$21)-MONTH($J46))-(EDATE($J46,((YEAR(Lists!I$21)-YEAR($J46))*12+MONTH(Lists!I$21)-MONTH($J46)))&gt;Lists!I$21)+1)))-MIN(MAX(0,$H46),N($K46)*IF(Lists!I$22&lt;$J46,0,(((YEAR(Lists!I$22)-YEAR($J46))*12+MONTH(Lists!I$22)-MONTH($J46))-(EDATE($J46,((YEAR(Lists!I$22)-YEAR($J46))*12+MONTH(Lists!I$22)-MONTH($J46)))&gt;Lists!I$22)+1)))),N($C46)*IF($AE46-$AD46&lt;1,($AD46&gt;Lists!I$22)*($AD46&lt;=Lists!I$21),MAX(0,MIN(Lists!I$21,$AE46)-MAX(Lists!I$22,$AD46))/($AE46-$AD46))+N($D46)*IF($AG46-$AF46&lt;1,($AF46&gt;Lists!I$22)*($AF46&lt;=Lists!I$21),MAX(0,MIN(Lists!I$21,$AG46)-MAX(Lists!I$22,$AF46))/($AG46-$AF46))+N($E46)*IF($AI46-$AH46&lt;1,($AH46&gt;Lists!I$22)*($AH46&lt;=Lists!I$21),MAX(0,MIN(Lists!I$21,$AI46)-MAX(Lists!I$22,$AH46))/($AI46-$AH46))+N($F46)*IF($AK46-$AJ46&lt;1,($AJ46&gt;Lists!I$22)*($AJ46&lt;=Lists!I$21),MAX(0,MIN(Lists!I$21,$AK46)-MAX(Lists!I$22,$AJ46))/($AK46-$AJ46))+N($G46)*IF($AM46-$AL46&lt;1,($AL46&gt;Lists!I$22)*($AL46&lt;=Lists!I$21),MAX(0,MIN(Lists!I$21,$AM46)-MAX(Lists!I$22,$AL46))/($AM46-$AL46))))))))</f>
        <v>0</v>
      </c>
      <c r="T46" s="53" t="n">
        <f aca="false">IF($H46=0,0,IF($AP46="X",0,IF($AP46="S",$H46/$AO46*(MIN($AO46,MAX(0,INT((Lists!J$21-N($J46))/7)+1))-MIN($AO46,MAX(0,INT((Lists!J$22-N($J46))/7)+1))),IF($AP46="D",$H46*MAX(0,MIN(Lists!J$21,N($J46)+$AO46)-MAX(Lists!J$22,N($J46)))/$AO46,IF($AP46="M",$H46/$AO46*(IF(Lists!J$21&lt;$J46,0,MIN($AO46,(((YEAR(Lists!J$21)-YEAR($J46))*12+MONTH(Lists!J$21)-MONTH($J46))-(EDATE($J46,((YEAR(Lists!J$21)-YEAR($J46))*12+MONTH(Lists!J$21)-MONTH($J46)))&gt;Lists!J$21)+1)))-IF(Lists!J$22&lt;$J46,0,MIN($AO46,(((YEAR(Lists!J$22)-YEAR($J46))*12+MONTH(Lists!J$22)-MONTH($J46))-(EDATE($J46,((YEAR(Lists!J$22)-YEAR($J46))*12+MONTH(Lists!J$22)-MONTH($J46)))&gt;Lists!J$22)+1)))),IF($AP46="F",IF(N($K46)&lt;=0,0,MIN(MAX(0,$H46),N($K46)*IF(Lists!J$21&lt;$J46,0,(((YEAR(Lists!J$21)-YEAR($J46))*12+MONTH(Lists!J$21)-MONTH($J46))-(EDATE($J46,((YEAR(Lists!J$21)-YEAR($J46))*12+MONTH(Lists!J$21)-MONTH($J46)))&gt;Lists!J$21)+1)))-MIN(MAX(0,$H46),N($K46)*IF(Lists!J$22&lt;$J46,0,(((YEAR(Lists!J$22)-YEAR($J46))*12+MONTH(Lists!J$22)-MONTH($J46))-(EDATE($J46,((YEAR(Lists!J$22)-YEAR($J46))*12+MONTH(Lists!J$22)-MONTH($J46)))&gt;Lists!J$22)+1)))),N($C46)*IF($AE46-$AD46&lt;1,($AD46&gt;Lists!J$22)*($AD46&lt;=Lists!J$21),MAX(0,MIN(Lists!J$21,$AE46)-MAX(Lists!J$22,$AD46))/($AE46-$AD46))+N($D46)*IF($AG46-$AF46&lt;1,($AF46&gt;Lists!J$22)*($AF46&lt;=Lists!J$21),MAX(0,MIN(Lists!J$21,$AG46)-MAX(Lists!J$22,$AF46))/($AG46-$AF46))+N($E46)*IF($AI46-$AH46&lt;1,($AH46&gt;Lists!J$22)*($AH46&lt;=Lists!J$21),MAX(0,MIN(Lists!J$21,$AI46)-MAX(Lists!J$22,$AH46))/($AI46-$AH46))+N($F46)*IF($AK46-$AJ46&lt;1,($AJ46&gt;Lists!J$22)*($AJ46&lt;=Lists!J$21),MAX(0,MIN(Lists!J$21,$AK46)-MAX(Lists!J$22,$AJ46))/($AK46-$AJ46))+N($G46)*IF($AM46-$AL46&lt;1,($AL46&gt;Lists!J$22)*($AL46&lt;=Lists!J$21),MAX(0,MIN(Lists!J$21,$AM46)-MAX(Lists!J$22,$AL46))/($AM46-$AL46))))))))</f>
        <v>0</v>
      </c>
      <c r="U46" s="53" t="n">
        <f aca="false">IF($H46=0,0,IF($AP46="X",0,IF($AP46="S",$H46/$AO46*(MIN($AO46,MAX(0,INT((Lists!K$21-N($J46))/7)+1))-MIN($AO46,MAX(0,INT((Lists!K$22-N($J46))/7)+1))),IF($AP46="D",$H46*MAX(0,MIN(Lists!K$21,N($J46)+$AO46)-MAX(Lists!K$22,N($J46)))/$AO46,IF($AP46="M",$H46/$AO46*(IF(Lists!K$21&lt;$J46,0,MIN($AO46,(((YEAR(Lists!K$21)-YEAR($J46))*12+MONTH(Lists!K$21)-MONTH($J46))-(EDATE($J46,((YEAR(Lists!K$21)-YEAR($J46))*12+MONTH(Lists!K$21)-MONTH($J46)))&gt;Lists!K$21)+1)))-IF(Lists!K$22&lt;$J46,0,MIN($AO46,(((YEAR(Lists!K$22)-YEAR($J46))*12+MONTH(Lists!K$22)-MONTH($J46))-(EDATE($J46,((YEAR(Lists!K$22)-YEAR($J46))*12+MONTH(Lists!K$22)-MONTH($J46)))&gt;Lists!K$22)+1)))),IF($AP46="F",IF(N($K46)&lt;=0,0,MIN(MAX(0,$H46),N($K46)*IF(Lists!K$21&lt;$J46,0,(((YEAR(Lists!K$21)-YEAR($J46))*12+MONTH(Lists!K$21)-MONTH($J46))-(EDATE($J46,((YEAR(Lists!K$21)-YEAR($J46))*12+MONTH(Lists!K$21)-MONTH($J46)))&gt;Lists!K$21)+1)))-MIN(MAX(0,$H46),N($K46)*IF(Lists!K$22&lt;$J46,0,(((YEAR(Lists!K$22)-YEAR($J46))*12+MONTH(Lists!K$22)-MONTH($J46))-(EDATE($J46,((YEAR(Lists!K$22)-YEAR($J46))*12+MONTH(Lists!K$22)-MONTH($J46)))&gt;Lists!K$22)+1)))),N($C46)*IF($AE46-$AD46&lt;1,($AD46&gt;Lists!K$22)*($AD46&lt;=Lists!K$21),MAX(0,MIN(Lists!K$21,$AE46)-MAX(Lists!K$22,$AD46))/($AE46-$AD46))+N($D46)*IF($AG46-$AF46&lt;1,($AF46&gt;Lists!K$22)*($AF46&lt;=Lists!K$21),MAX(0,MIN(Lists!K$21,$AG46)-MAX(Lists!K$22,$AF46))/($AG46-$AF46))+N($E46)*IF($AI46-$AH46&lt;1,($AH46&gt;Lists!K$22)*($AH46&lt;=Lists!K$21),MAX(0,MIN(Lists!K$21,$AI46)-MAX(Lists!K$22,$AH46))/($AI46-$AH46))+N($F46)*IF($AK46-$AJ46&lt;1,($AJ46&gt;Lists!K$22)*($AJ46&lt;=Lists!K$21),MAX(0,MIN(Lists!K$21,$AK46)-MAX(Lists!K$22,$AJ46))/($AK46-$AJ46))+N($G46)*IF($AM46-$AL46&lt;1,($AL46&gt;Lists!K$22)*($AL46&lt;=Lists!K$21),MAX(0,MIN(Lists!K$21,$AM46)-MAX(Lists!K$22,$AL46))/($AM46-$AL46))))))))</f>
        <v>0</v>
      </c>
      <c r="V46" s="53" t="n">
        <f aca="false">IF($H46=0,0,IF($AP46="X",0,IF($AP46="S",$H46/$AO46*(MIN($AO46,MAX(0,INT((Lists!L$21-N($J46))/7)+1))-MIN($AO46,MAX(0,INT((Lists!L$22-N($J46))/7)+1))),IF($AP46="D",$H46*MAX(0,MIN(Lists!L$21,N($J46)+$AO46)-MAX(Lists!L$22,N($J46)))/$AO46,IF($AP46="M",$H46/$AO46*(IF(Lists!L$21&lt;$J46,0,MIN($AO46,(((YEAR(Lists!L$21)-YEAR($J46))*12+MONTH(Lists!L$21)-MONTH($J46))-(EDATE($J46,((YEAR(Lists!L$21)-YEAR($J46))*12+MONTH(Lists!L$21)-MONTH($J46)))&gt;Lists!L$21)+1)))-IF(Lists!L$22&lt;$J46,0,MIN($AO46,(((YEAR(Lists!L$22)-YEAR($J46))*12+MONTH(Lists!L$22)-MONTH($J46))-(EDATE($J46,((YEAR(Lists!L$22)-YEAR($J46))*12+MONTH(Lists!L$22)-MONTH($J46)))&gt;Lists!L$22)+1)))),IF($AP46="F",IF(N($K46)&lt;=0,0,MIN(MAX(0,$H46),N($K46)*IF(Lists!L$21&lt;$J46,0,(((YEAR(Lists!L$21)-YEAR($J46))*12+MONTH(Lists!L$21)-MONTH($J46))-(EDATE($J46,((YEAR(Lists!L$21)-YEAR($J46))*12+MONTH(Lists!L$21)-MONTH($J46)))&gt;Lists!L$21)+1)))-MIN(MAX(0,$H46),N($K46)*IF(Lists!L$22&lt;$J46,0,(((YEAR(Lists!L$22)-YEAR($J46))*12+MONTH(Lists!L$22)-MONTH($J46))-(EDATE($J46,((YEAR(Lists!L$22)-YEAR($J46))*12+MONTH(Lists!L$22)-MONTH($J46)))&gt;Lists!L$22)+1)))),N($C46)*IF($AE46-$AD46&lt;1,($AD46&gt;Lists!L$22)*($AD46&lt;=Lists!L$21),MAX(0,MIN(Lists!L$21,$AE46)-MAX(Lists!L$22,$AD46))/($AE46-$AD46))+N($D46)*IF($AG46-$AF46&lt;1,($AF46&gt;Lists!L$22)*($AF46&lt;=Lists!L$21),MAX(0,MIN(Lists!L$21,$AG46)-MAX(Lists!L$22,$AF46))/($AG46-$AF46))+N($E46)*IF($AI46-$AH46&lt;1,($AH46&gt;Lists!L$22)*($AH46&lt;=Lists!L$21),MAX(0,MIN(Lists!L$21,$AI46)-MAX(Lists!L$22,$AH46))/($AI46-$AH46))+N($F46)*IF($AK46-$AJ46&lt;1,($AJ46&gt;Lists!L$22)*($AJ46&lt;=Lists!L$21),MAX(0,MIN(Lists!L$21,$AK46)-MAX(Lists!L$22,$AJ46))/($AK46-$AJ46))+N($G46)*IF($AM46-$AL46&lt;1,($AL46&gt;Lists!L$22)*($AL46&lt;=Lists!L$21),MAX(0,MIN(Lists!L$21,$AM46)-MAX(Lists!L$22,$AL46))/($AM46-$AL46))))))))</f>
        <v>0</v>
      </c>
      <c r="W46" s="53" t="n">
        <f aca="false">IF($H46=0,0,IF($AP46="X",0,IF($AP46="S",$H46/$AO46*(MIN($AO46,MAX(0,INT((Lists!M$21-N($J46))/7)+1))-MIN($AO46,MAX(0,INT((Lists!M$22-N($J46))/7)+1))),IF($AP46="D",$H46*MAX(0,MIN(Lists!M$21,N($J46)+$AO46)-MAX(Lists!M$22,N($J46)))/$AO46,IF($AP46="M",$H46/$AO46*(IF(Lists!M$21&lt;$J46,0,MIN($AO46,(((YEAR(Lists!M$21)-YEAR($J46))*12+MONTH(Lists!M$21)-MONTH($J46))-(EDATE($J46,((YEAR(Lists!M$21)-YEAR($J46))*12+MONTH(Lists!M$21)-MONTH($J46)))&gt;Lists!M$21)+1)))-IF(Lists!M$22&lt;$J46,0,MIN($AO46,(((YEAR(Lists!M$22)-YEAR($J46))*12+MONTH(Lists!M$22)-MONTH($J46))-(EDATE($J46,((YEAR(Lists!M$22)-YEAR($J46))*12+MONTH(Lists!M$22)-MONTH($J46)))&gt;Lists!M$22)+1)))),IF($AP46="F",IF(N($K46)&lt;=0,0,MIN(MAX(0,$H46),N($K46)*IF(Lists!M$21&lt;$J46,0,(((YEAR(Lists!M$21)-YEAR($J46))*12+MONTH(Lists!M$21)-MONTH($J46))-(EDATE($J46,((YEAR(Lists!M$21)-YEAR($J46))*12+MONTH(Lists!M$21)-MONTH($J46)))&gt;Lists!M$21)+1)))-MIN(MAX(0,$H46),N($K46)*IF(Lists!M$22&lt;$J46,0,(((YEAR(Lists!M$22)-YEAR($J46))*12+MONTH(Lists!M$22)-MONTH($J46))-(EDATE($J46,((YEAR(Lists!M$22)-YEAR($J46))*12+MONTH(Lists!M$22)-MONTH($J46)))&gt;Lists!M$22)+1)))),N($C46)*IF($AE46-$AD46&lt;1,($AD46&gt;Lists!M$22)*($AD46&lt;=Lists!M$21),MAX(0,MIN(Lists!M$21,$AE46)-MAX(Lists!M$22,$AD46))/($AE46-$AD46))+N($D46)*IF($AG46-$AF46&lt;1,($AF46&gt;Lists!M$22)*($AF46&lt;=Lists!M$21),MAX(0,MIN(Lists!M$21,$AG46)-MAX(Lists!M$22,$AF46))/($AG46-$AF46))+N($E46)*IF($AI46-$AH46&lt;1,($AH46&gt;Lists!M$22)*($AH46&lt;=Lists!M$21),MAX(0,MIN(Lists!M$21,$AI46)-MAX(Lists!M$22,$AH46))/($AI46-$AH46))+N($F46)*IF($AK46-$AJ46&lt;1,($AJ46&gt;Lists!M$22)*($AJ46&lt;=Lists!M$21),MAX(0,MIN(Lists!M$21,$AK46)-MAX(Lists!M$22,$AJ46))/($AK46-$AJ46))+N($G46)*IF($AM46-$AL46&lt;1,($AL46&gt;Lists!M$22)*($AL46&lt;=Lists!M$21),MAX(0,MIN(Lists!M$21,$AM46)-MAX(Lists!M$22,$AL46))/($AM46-$AL46))))))))</f>
        <v>0</v>
      </c>
      <c r="X46" s="53" t="n">
        <f aca="false">IF($H46=0,0,IF($AP46="X",0,IF($AP46="S",$H46/$AO46*(MIN($AO46,MAX(0,INT((Lists!N$21-N($J46))/7)+1))-MIN($AO46,MAX(0,INT((Lists!N$22-N($J46))/7)+1))),IF($AP46="D",$H46*MAX(0,MIN(Lists!N$21,N($J46)+$AO46)-MAX(Lists!N$22,N($J46)))/$AO46,IF($AP46="M",$H46/$AO46*(IF(Lists!N$21&lt;$J46,0,MIN($AO46,(((YEAR(Lists!N$21)-YEAR($J46))*12+MONTH(Lists!N$21)-MONTH($J46))-(EDATE($J46,((YEAR(Lists!N$21)-YEAR($J46))*12+MONTH(Lists!N$21)-MONTH($J46)))&gt;Lists!N$21)+1)))-IF(Lists!N$22&lt;$J46,0,MIN($AO46,(((YEAR(Lists!N$22)-YEAR($J46))*12+MONTH(Lists!N$22)-MONTH($J46))-(EDATE($J46,((YEAR(Lists!N$22)-YEAR($J46))*12+MONTH(Lists!N$22)-MONTH($J46)))&gt;Lists!N$22)+1)))),IF($AP46="F",IF(N($K46)&lt;=0,0,MIN(MAX(0,$H46),N($K46)*IF(Lists!N$21&lt;$J46,0,(((YEAR(Lists!N$21)-YEAR($J46))*12+MONTH(Lists!N$21)-MONTH($J46))-(EDATE($J46,((YEAR(Lists!N$21)-YEAR($J46))*12+MONTH(Lists!N$21)-MONTH($J46)))&gt;Lists!N$21)+1)))-MIN(MAX(0,$H46),N($K46)*IF(Lists!N$22&lt;$J46,0,(((YEAR(Lists!N$22)-YEAR($J46))*12+MONTH(Lists!N$22)-MONTH($J46))-(EDATE($J46,((YEAR(Lists!N$22)-YEAR($J46))*12+MONTH(Lists!N$22)-MONTH($J46)))&gt;Lists!N$22)+1)))),N($C46)*IF($AE46-$AD46&lt;1,($AD46&gt;Lists!N$22)*($AD46&lt;=Lists!N$21),MAX(0,MIN(Lists!N$21,$AE46)-MAX(Lists!N$22,$AD46))/($AE46-$AD46))+N($D46)*IF($AG46-$AF46&lt;1,($AF46&gt;Lists!N$22)*($AF46&lt;=Lists!N$21),MAX(0,MIN(Lists!N$21,$AG46)-MAX(Lists!N$22,$AF46))/($AG46-$AF46))+N($E46)*IF($AI46-$AH46&lt;1,($AH46&gt;Lists!N$22)*($AH46&lt;=Lists!N$21),MAX(0,MIN(Lists!N$21,$AI46)-MAX(Lists!N$22,$AH46))/($AI46-$AH46))+N($F46)*IF($AK46-$AJ46&lt;1,($AJ46&gt;Lists!N$22)*($AJ46&lt;=Lists!N$21),MAX(0,MIN(Lists!N$21,$AK46)-MAX(Lists!N$22,$AJ46))/($AK46-$AJ46))+N($G46)*IF($AM46-$AL46&lt;1,($AL46&gt;Lists!N$22)*($AL46&lt;=Lists!N$21),MAX(0,MIN(Lists!N$21,$AM46)-MAX(Lists!N$22,$AL46))/($AM46-$AL46))))))))</f>
        <v>0</v>
      </c>
      <c r="Y46" s="53" t="n">
        <f aca="false">IF($H46=0,0,IF($AP46="X",0,IF($AP46="S",$H46/$AO46*(MIN($AO46,MAX(0,INT((Lists!O$21-N($J46))/7)+1))-MIN($AO46,MAX(0,INT((Lists!O$22-N($J46))/7)+1))),IF($AP46="D",$H46*MAX(0,MIN(Lists!O$21,N($J46)+$AO46)-MAX(Lists!O$22,N($J46)))/$AO46,IF($AP46="M",$H46/$AO46*(IF(Lists!O$21&lt;$J46,0,MIN($AO46,(((YEAR(Lists!O$21)-YEAR($J46))*12+MONTH(Lists!O$21)-MONTH($J46))-(EDATE($J46,((YEAR(Lists!O$21)-YEAR($J46))*12+MONTH(Lists!O$21)-MONTH($J46)))&gt;Lists!O$21)+1)))-IF(Lists!O$22&lt;$J46,0,MIN($AO46,(((YEAR(Lists!O$22)-YEAR($J46))*12+MONTH(Lists!O$22)-MONTH($J46))-(EDATE($J46,((YEAR(Lists!O$22)-YEAR($J46))*12+MONTH(Lists!O$22)-MONTH($J46)))&gt;Lists!O$22)+1)))),IF($AP46="F",IF(N($K46)&lt;=0,0,MIN(MAX(0,$H46),N($K46)*IF(Lists!O$21&lt;$J46,0,(((YEAR(Lists!O$21)-YEAR($J46))*12+MONTH(Lists!O$21)-MONTH($J46))-(EDATE($J46,((YEAR(Lists!O$21)-YEAR($J46))*12+MONTH(Lists!O$21)-MONTH($J46)))&gt;Lists!O$21)+1)))-MIN(MAX(0,$H46),N($K46)*IF(Lists!O$22&lt;$J46,0,(((YEAR(Lists!O$22)-YEAR($J46))*12+MONTH(Lists!O$22)-MONTH($J46))-(EDATE($J46,((YEAR(Lists!O$22)-YEAR($J46))*12+MONTH(Lists!O$22)-MONTH($J46)))&gt;Lists!O$22)+1)))),N($C46)*IF($AE46-$AD46&lt;1,($AD46&gt;Lists!O$22)*($AD46&lt;=Lists!O$21),MAX(0,MIN(Lists!O$21,$AE46)-MAX(Lists!O$22,$AD46))/($AE46-$AD46))+N($D46)*IF($AG46-$AF46&lt;1,($AF46&gt;Lists!O$22)*($AF46&lt;=Lists!O$21),MAX(0,MIN(Lists!O$21,$AG46)-MAX(Lists!O$22,$AF46))/($AG46-$AF46))+N($E46)*IF($AI46-$AH46&lt;1,($AH46&gt;Lists!O$22)*($AH46&lt;=Lists!O$21),MAX(0,MIN(Lists!O$21,$AI46)-MAX(Lists!O$22,$AH46))/($AI46-$AH46))+N($F46)*IF($AK46-$AJ46&lt;1,($AJ46&gt;Lists!O$22)*($AJ46&lt;=Lists!O$21),MAX(0,MIN(Lists!O$21,$AK46)-MAX(Lists!O$22,$AJ46))/($AK46-$AJ46))+N($G46)*IF($AM46-$AL46&lt;1,($AL46&gt;Lists!O$22)*($AL46&lt;=Lists!O$21),MAX(0,MIN(Lists!O$21,$AM46)-MAX(Lists!O$22,$AL46))/($AM46-$AL46))))))))</f>
        <v>0</v>
      </c>
      <c r="Z46" s="46" t="n">
        <f aca="false">SUM(M46:Y46)</f>
        <v>0</v>
      </c>
      <c r="AA46" s="92" t="n">
        <f aca="false">H46-Z46</f>
        <v>0</v>
      </c>
      <c r="AB46" s="55"/>
      <c r="AC46" s="2"/>
      <c r="AD46" s="93" t="n">
        <f aca="false">Setup!$D$10+MAX(0,$AN46-30)</f>
        <v>46345</v>
      </c>
      <c r="AE46" s="93" t="n">
        <f aca="false">Setup!$D$10+IF($AN46-30&lt;0,MAX(Setup!$D$22,$AN46-0),$AN46-0)</f>
        <v>46375</v>
      </c>
      <c r="AF46" s="93" t="n">
        <f aca="false">Setup!$D$10+MAX(0,$AN46-60)</f>
        <v>46335</v>
      </c>
      <c r="AG46" s="93" t="n">
        <f aca="false">Setup!$D$10+IF($AN46-60&lt;0,MAX(Setup!$D$22,$AN46-31),$AN46-31)</f>
        <v>46363</v>
      </c>
      <c r="AH46" s="93" t="n">
        <f aca="false">Setup!$D$10+MAX(0,$AN46-90)</f>
        <v>46335</v>
      </c>
      <c r="AI46" s="93" t="n">
        <f aca="false">Setup!$D$10+IF($AN46-90&lt;0,MAX(Setup!$D$22,$AN46-61),$AN46-61)</f>
        <v>46363</v>
      </c>
      <c r="AJ46" s="93" t="n">
        <f aca="false">Setup!$D$10+MAX(0,$AN46-120)</f>
        <v>46335</v>
      </c>
      <c r="AK46" s="93" t="n">
        <f aca="false">Setup!$D$10+IF($AN46-120&lt;0,MAX(Setup!$D$22,$AN46-91),$AN46-91)</f>
        <v>46363</v>
      </c>
      <c r="AL46" s="93" t="n">
        <f aca="false">Setup!$D$10</f>
        <v>46335</v>
      </c>
      <c r="AM46" s="93" t="n">
        <f aca="false">IF(AL46=2958465,AL46,Setup!$D$10+Setup!$D$22)</f>
        <v>46363</v>
      </c>
      <c r="AN46" s="94" t="n">
        <f aca="false">IF(N(L46)=0,Setup!$D$21,L46)</f>
        <v>40</v>
      </c>
      <c r="AO46" s="94" t="n">
        <f aca="false">MAX(1,ROUND(N(K46),0))</f>
        <v>1</v>
      </c>
      <c r="AP46" s="95" t="str">
        <f aca="false">IF(I46="On hold","X",IF(N(J46)=0,"A",IF(I46="Specific date","S",IF(I46="Spread over days","D",IF(I46="Monthly on set day","M",IF(I46="Monthly fixed amount","F","A"))))))</f>
        <v>A</v>
      </c>
    </row>
    <row r="47" customFormat="false" ht="15" hidden="false" customHeight="false" outlineLevel="0" collapsed="false">
      <c r="A47" s="87" t="n">
        <v>39</v>
      </c>
      <c r="B47" s="55"/>
      <c r="C47" s="88"/>
      <c r="D47" s="88"/>
      <c r="E47" s="88"/>
      <c r="F47" s="88"/>
      <c r="G47" s="88"/>
      <c r="H47" s="89" t="n">
        <f aca="false">SUM(C47:G47)</f>
        <v>0</v>
      </c>
      <c r="I47" s="58"/>
      <c r="J47" s="90"/>
      <c r="K47" s="91"/>
      <c r="L47" s="80"/>
      <c r="M47" s="53" t="n">
        <f aca="false">IF($H47=0,0,IF($AP47="X",0,IF($AP47="S",$H47/$AO47*(MIN($AO47,MAX(0,INT((Lists!C$21-N($J47))/7)+1))-MIN($AO47,MAX(0,INT((Lists!C$22-N($J47))/7)+1))),IF($AP47="D",$H47*MAX(0,MIN(Lists!C$21,N($J47)+$AO47)-MAX(Lists!C$22,N($J47)))/$AO47,IF($AP47="M",$H47/$AO47*(IF(Lists!C$21&lt;$J47,0,MIN($AO47,(((YEAR(Lists!C$21)-YEAR($J47))*12+MONTH(Lists!C$21)-MONTH($J47))-(EDATE($J47,((YEAR(Lists!C$21)-YEAR($J47))*12+MONTH(Lists!C$21)-MONTH($J47)))&gt;Lists!C$21)+1)))-IF(Lists!C$22&lt;$J47,0,MIN($AO47,(((YEAR(Lists!C$22)-YEAR($J47))*12+MONTH(Lists!C$22)-MONTH($J47))-(EDATE($J47,((YEAR(Lists!C$22)-YEAR($J47))*12+MONTH(Lists!C$22)-MONTH($J47)))&gt;Lists!C$22)+1)))),IF($AP47="F",IF(N($K47)&lt;=0,0,MIN(MAX(0,$H47),N($K47)*IF(Lists!C$21&lt;$J47,0,(((YEAR(Lists!C$21)-YEAR($J47))*12+MONTH(Lists!C$21)-MONTH($J47))-(EDATE($J47,((YEAR(Lists!C$21)-YEAR($J47))*12+MONTH(Lists!C$21)-MONTH($J47)))&gt;Lists!C$21)+1)))-MIN(MAX(0,$H47),N($K47)*IF(Lists!C$22&lt;$J47,0,(((YEAR(Lists!C$22)-YEAR($J47))*12+MONTH(Lists!C$22)-MONTH($J47))-(EDATE($J47,((YEAR(Lists!C$22)-YEAR($J47))*12+MONTH(Lists!C$22)-MONTH($J47)))&gt;Lists!C$22)+1)))),N($C47)*IF($AE47-$AD47&lt;1,($AD47&gt;Lists!C$22)*($AD47&lt;=Lists!C$21),MAX(0,MIN(Lists!C$21,$AE47)-MAX(Lists!C$22,$AD47))/($AE47-$AD47))+N($D47)*IF($AG47-$AF47&lt;1,($AF47&gt;Lists!C$22)*($AF47&lt;=Lists!C$21),MAX(0,MIN(Lists!C$21,$AG47)-MAX(Lists!C$22,$AF47))/($AG47-$AF47))+N($E47)*IF($AI47-$AH47&lt;1,($AH47&gt;Lists!C$22)*($AH47&lt;=Lists!C$21),MAX(0,MIN(Lists!C$21,$AI47)-MAX(Lists!C$22,$AH47))/($AI47-$AH47))+N($F47)*IF($AK47-$AJ47&lt;1,($AJ47&gt;Lists!C$22)*($AJ47&lt;=Lists!C$21),MAX(0,MIN(Lists!C$21,$AK47)-MAX(Lists!C$22,$AJ47))/($AK47-$AJ47))+N($G47)*IF($AM47-$AL47&lt;1,($AL47&gt;Lists!C$22)*($AL47&lt;=Lists!C$21),MAX(0,MIN(Lists!C$21,$AM47)-MAX(Lists!C$22,$AL47))/($AM47-$AL47))))))))</f>
        <v>0</v>
      </c>
      <c r="N47" s="53" t="n">
        <f aca="false">IF($H47=0,0,IF($AP47="X",0,IF($AP47="S",$H47/$AO47*(MIN($AO47,MAX(0,INT((Lists!D$21-N($J47))/7)+1))-MIN($AO47,MAX(0,INT((Lists!D$22-N($J47))/7)+1))),IF($AP47="D",$H47*MAX(0,MIN(Lists!D$21,N($J47)+$AO47)-MAX(Lists!D$22,N($J47)))/$AO47,IF($AP47="M",$H47/$AO47*(IF(Lists!D$21&lt;$J47,0,MIN($AO47,(((YEAR(Lists!D$21)-YEAR($J47))*12+MONTH(Lists!D$21)-MONTH($J47))-(EDATE($J47,((YEAR(Lists!D$21)-YEAR($J47))*12+MONTH(Lists!D$21)-MONTH($J47)))&gt;Lists!D$21)+1)))-IF(Lists!D$22&lt;$J47,0,MIN($AO47,(((YEAR(Lists!D$22)-YEAR($J47))*12+MONTH(Lists!D$22)-MONTH($J47))-(EDATE($J47,((YEAR(Lists!D$22)-YEAR($J47))*12+MONTH(Lists!D$22)-MONTH($J47)))&gt;Lists!D$22)+1)))),IF($AP47="F",IF(N($K47)&lt;=0,0,MIN(MAX(0,$H47),N($K47)*IF(Lists!D$21&lt;$J47,0,(((YEAR(Lists!D$21)-YEAR($J47))*12+MONTH(Lists!D$21)-MONTH($J47))-(EDATE($J47,((YEAR(Lists!D$21)-YEAR($J47))*12+MONTH(Lists!D$21)-MONTH($J47)))&gt;Lists!D$21)+1)))-MIN(MAX(0,$H47),N($K47)*IF(Lists!D$22&lt;$J47,0,(((YEAR(Lists!D$22)-YEAR($J47))*12+MONTH(Lists!D$22)-MONTH($J47))-(EDATE($J47,((YEAR(Lists!D$22)-YEAR($J47))*12+MONTH(Lists!D$22)-MONTH($J47)))&gt;Lists!D$22)+1)))),N($C47)*IF($AE47-$AD47&lt;1,($AD47&gt;Lists!D$22)*($AD47&lt;=Lists!D$21),MAX(0,MIN(Lists!D$21,$AE47)-MAX(Lists!D$22,$AD47))/($AE47-$AD47))+N($D47)*IF($AG47-$AF47&lt;1,($AF47&gt;Lists!D$22)*($AF47&lt;=Lists!D$21),MAX(0,MIN(Lists!D$21,$AG47)-MAX(Lists!D$22,$AF47))/($AG47-$AF47))+N($E47)*IF($AI47-$AH47&lt;1,($AH47&gt;Lists!D$22)*($AH47&lt;=Lists!D$21),MAX(0,MIN(Lists!D$21,$AI47)-MAX(Lists!D$22,$AH47))/($AI47-$AH47))+N($F47)*IF($AK47-$AJ47&lt;1,($AJ47&gt;Lists!D$22)*($AJ47&lt;=Lists!D$21),MAX(0,MIN(Lists!D$21,$AK47)-MAX(Lists!D$22,$AJ47))/($AK47-$AJ47))+N($G47)*IF($AM47-$AL47&lt;1,($AL47&gt;Lists!D$22)*($AL47&lt;=Lists!D$21),MAX(0,MIN(Lists!D$21,$AM47)-MAX(Lists!D$22,$AL47))/($AM47-$AL47))))))))</f>
        <v>0</v>
      </c>
      <c r="O47" s="53" t="n">
        <f aca="false">IF($H47=0,0,IF($AP47="X",0,IF($AP47="S",$H47/$AO47*(MIN($AO47,MAX(0,INT((Lists!E$21-N($J47))/7)+1))-MIN($AO47,MAX(0,INT((Lists!E$22-N($J47))/7)+1))),IF($AP47="D",$H47*MAX(0,MIN(Lists!E$21,N($J47)+$AO47)-MAX(Lists!E$22,N($J47)))/$AO47,IF($AP47="M",$H47/$AO47*(IF(Lists!E$21&lt;$J47,0,MIN($AO47,(((YEAR(Lists!E$21)-YEAR($J47))*12+MONTH(Lists!E$21)-MONTH($J47))-(EDATE($J47,((YEAR(Lists!E$21)-YEAR($J47))*12+MONTH(Lists!E$21)-MONTH($J47)))&gt;Lists!E$21)+1)))-IF(Lists!E$22&lt;$J47,0,MIN($AO47,(((YEAR(Lists!E$22)-YEAR($J47))*12+MONTH(Lists!E$22)-MONTH($J47))-(EDATE($J47,((YEAR(Lists!E$22)-YEAR($J47))*12+MONTH(Lists!E$22)-MONTH($J47)))&gt;Lists!E$22)+1)))),IF($AP47="F",IF(N($K47)&lt;=0,0,MIN(MAX(0,$H47),N($K47)*IF(Lists!E$21&lt;$J47,0,(((YEAR(Lists!E$21)-YEAR($J47))*12+MONTH(Lists!E$21)-MONTH($J47))-(EDATE($J47,((YEAR(Lists!E$21)-YEAR($J47))*12+MONTH(Lists!E$21)-MONTH($J47)))&gt;Lists!E$21)+1)))-MIN(MAX(0,$H47),N($K47)*IF(Lists!E$22&lt;$J47,0,(((YEAR(Lists!E$22)-YEAR($J47))*12+MONTH(Lists!E$22)-MONTH($J47))-(EDATE($J47,((YEAR(Lists!E$22)-YEAR($J47))*12+MONTH(Lists!E$22)-MONTH($J47)))&gt;Lists!E$22)+1)))),N($C47)*IF($AE47-$AD47&lt;1,($AD47&gt;Lists!E$22)*($AD47&lt;=Lists!E$21),MAX(0,MIN(Lists!E$21,$AE47)-MAX(Lists!E$22,$AD47))/($AE47-$AD47))+N($D47)*IF($AG47-$AF47&lt;1,($AF47&gt;Lists!E$22)*($AF47&lt;=Lists!E$21),MAX(0,MIN(Lists!E$21,$AG47)-MAX(Lists!E$22,$AF47))/($AG47-$AF47))+N($E47)*IF($AI47-$AH47&lt;1,($AH47&gt;Lists!E$22)*($AH47&lt;=Lists!E$21),MAX(0,MIN(Lists!E$21,$AI47)-MAX(Lists!E$22,$AH47))/($AI47-$AH47))+N($F47)*IF($AK47-$AJ47&lt;1,($AJ47&gt;Lists!E$22)*($AJ47&lt;=Lists!E$21),MAX(0,MIN(Lists!E$21,$AK47)-MAX(Lists!E$22,$AJ47))/($AK47-$AJ47))+N($G47)*IF($AM47-$AL47&lt;1,($AL47&gt;Lists!E$22)*($AL47&lt;=Lists!E$21),MAX(0,MIN(Lists!E$21,$AM47)-MAX(Lists!E$22,$AL47))/($AM47-$AL47))))))))</f>
        <v>0</v>
      </c>
      <c r="P47" s="53" t="n">
        <f aca="false">IF($H47=0,0,IF($AP47="X",0,IF($AP47="S",$H47/$AO47*(MIN($AO47,MAX(0,INT((Lists!F$21-N($J47))/7)+1))-MIN($AO47,MAX(0,INT((Lists!F$22-N($J47))/7)+1))),IF($AP47="D",$H47*MAX(0,MIN(Lists!F$21,N($J47)+$AO47)-MAX(Lists!F$22,N($J47)))/$AO47,IF($AP47="M",$H47/$AO47*(IF(Lists!F$21&lt;$J47,0,MIN($AO47,(((YEAR(Lists!F$21)-YEAR($J47))*12+MONTH(Lists!F$21)-MONTH($J47))-(EDATE($J47,((YEAR(Lists!F$21)-YEAR($J47))*12+MONTH(Lists!F$21)-MONTH($J47)))&gt;Lists!F$21)+1)))-IF(Lists!F$22&lt;$J47,0,MIN($AO47,(((YEAR(Lists!F$22)-YEAR($J47))*12+MONTH(Lists!F$22)-MONTH($J47))-(EDATE($J47,((YEAR(Lists!F$22)-YEAR($J47))*12+MONTH(Lists!F$22)-MONTH($J47)))&gt;Lists!F$22)+1)))),IF($AP47="F",IF(N($K47)&lt;=0,0,MIN(MAX(0,$H47),N($K47)*IF(Lists!F$21&lt;$J47,0,(((YEAR(Lists!F$21)-YEAR($J47))*12+MONTH(Lists!F$21)-MONTH($J47))-(EDATE($J47,((YEAR(Lists!F$21)-YEAR($J47))*12+MONTH(Lists!F$21)-MONTH($J47)))&gt;Lists!F$21)+1)))-MIN(MAX(0,$H47),N($K47)*IF(Lists!F$22&lt;$J47,0,(((YEAR(Lists!F$22)-YEAR($J47))*12+MONTH(Lists!F$22)-MONTH($J47))-(EDATE($J47,((YEAR(Lists!F$22)-YEAR($J47))*12+MONTH(Lists!F$22)-MONTH($J47)))&gt;Lists!F$22)+1)))),N($C47)*IF($AE47-$AD47&lt;1,($AD47&gt;Lists!F$22)*($AD47&lt;=Lists!F$21),MAX(0,MIN(Lists!F$21,$AE47)-MAX(Lists!F$22,$AD47))/($AE47-$AD47))+N($D47)*IF($AG47-$AF47&lt;1,($AF47&gt;Lists!F$22)*($AF47&lt;=Lists!F$21),MAX(0,MIN(Lists!F$21,$AG47)-MAX(Lists!F$22,$AF47))/($AG47-$AF47))+N($E47)*IF($AI47-$AH47&lt;1,($AH47&gt;Lists!F$22)*($AH47&lt;=Lists!F$21),MAX(0,MIN(Lists!F$21,$AI47)-MAX(Lists!F$22,$AH47))/($AI47-$AH47))+N($F47)*IF($AK47-$AJ47&lt;1,($AJ47&gt;Lists!F$22)*($AJ47&lt;=Lists!F$21),MAX(0,MIN(Lists!F$21,$AK47)-MAX(Lists!F$22,$AJ47))/($AK47-$AJ47))+N($G47)*IF($AM47-$AL47&lt;1,($AL47&gt;Lists!F$22)*($AL47&lt;=Lists!F$21),MAX(0,MIN(Lists!F$21,$AM47)-MAX(Lists!F$22,$AL47))/($AM47-$AL47))))))))</f>
        <v>0</v>
      </c>
      <c r="Q47" s="53" t="n">
        <f aca="false">IF($H47=0,0,IF($AP47="X",0,IF($AP47="S",$H47/$AO47*(MIN($AO47,MAX(0,INT((Lists!G$21-N($J47))/7)+1))-MIN($AO47,MAX(0,INT((Lists!G$22-N($J47))/7)+1))),IF($AP47="D",$H47*MAX(0,MIN(Lists!G$21,N($J47)+$AO47)-MAX(Lists!G$22,N($J47)))/$AO47,IF($AP47="M",$H47/$AO47*(IF(Lists!G$21&lt;$J47,0,MIN($AO47,(((YEAR(Lists!G$21)-YEAR($J47))*12+MONTH(Lists!G$21)-MONTH($J47))-(EDATE($J47,((YEAR(Lists!G$21)-YEAR($J47))*12+MONTH(Lists!G$21)-MONTH($J47)))&gt;Lists!G$21)+1)))-IF(Lists!G$22&lt;$J47,0,MIN($AO47,(((YEAR(Lists!G$22)-YEAR($J47))*12+MONTH(Lists!G$22)-MONTH($J47))-(EDATE($J47,((YEAR(Lists!G$22)-YEAR($J47))*12+MONTH(Lists!G$22)-MONTH($J47)))&gt;Lists!G$22)+1)))),IF($AP47="F",IF(N($K47)&lt;=0,0,MIN(MAX(0,$H47),N($K47)*IF(Lists!G$21&lt;$J47,0,(((YEAR(Lists!G$21)-YEAR($J47))*12+MONTH(Lists!G$21)-MONTH($J47))-(EDATE($J47,((YEAR(Lists!G$21)-YEAR($J47))*12+MONTH(Lists!G$21)-MONTH($J47)))&gt;Lists!G$21)+1)))-MIN(MAX(0,$H47),N($K47)*IF(Lists!G$22&lt;$J47,0,(((YEAR(Lists!G$22)-YEAR($J47))*12+MONTH(Lists!G$22)-MONTH($J47))-(EDATE($J47,((YEAR(Lists!G$22)-YEAR($J47))*12+MONTH(Lists!G$22)-MONTH($J47)))&gt;Lists!G$22)+1)))),N($C47)*IF($AE47-$AD47&lt;1,($AD47&gt;Lists!G$22)*($AD47&lt;=Lists!G$21),MAX(0,MIN(Lists!G$21,$AE47)-MAX(Lists!G$22,$AD47))/($AE47-$AD47))+N($D47)*IF($AG47-$AF47&lt;1,($AF47&gt;Lists!G$22)*($AF47&lt;=Lists!G$21),MAX(0,MIN(Lists!G$21,$AG47)-MAX(Lists!G$22,$AF47))/($AG47-$AF47))+N($E47)*IF($AI47-$AH47&lt;1,($AH47&gt;Lists!G$22)*($AH47&lt;=Lists!G$21),MAX(0,MIN(Lists!G$21,$AI47)-MAX(Lists!G$22,$AH47))/($AI47-$AH47))+N($F47)*IF($AK47-$AJ47&lt;1,($AJ47&gt;Lists!G$22)*($AJ47&lt;=Lists!G$21),MAX(0,MIN(Lists!G$21,$AK47)-MAX(Lists!G$22,$AJ47))/($AK47-$AJ47))+N($G47)*IF($AM47-$AL47&lt;1,($AL47&gt;Lists!G$22)*($AL47&lt;=Lists!G$21),MAX(0,MIN(Lists!G$21,$AM47)-MAX(Lists!G$22,$AL47))/($AM47-$AL47))))))))</f>
        <v>0</v>
      </c>
      <c r="R47" s="53" t="n">
        <f aca="false">IF($H47=0,0,IF($AP47="X",0,IF($AP47="S",$H47/$AO47*(MIN($AO47,MAX(0,INT((Lists!H$21-N($J47))/7)+1))-MIN($AO47,MAX(0,INT((Lists!H$22-N($J47))/7)+1))),IF($AP47="D",$H47*MAX(0,MIN(Lists!H$21,N($J47)+$AO47)-MAX(Lists!H$22,N($J47)))/$AO47,IF($AP47="M",$H47/$AO47*(IF(Lists!H$21&lt;$J47,0,MIN($AO47,(((YEAR(Lists!H$21)-YEAR($J47))*12+MONTH(Lists!H$21)-MONTH($J47))-(EDATE($J47,((YEAR(Lists!H$21)-YEAR($J47))*12+MONTH(Lists!H$21)-MONTH($J47)))&gt;Lists!H$21)+1)))-IF(Lists!H$22&lt;$J47,0,MIN($AO47,(((YEAR(Lists!H$22)-YEAR($J47))*12+MONTH(Lists!H$22)-MONTH($J47))-(EDATE($J47,((YEAR(Lists!H$22)-YEAR($J47))*12+MONTH(Lists!H$22)-MONTH($J47)))&gt;Lists!H$22)+1)))),IF($AP47="F",IF(N($K47)&lt;=0,0,MIN(MAX(0,$H47),N($K47)*IF(Lists!H$21&lt;$J47,0,(((YEAR(Lists!H$21)-YEAR($J47))*12+MONTH(Lists!H$21)-MONTH($J47))-(EDATE($J47,((YEAR(Lists!H$21)-YEAR($J47))*12+MONTH(Lists!H$21)-MONTH($J47)))&gt;Lists!H$21)+1)))-MIN(MAX(0,$H47),N($K47)*IF(Lists!H$22&lt;$J47,0,(((YEAR(Lists!H$22)-YEAR($J47))*12+MONTH(Lists!H$22)-MONTH($J47))-(EDATE($J47,((YEAR(Lists!H$22)-YEAR($J47))*12+MONTH(Lists!H$22)-MONTH($J47)))&gt;Lists!H$22)+1)))),N($C47)*IF($AE47-$AD47&lt;1,($AD47&gt;Lists!H$22)*($AD47&lt;=Lists!H$21),MAX(0,MIN(Lists!H$21,$AE47)-MAX(Lists!H$22,$AD47))/($AE47-$AD47))+N($D47)*IF($AG47-$AF47&lt;1,($AF47&gt;Lists!H$22)*($AF47&lt;=Lists!H$21),MAX(0,MIN(Lists!H$21,$AG47)-MAX(Lists!H$22,$AF47))/($AG47-$AF47))+N($E47)*IF($AI47-$AH47&lt;1,($AH47&gt;Lists!H$22)*($AH47&lt;=Lists!H$21),MAX(0,MIN(Lists!H$21,$AI47)-MAX(Lists!H$22,$AH47))/($AI47-$AH47))+N($F47)*IF($AK47-$AJ47&lt;1,($AJ47&gt;Lists!H$22)*($AJ47&lt;=Lists!H$21),MAX(0,MIN(Lists!H$21,$AK47)-MAX(Lists!H$22,$AJ47))/($AK47-$AJ47))+N($G47)*IF($AM47-$AL47&lt;1,($AL47&gt;Lists!H$22)*($AL47&lt;=Lists!H$21),MAX(0,MIN(Lists!H$21,$AM47)-MAX(Lists!H$22,$AL47))/($AM47-$AL47))))))))</f>
        <v>0</v>
      </c>
      <c r="S47" s="53" t="n">
        <f aca="false">IF($H47=0,0,IF($AP47="X",0,IF($AP47="S",$H47/$AO47*(MIN($AO47,MAX(0,INT((Lists!I$21-N($J47))/7)+1))-MIN($AO47,MAX(0,INT((Lists!I$22-N($J47))/7)+1))),IF($AP47="D",$H47*MAX(0,MIN(Lists!I$21,N($J47)+$AO47)-MAX(Lists!I$22,N($J47)))/$AO47,IF($AP47="M",$H47/$AO47*(IF(Lists!I$21&lt;$J47,0,MIN($AO47,(((YEAR(Lists!I$21)-YEAR($J47))*12+MONTH(Lists!I$21)-MONTH($J47))-(EDATE($J47,((YEAR(Lists!I$21)-YEAR($J47))*12+MONTH(Lists!I$21)-MONTH($J47)))&gt;Lists!I$21)+1)))-IF(Lists!I$22&lt;$J47,0,MIN($AO47,(((YEAR(Lists!I$22)-YEAR($J47))*12+MONTH(Lists!I$22)-MONTH($J47))-(EDATE($J47,((YEAR(Lists!I$22)-YEAR($J47))*12+MONTH(Lists!I$22)-MONTH($J47)))&gt;Lists!I$22)+1)))),IF($AP47="F",IF(N($K47)&lt;=0,0,MIN(MAX(0,$H47),N($K47)*IF(Lists!I$21&lt;$J47,0,(((YEAR(Lists!I$21)-YEAR($J47))*12+MONTH(Lists!I$21)-MONTH($J47))-(EDATE($J47,((YEAR(Lists!I$21)-YEAR($J47))*12+MONTH(Lists!I$21)-MONTH($J47)))&gt;Lists!I$21)+1)))-MIN(MAX(0,$H47),N($K47)*IF(Lists!I$22&lt;$J47,0,(((YEAR(Lists!I$22)-YEAR($J47))*12+MONTH(Lists!I$22)-MONTH($J47))-(EDATE($J47,((YEAR(Lists!I$22)-YEAR($J47))*12+MONTH(Lists!I$22)-MONTH($J47)))&gt;Lists!I$22)+1)))),N($C47)*IF($AE47-$AD47&lt;1,($AD47&gt;Lists!I$22)*($AD47&lt;=Lists!I$21),MAX(0,MIN(Lists!I$21,$AE47)-MAX(Lists!I$22,$AD47))/($AE47-$AD47))+N($D47)*IF($AG47-$AF47&lt;1,($AF47&gt;Lists!I$22)*($AF47&lt;=Lists!I$21),MAX(0,MIN(Lists!I$21,$AG47)-MAX(Lists!I$22,$AF47))/($AG47-$AF47))+N($E47)*IF($AI47-$AH47&lt;1,($AH47&gt;Lists!I$22)*($AH47&lt;=Lists!I$21),MAX(0,MIN(Lists!I$21,$AI47)-MAX(Lists!I$22,$AH47))/($AI47-$AH47))+N($F47)*IF($AK47-$AJ47&lt;1,($AJ47&gt;Lists!I$22)*($AJ47&lt;=Lists!I$21),MAX(0,MIN(Lists!I$21,$AK47)-MAX(Lists!I$22,$AJ47))/($AK47-$AJ47))+N($G47)*IF($AM47-$AL47&lt;1,($AL47&gt;Lists!I$22)*($AL47&lt;=Lists!I$21),MAX(0,MIN(Lists!I$21,$AM47)-MAX(Lists!I$22,$AL47))/($AM47-$AL47))))))))</f>
        <v>0</v>
      </c>
      <c r="T47" s="53" t="n">
        <f aca="false">IF($H47=0,0,IF($AP47="X",0,IF($AP47="S",$H47/$AO47*(MIN($AO47,MAX(0,INT((Lists!J$21-N($J47))/7)+1))-MIN($AO47,MAX(0,INT((Lists!J$22-N($J47))/7)+1))),IF($AP47="D",$H47*MAX(0,MIN(Lists!J$21,N($J47)+$AO47)-MAX(Lists!J$22,N($J47)))/$AO47,IF($AP47="M",$H47/$AO47*(IF(Lists!J$21&lt;$J47,0,MIN($AO47,(((YEAR(Lists!J$21)-YEAR($J47))*12+MONTH(Lists!J$21)-MONTH($J47))-(EDATE($J47,((YEAR(Lists!J$21)-YEAR($J47))*12+MONTH(Lists!J$21)-MONTH($J47)))&gt;Lists!J$21)+1)))-IF(Lists!J$22&lt;$J47,0,MIN($AO47,(((YEAR(Lists!J$22)-YEAR($J47))*12+MONTH(Lists!J$22)-MONTH($J47))-(EDATE($J47,((YEAR(Lists!J$22)-YEAR($J47))*12+MONTH(Lists!J$22)-MONTH($J47)))&gt;Lists!J$22)+1)))),IF($AP47="F",IF(N($K47)&lt;=0,0,MIN(MAX(0,$H47),N($K47)*IF(Lists!J$21&lt;$J47,0,(((YEAR(Lists!J$21)-YEAR($J47))*12+MONTH(Lists!J$21)-MONTH($J47))-(EDATE($J47,((YEAR(Lists!J$21)-YEAR($J47))*12+MONTH(Lists!J$21)-MONTH($J47)))&gt;Lists!J$21)+1)))-MIN(MAX(0,$H47),N($K47)*IF(Lists!J$22&lt;$J47,0,(((YEAR(Lists!J$22)-YEAR($J47))*12+MONTH(Lists!J$22)-MONTH($J47))-(EDATE($J47,((YEAR(Lists!J$22)-YEAR($J47))*12+MONTH(Lists!J$22)-MONTH($J47)))&gt;Lists!J$22)+1)))),N($C47)*IF($AE47-$AD47&lt;1,($AD47&gt;Lists!J$22)*($AD47&lt;=Lists!J$21),MAX(0,MIN(Lists!J$21,$AE47)-MAX(Lists!J$22,$AD47))/($AE47-$AD47))+N($D47)*IF($AG47-$AF47&lt;1,($AF47&gt;Lists!J$22)*($AF47&lt;=Lists!J$21),MAX(0,MIN(Lists!J$21,$AG47)-MAX(Lists!J$22,$AF47))/($AG47-$AF47))+N($E47)*IF($AI47-$AH47&lt;1,($AH47&gt;Lists!J$22)*($AH47&lt;=Lists!J$21),MAX(0,MIN(Lists!J$21,$AI47)-MAX(Lists!J$22,$AH47))/($AI47-$AH47))+N($F47)*IF($AK47-$AJ47&lt;1,($AJ47&gt;Lists!J$22)*($AJ47&lt;=Lists!J$21),MAX(0,MIN(Lists!J$21,$AK47)-MAX(Lists!J$22,$AJ47))/($AK47-$AJ47))+N($G47)*IF($AM47-$AL47&lt;1,($AL47&gt;Lists!J$22)*($AL47&lt;=Lists!J$21),MAX(0,MIN(Lists!J$21,$AM47)-MAX(Lists!J$22,$AL47))/($AM47-$AL47))))))))</f>
        <v>0</v>
      </c>
      <c r="U47" s="53" t="n">
        <f aca="false">IF($H47=0,0,IF($AP47="X",0,IF($AP47="S",$H47/$AO47*(MIN($AO47,MAX(0,INT((Lists!K$21-N($J47))/7)+1))-MIN($AO47,MAX(0,INT((Lists!K$22-N($J47))/7)+1))),IF($AP47="D",$H47*MAX(0,MIN(Lists!K$21,N($J47)+$AO47)-MAX(Lists!K$22,N($J47)))/$AO47,IF($AP47="M",$H47/$AO47*(IF(Lists!K$21&lt;$J47,0,MIN($AO47,(((YEAR(Lists!K$21)-YEAR($J47))*12+MONTH(Lists!K$21)-MONTH($J47))-(EDATE($J47,((YEAR(Lists!K$21)-YEAR($J47))*12+MONTH(Lists!K$21)-MONTH($J47)))&gt;Lists!K$21)+1)))-IF(Lists!K$22&lt;$J47,0,MIN($AO47,(((YEAR(Lists!K$22)-YEAR($J47))*12+MONTH(Lists!K$22)-MONTH($J47))-(EDATE($J47,((YEAR(Lists!K$22)-YEAR($J47))*12+MONTH(Lists!K$22)-MONTH($J47)))&gt;Lists!K$22)+1)))),IF($AP47="F",IF(N($K47)&lt;=0,0,MIN(MAX(0,$H47),N($K47)*IF(Lists!K$21&lt;$J47,0,(((YEAR(Lists!K$21)-YEAR($J47))*12+MONTH(Lists!K$21)-MONTH($J47))-(EDATE($J47,((YEAR(Lists!K$21)-YEAR($J47))*12+MONTH(Lists!K$21)-MONTH($J47)))&gt;Lists!K$21)+1)))-MIN(MAX(0,$H47),N($K47)*IF(Lists!K$22&lt;$J47,0,(((YEAR(Lists!K$22)-YEAR($J47))*12+MONTH(Lists!K$22)-MONTH($J47))-(EDATE($J47,((YEAR(Lists!K$22)-YEAR($J47))*12+MONTH(Lists!K$22)-MONTH($J47)))&gt;Lists!K$22)+1)))),N($C47)*IF($AE47-$AD47&lt;1,($AD47&gt;Lists!K$22)*($AD47&lt;=Lists!K$21),MAX(0,MIN(Lists!K$21,$AE47)-MAX(Lists!K$22,$AD47))/($AE47-$AD47))+N($D47)*IF($AG47-$AF47&lt;1,($AF47&gt;Lists!K$22)*($AF47&lt;=Lists!K$21),MAX(0,MIN(Lists!K$21,$AG47)-MAX(Lists!K$22,$AF47))/($AG47-$AF47))+N($E47)*IF($AI47-$AH47&lt;1,($AH47&gt;Lists!K$22)*($AH47&lt;=Lists!K$21),MAX(0,MIN(Lists!K$21,$AI47)-MAX(Lists!K$22,$AH47))/($AI47-$AH47))+N($F47)*IF($AK47-$AJ47&lt;1,($AJ47&gt;Lists!K$22)*($AJ47&lt;=Lists!K$21),MAX(0,MIN(Lists!K$21,$AK47)-MAX(Lists!K$22,$AJ47))/($AK47-$AJ47))+N($G47)*IF($AM47-$AL47&lt;1,($AL47&gt;Lists!K$22)*($AL47&lt;=Lists!K$21),MAX(0,MIN(Lists!K$21,$AM47)-MAX(Lists!K$22,$AL47))/($AM47-$AL47))))))))</f>
        <v>0</v>
      </c>
      <c r="V47" s="53" t="n">
        <f aca="false">IF($H47=0,0,IF($AP47="X",0,IF($AP47="S",$H47/$AO47*(MIN($AO47,MAX(0,INT((Lists!L$21-N($J47))/7)+1))-MIN($AO47,MAX(0,INT((Lists!L$22-N($J47))/7)+1))),IF($AP47="D",$H47*MAX(0,MIN(Lists!L$21,N($J47)+$AO47)-MAX(Lists!L$22,N($J47)))/$AO47,IF($AP47="M",$H47/$AO47*(IF(Lists!L$21&lt;$J47,0,MIN($AO47,(((YEAR(Lists!L$21)-YEAR($J47))*12+MONTH(Lists!L$21)-MONTH($J47))-(EDATE($J47,((YEAR(Lists!L$21)-YEAR($J47))*12+MONTH(Lists!L$21)-MONTH($J47)))&gt;Lists!L$21)+1)))-IF(Lists!L$22&lt;$J47,0,MIN($AO47,(((YEAR(Lists!L$22)-YEAR($J47))*12+MONTH(Lists!L$22)-MONTH($J47))-(EDATE($J47,((YEAR(Lists!L$22)-YEAR($J47))*12+MONTH(Lists!L$22)-MONTH($J47)))&gt;Lists!L$22)+1)))),IF($AP47="F",IF(N($K47)&lt;=0,0,MIN(MAX(0,$H47),N($K47)*IF(Lists!L$21&lt;$J47,0,(((YEAR(Lists!L$21)-YEAR($J47))*12+MONTH(Lists!L$21)-MONTH($J47))-(EDATE($J47,((YEAR(Lists!L$21)-YEAR($J47))*12+MONTH(Lists!L$21)-MONTH($J47)))&gt;Lists!L$21)+1)))-MIN(MAX(0,$H47),N($K47)*IF(Lists!L$22&lt;$J47,0,(((YEAR(Lists!L$22)-YEAR($J47))*12+MONTH(Lists!L$22)-MONTH($J47))-(EDATE($J47,((YEAR(Lists!L$22)-YEAR($J47))*12+MONTH(Lists!L$22)-MONTH($J47)))&gt;Lists!L$22)+1)))),N($C47)*IF($AE47-$AD47&lt;1,($AD47&gt;Lists!L$22)*($AD47&lt;=Lists!L$21),MAX(0,MIN(Lists!L$21,$AE47)-MAX(Lists!L$22,$AD47))/($AE47-$AD47))+N($D47)*IF($AG47-$AF47&lt;1,($AF47&gt;Lists!L$22)*($AF47&lt;=Lists!L$21),MAX(0,MIN(Lists!L$21,$AG47)-MAX(Lists!L$22,$AF47))/($AG47-$AF47))+N($E47)*IF($AI47-$AH47&lt;1,($AH47&gt;Lists!L$22)*($AH47&lt;=Lists!L$21),MAX(0,MIN(Lists!L$21,$AI47)-MAX(Lists!L$22,$AH47))/($AI47-$AH47))+N($F47)*IF($AK47-$AJ47&lt;1,($AJ47&gt;Lists!L$22)*($AJ47&lt;=Lists!L$21),MAX(0,MIN(Lists!L$21,$AK47)-MAX(Lists!L$22,$AJ47))/($AK47-$AJ47))+N($G47)*IF($AM47-$AL47&lt;1,($AL47&gt;Lists!L$22)*($AL47&lt;=Lists!L$21),MAX(0,MIN(Lists!L$21,$AM47)-MAX(Lists!L$22,$AL47))/($AM47-$AL47))))))))</f>
        <v>0</v>
      </c>
      <c r="W47" s="53" t="n">
        <f aca="false">IF($H47=0,0,IF($AP47="X",0,IF($AP47="S",$H47/$AO47*(MIN($AO47,MAX(0,INT((Lists!M$21-N($J47))/7)+1))-MIN($AO47,MAX(0,INT((Lists!M$22-N($J47))/7)+1))),IF($AP47="D",$H47*MAX(0,MIN(Lists!M$21,N($J47)+$AO47)-MAX(Lists!M$22,N($J47)))/$AO47,IF($AP47="M",$H47/$AO47*(IF(Lists!M$21&lt;$J47,0,MIN($AO47,(((YEAR(Lists!M$21)-YEAR($J47))*12+MONTH(Lists!M$21)-MONTH($J47))-(EDATE($J47,((YEAR(Lists!M$21)-YEAR($J47))*12+MONTH(Lists!M$21)-MONTH($J47)))&gt;Lists!M$21)+1)))-IF(Lists!M$22&lt;$J47,0,MIN($AO47,(((YEAR(Lists!M$22)-YEAR($J47))*12+MONTH(Lists!M$22)-MONTH($J47))-(EDATE($J47,((YEAR(Lists!M$22)-YEAR($J47))*12+MONTH(Lists!M$22)-MONTH($J47)))&gt;Lists!M$22)+1)))),IF($AP47="F",IF(N($K47)&lt;=0,0,MIN(MAX(0,$H47),N($K47)*IF(Lists!M$21&lt;$J47,0,(((YEAR(Lists!M$21)-YEAR($J47))*12+MONTH(Lists!M$21)-MONTH($J47))-(EDATE($J47,((YEAR(Lists!M$21)-YEAR($J47))*12+MONTH(Lists!M$21)-MONTH($J47)))&gt;Lists!M$21)+1)))-MIN(MAX(0,$H47),N($K47)*IF(Lists!M$22&lt;$J47,0,(((YEAR(Lists!M$22)-YEAR($J47))*12+MONTH(Lists!M$22)-MONTH($J47))-(EDATE($J47,((YEAR(Lists!M$22)-YEAR($J47))*12+MONTH(Lists!M$22)-MONTH($J47)))&gt;Lists!M$22)+1)))),N($C47)*IF($AE47-$AD47&lt;1,($AD47&gt;Lists!M$22)*($AD47&lt;=Lists!M$21),MAX(0,MIN(Lists!M$21,$AE47)-MAX(Lists!M$22,$AD47))/($AE47-$AD47))+N($D47)*IF($AG47-$AF47&lt;1,($AF47&gt;Lists!M$22)*($AF47&lt;=Lists!M$21),MAX(0,MIN(Lists!M$21,$AG47)-MAX(Lists!M$22,$AF47))/($AG47-$AF47))+N($E47)*IF($AI47-$AH47&lt;1,($AH47&gt;Lists!M$22)*($AH47&lt;=Lists!M$21),MAX(0,MIN(Lists!M$21,$AI47)-MAX(Lists!M$22,$AH47))/($AI47-$AH47))+N($F47)*IF($AK47-$AJ47&lt;1,($AJ47&gt;Lists!M$22)*($AJ47&lt;=Lists!M$21),MAX(0,MIN(Lists!M$21,$AK47)-MAX(Lists!M$22,$AJ47))/($AK47-$AJ47))+N($G47)*IF($AM47-$AL47&lt;1,($AL47&gt;Lists!M$22)*($AL47&lt;=Lists!M$21),MAX(0,MIN(Lists!M$21,$AM47)-MAX(Lists!M$22,$AL47))/($AM47-$AL47))))))))</f>
        <v>0</v>
      </c>
      <c r="X47" s="53" t="n">
        <f aca="false">IF($H47=0,0,IF($AP47="X",0,IF($AP47="S",$H47/$AO47*(MIN($AO47,MAX(0,INT((Lists!N$21-N($J47))/7)+1))-MIN($AO47,MAX(0,INT((Lists!N$22-N($J47))/7)+1))),IF($AP47="D",$H47*MAX(0,MIN(Lists!N$21,N($J47)+$AO47)-MAX(Lists!N$22,N($J47)))/$AO47,IF($AP47="M",$H47/$AO47*(IF(Lists!N$21&lt;$J47,0,MIN($AO47,(((YEAR(Lists!N$21)-YEAR($J47))*12+MONTH(Lists!N$21)-MONTH($J47))-(EDATE($J47,((YEAR(Lists!N$21)-YEAR($J47))*12+MONTH(Lists!N$21)-MONTH($J47)))&gt;Lists!N$21)+1)))-IF(Lists!N$22&lt;$J47,0,MIN($AO47,(((YEAR(Lists!N$22)-YEAR($J47))*12+MONTH(Lists!N$22)-MONTH($J47))-(EDATE($J47,((YEAR(Lists!N$22)-YEAR($J47))*12+MONTH(Lists!N$22)-MONTH($J47)))&gt;Lists!N$22)+1)))),IF($AP47="F",IF(N($K47)&lt;=0,0,MIN(MAX(0,$H47),N($K47)*IF(Lists!N$21&lt;$J47,0,(((YEAR(Lists!N$21)-YEAR($J47))*12+MONTH(Lists!N$21)-MONTH($J47))-(EDATE($J47,((YEAR(Lists!N$21)-YEAR($J47))*12+MONTH(Lists!N$21)-MONTH($J47)))&gt;Lists!N$21)+1)))-MIN(MAX(0,$H47),N($K47)*IF(Lists!N$22&lt;$J47,0,(((YEAR(Lists!N$22)-YEAR($J47))*12+MONTH(Lists!N$22)-MONTH($J47))-(EDATE($J47,((YEAR(Lists!N$22)-YEAR($J47))*12+MONTH(Lists!N$22)-MONTH($J47)))&gt;Lists!N$22)+1)))),N($C47)*IF($AE47-$AD47&lt;1,($AD47&gt;Lists!N$22)*($AD47&lt;=Lists!N$21),MAX(0,MIN(Lists!N$21,$AE47)-MAX(Lists!N$22,$AD47))/($AE47-$AD47))+N($D47)*IF($AG47-$AF47&lt;1,($AF47&gt;Lists!N$22)*($AF47&lt;=Lists!N$21),MAX(0,MIN(Lists!N$21,$AG47)-MAX(Lists!N$22,$AF47))/($AG47-$AF47))+N($E47)*IF($AI47-$AH47&lt;1,($AH47&gt;Lists!N$22)*($AH47&lt;=Lists!N$21),MAX(0,MIN(Lists!N$21,$AI47)-MAX(Lists!N$22,$AH47))/($AI47-$AH47))+N($F47)*IF($AK47-$AJ47&lt;1,($AJ47&gt;Lists!N$22)*($AJ47&lt;=Lists!N$21),MAX(0,MIN(Lists!N$21,$AK47)-MAX(Lists!N$22,$AJ47))/($AK47-$AJ47))+N($G47)*IF($AM47-$AL47&lt;1,($AL47&gt;Lists!N$22)*($AL47&lt;=Lists!N$21),MAX(0,MIN(Lists!N$21,$AM47)-MAX(Lists!N$22,$AL47))/($AM47-$AL47))))))))</f>
        <v>0</v>
      </c>
      <c r="Y47" s="53" t="n">
        <f aca="false">IF($H47=0,0,IF($AP47="X",0,IF($AP47="S",$H47/$AO47*(MIN($AO47,MAX(0,INT((Lists!O$21-N($J47))/7)+1))-MIN($AO47,MAX(0,INT((Lists!O$22-N($J47))/7)+1))),IF($AP47="D",$H47*MAX(0,MIN(Lists!O$21,N($J47)+$AO47)-MAX(Lists!O$22,N($J47)))/$AO47,IF($AP47="M",$H47/$AO47*(IF(Lists!O$21&lt;$J47,0,MIN($AO47,(((YEAR(Lists!O$21)-YEAR($J47))*12+MONTH(Lists!O$21)-MONTH($J47))-(EDATE($J47,((YEAR(Lists!O$21)-YEAR($J47))*12+MONTH(Lists!O$21)-MONTH($J47)))&gt;Lists!O$21)+1)))-IF(Lists!O$22&lt;$J47,0,MIN($AO47,(((YEAR(Lists!O$22)-YEAR($J47))*12+MONTH(Lists!O$22)-MONTH($J47))-(EDATE($J47,((YEAR(Lists!O$22)-YEAR($J47))*12+MONTH(Lists!O$22)-MONTH($J47)))&gt;Lists!O$22)+1)))),IF($AP47="F",IF(N($K47)&lt;=0,0,MIN(MAX(0,$H47),N($K47)*IF(Lists!O$21&lt;$J47,0,(((YEAR(Lists!O$21)-YEAR($J47))*12+MONTH(Lists!O$21)-MONTH($J47))-(EDATE($J47,((YEAR(Lists!O$21)-YEAR($J47))*12+MONTH(Lists!O$21)-MONTH($J47)))&gt;Lists!O$21)+1)))-MIN(MAX(0,$H47),N($K47)*IF(Lists!O$22&lt;$J47,0,(((YEAR(Lists!O$22)-YEAR($J47))*12+MONTH(Lists!O$22)-MONTH($J47))-(EDATE($J47,((YEAR(Lists!O$22)-YEAR($J47))*12+MONTH(Lists!O$22)-MONTH($J47)))&gt;Lists!O$22)+1)))),N($C47)*IF($AE47-$AD47&lt;1,($AD47&gt;Lists!O$22)*($AD47&lt;=Lists!O$21),MAX(0,MIN(Lists!O$21,$AE47)-MAX(Lists!O$22,$AD47))/($AE47-$AD47))+N($D47)*IF($AG47-$AF47&lt;1,($AF47&gt;Lists!O$22)*($AF47&lt;=Lists!O$21),MAX(0,MIN(Lists!O$21,$AG47)-MAX(Lists!O$22,$AF47))/($AG47-$AF47))+N($E47)*IF($AI47-$AH47&lt;1,($AH47&gt;Lists!O$22)*($AH47&lt;=Lists!O$21),MAX(0,MIN(Lists!O$21,$AI47)-MAX(Lists!O$22,$AH47))/($AI47-$AH47))+N($F47)*IF($AK47-$AJ47&lt;1,($AJ47&gt;Lists!O$22)*($AJ47&lt;=Lists!O$21),MAX(0,MIN(Lists!O$21,$AK47)-MAX(Lists!O$22,$AJ47))/($AK47-$AJ47))+N($G47)*IF($AM47-$AL47&lt;1,($AL47&gt;Lists!O$22)*($AL47&lt;=Lists!O$21),MAX(0,MIN(Lists!O$21,$AM47)-MAX(Lists!O$22,$AL47))/($AM47-$AL47))))))))</f>
        <v>0</v>
      </c>
      <c r="Z47" s="46" t="n">
        <f aca="false">SUM(M47:Y47)</f>
        <v>0</v>
      </c>
      <c r="AA47" s="92" t="n">
        <f aca="false">H47-Z47</f>
        <v>0</v>
      </c>
      <c r="AB47" s="55"/>
      <c r="AC47" s="2"/>
      <c r="AD47" s="93" t="n">
        <f aca="false">Setup!$D$10+MAX(0,$AN47-30)</f>
        <v>46345</v>
      </c>
      <c r="AE47" s="93" t="n">
        <f aca="false">Setup!$D$10+IF($AN47-30&lt;0,MAX(Setup!$D$22,$AN47-0),$AN47-0)</f>
        <v>46375</v>
      </c>
      <c r="AF47" s="93" t="n">
        <f aca="false">Setup!$D$10+MAX(0,$AN47-60)</f>
        <v>46335</v>
      </c>
      <c r="AG47" s="93" t="n">
        <f aca="false">Setup!$D$10+IF($AN47-60&lt;0,MAX(Setup!$D$22,$AN47-31),$AN47-31)</f>
        <v>46363</v>
      </c>
      <c r="AH47" s="93" t="n">
        <f aca="false">Setup!$D$10+MAX(0,$AN47-90)</f>
        <v>46335</v>
      </c>
      <c r="AI47" s="93" t="n">
        <f aca="false">Setup!$D$10+IF($AN47-90&lt;0,MAX(Setup!$D$22,$AN47-61),$AN47-61)</f>
        <v>46363</v>
      </c>
      <c r="AJ47" s="93" t="n">
        <f aca="false">Setup!$D$10+MAX(0,$AN47-120)</f>
        <v>46335</v>
      </c>
      <c r="AK47" s="93" t="n">
        <f aca="false">Setup!$D$10+IF($AN47-120&lt;0,MAX(Setup!$D$22,$AN47-91),$AN47-91)</f>
        <v>46363</v>
      </c>
      <c r="AL47" s="93" t="n">
        <f aca="false">Setup!$D$10</f>
        <v>46335</v>
      </c>
      <c r="AM47" s="93" t="n">
        <f aca="false">IF(AL47=2958465,AL47,Setup!$D$10+Setup!$D$22)</f>
        <v>46363</v>
      </c>
      <c r="AN47" s="94" t="n">
        <f aca="false">IF(N(L47)=0,Setup!$D$21,L47)</f>
        <v>40</v>
      </c>
      <c r="AO47" s="94" t="n">
        <f aca="false">MAX(1,ROUND(N(K47),0))</f>
        <v>1</v>
      </c>
      <c r="AP47" s="95" t="str">
        <f aca="false">IF(I47="On hold","X",IF(N(J47)=0,"A",IF(I47="Specific date","S",IF(I47="Spread over days","D",IF(I47="Monthly on set day","M",IF(I47="Monthly fixed amount","F","A"))))))</f>
        <v>A</v>
      </c>
    </row>
    <row r="48" customFormat="false" ht="15" hidden="false" customHeight="false" outlineLevel="0" collapsed="false">
      <c r="A48" s="87" t="n">
        <v>40</v>
      </c>
      <c r="B48" s="55"/>
      <c r="C48" s="88"/>
      <c r="D48" s="88"/>
      <c r="E48" s="88"/>
      <c r="F48" s="88"/>
      <c r="G48" s="88"/>
      <c r="H48" s="89" t="n">
        <f aca="false">SUM(C48:G48)</f>
        <v>0</v>
      </c>
      <c r="I48" s="58"/>
      <c r="J48" s="90"/>
      <c r="K48" s="91"/>
      <c r="L48" s="80"/>
      <c r="M48" s="53" t="n">
        <f aca="false">IF($H48=0,0,IF($AP48="X",0,IF($AP48="S",$H48/$AO48*(MIN($AO48,MAX(0,INT((Lists!C$21-N($J48))/7)+1))-MIN($AO48,MAX(0,INT((Lists!C$22-N($J48))/7)+1))),IF($AP48="D",$H48*MAX(0,MIN(Lists!C$21,N($J48)+$AO48)-MAX(Lists!C$22,N($J48)))/$AO48,IF($AP48="M",$H48/$AO48*(IF(Lists!C$21&lt;$J48,0,MIN($AO48,(((YEAR(Lists!C$21)-YEAR($J48))*12+MONTH(Lists!C$21)-MONTH($J48))-(EDATE($J48,((YEAR(Lists!C$21)-YEAR($J48))*12+MONTH(Lists!C$21)-MONTH($J48)))&gt;Lists!C$21)+1)))-IF(Lists!C$22&lt;$J48,0,MIN($AO48,(((YEAR(Lists!C$22)-YEAR($J48))*12+MONTH(Lists!C$22)-MONTH($J48))-(EDATE($J48,((YEAR(Lists!C$22)-YEAR($J48))*12+MONTH(Lists!C$22)-MONTH($J48)))&gt;Lists!C$22)+1)))),IF($AP48="F",IF(N($K48)&lt;=0,0,MIN(MAX(0,$H48),N($K48)*IF(Lists!C$21&lt;$J48,0,(((YEAR(Lists!C$21)-YEAR($J48))*12+MONTH(Lists!C$21)-MONTH($J48))-(EDATE($J48,((YEAR(Lists!C$21)-YEAR($J48))*12+MONTH(Lists!C$21)-MONTH($J48)))&gt;Lists!C$21)+1)))-MIN(MAX(0,$H48),N($K48)*IF(Lists!C$22&lt;$J48,0,(((YEAR(Lists!C$22)-YEAR($J48))*12+MONTH(Lists!C$22)-MONTH($J48))-(EDATE($J48,((YEAR(Lists!C$22)-YEAR($J48))*12+MONTH(Lists!C$22)-MONTH($J48)))&gt;Lists!C$22)+1)))),N($C48)*IF($AE48-$AD48&lt;1,($AD48&gt;Lists!C$22)*($AD48&lt;=Lists!C$21),MAX(0,MIN(Lists!C$21,$AE48)-MAX(Lists!C$22,$AD48))/($AE48-$AD48))+N($D48)*IF($AG48-$AF48&lt;1,($AF48&gt;Lists!C$22)*($AF48&lt;=Lists!C$21),MAX(0,MIN(Lists!C$21,$AG48)-MAX(Lists!C$22,$AF48))/($AG48-$AF48))+N($E48)*IF($AI48-$AH48&lt;1,($AH48&gt;Lists!C$22)*($AH48&lt;=Lists!C$21),MAX(0,MIN(Lists!C$21,$AI48)-MAX(Lists!C$22,$AH48))/($AI48-$AH48))+N($F48)*IF($AK48-$AJ48&lt;1,($AJ48&gt;Lists!C$22)*($AJ48&lt;=Lists!C$21),MAX(0,MIN(Lists!C$21,$AK48)-MAX(Lists!C$22,$AJ48))/($AK48-$AJ48))+N($G48)*IF($AM48-$AL48&lt;1,($AL48&gt;Lists!C$22)*($AL48&lt;=Lists!C$21),MAX(0,MIN(Lists!C$21,$AM48)-MAX(Lists!C$22,$AL48))/($AM48-$AL48))))))))</f>
        <v>0</v>
      </c>
      <c r="N48" s="53" t="n">
        <f aca="false">IF($H48=0,0,IF($AP48="X",0,IF($AP48="S",$H48/$AO48*(MIN($AO48,MAX(0,INT((Lists!D$21-N($J48))/7)+1))-MIN($AO48,MAX(0,INT((Lists!D$22-N($J48))/7)+1))),IF($AP48="D",$H48*MAX(0,MIN(Lists!D$21,N($J48)+$AO48)-MAX(Lists!D$22,N($J48)))/$AO48,IF($AP48="M",$H48/$AO48*(IF(Lists!D$21&lt;$J48,0,MIN($AO48,(((YEAR(Lists!D$21)-YEAR($J48))*12+MONTH(Lists!D$21)-MONTH($J48))-(EDATE($J48,((YEAR(Lists!D$21)-YEAR($J48))*12+MONTH(Lists!D$21)-MONTH($J48)))&gt;Lists!D$21)+1)))-IF(Lists!D$22&lt;$J48,0,MIN($AO48,(((YEAR(Lists!D$22)-YEAR($J48))*12+MONTH(Lists!D$22)-MONTH($J48))-(EDATE($J48,((YEAR(Lists!D$22)-YEAR($J48))*12+MONTH(Lists!D$22)-MONTH($J48)))&gt;Lists!D$22)+1)))),IF($AP48="F",IF(N($K48)&lt;=0,0,MIN(MAX(0,$H48),N($K48)*IF(Lists!D$21&lt;$J48,0,(((YEAR(Lists!D$21)-YEAR($J48))*12+MONTH(Lists!D$21)-MONTH($J48))-(EDATE($J48,((YEAR(Lists!D$21)-YEAR($J48))*12+MONTH(Lists!D$21)-MONTH($J48)))&gt;Lists!D$21)+1)))-MIN(MAX(0,$H48),N($K48)*IF(Lists!D$22&lt;$J48,0,(((YEAR(Lists!D$22)-YEAR($J48))*12+MONTH(Lists!D$22)-MONTH($J48))-(EDATE($J48,((YEAR(Lists!D$22)-YEAR($J48))*12+MONTH(Lists!D$22)-MONTH($J48)))&gt;Lists!D$22)+1)))),N($C48)*IF($AE48-$AD48&lt;1,($AD48&gt;Lists!D$22)*($AD48&lt;=Lists!D$21),MAX(0,MIN(Lists!D$21,$AE48)-MAX(Lists!D$22,$AD48))/($AE48-$AD48))+N($D48)*IF($AG48-$AF48&lt;1,($AF48&gt;Lists!D$22)*($AF48&lt;=Lists!D$21),MAX(0,MIN(Lists!D$21,$AG48)-MAX(Lists!D$22,$AF48))/($AG48-$AF48))+N($E48)*IF($AI48-$AH48&lt;1,($AH48&gt;Lists!D$22)*($AH48&lt;=Lists!D$21),MAX(0,MIN(Lists!D$21,$AI48)-MAX(Lists!D$22,$AH48))/($AI48-$AH48))+N($F48)*IF($AK48-$AJ48&lt;1,($AJ48&gt;Lists!D$22)*($AJ48&lt;=Lists!D$21),MAX(0,MIN(Lists!D$21,$AK48)-MAX(Lists!D$22,$AJ48))/($AK48-$AJ48))+N($G48)*IF($AM48-$AL48&lt;1,($AL48&gt;Lists!D$22)*($AL48&lt;=Lists!D$21),MAX(0,MIN(Lists!D$21,$AM48)-MAX(Lists!D$22,$AL48))/($AM48-$AL48))))))))</f>
        <v>0</v>
      </c>
      <c r="O48" s="53" t="n">
        <f aca="false">IF($H48=0,0,IF($AP48="X",0,IF($AP48="S",$H48/$AO48*(MIN($AO48,MAX(0,INT((Lists!E$21-N($J48))/7)+1))-MIN($AO48,MAX(0,INT((Lists!E$22-N($J48))/7)+1))),IF($AP48="D",$H48*MAX(0,MIN(Lists!E$21,N($J48)+$AO48)-MAX(Lists!E$22,N($J48)))/$AO48,IF($AP48="M",$H48/$AO48*(IF(Lists!E$21&lt;$J48,0,MIN($AO48,(((YEAR(Lists!E$21)-YEAR($J48))*12+MONTH(Lists!E$21)-MONTH($J48))-(EDATE($J48,((YEAR(Lists!E$21)-YEAR($J48))*12+MONTH(Lists!E$21)-MONTH($J48)))&gt;Lists!E$21)+1)))-IF(Lists!E$22&lt;$J48,0,MIN($AO48,(((YEAR(Lists!E$22)-YEAR($J48))*12+MONTH(Lists!E$22)-MONTH($J48))-(EDATE($J48,((YEAR(Lists!E$22)-YEAR($J48))*12+MONTH(Lists!E$22)-MONTH($J48)))&gt;Lists!E$22)+1)))),IF($AP48="F",IF(N($K48)&lt;=0,0,MIN(MAX(0,$H48),N($K48)*IF(Lists!E$21&lt;$J48,0,(((YEAR(Lists!E$21)-YEAR($J48))*12+MONTH(Lists!E$21)-MONTH($J48))-(EDATE($J48,((YEAR(Lists!E$21)-YEAR($J48))*12+MONTH(Lists!E$21)-MONTH($J48)))&gt;Lists!E$21)+1)))-MIN(MAX(0,$H48),N($K48)*IF(Lists!E$22&lt;$J48,0,(((YEAR(Lists!E$22)-YEAR($J48))*12+MONTH(Lists!E$22)-MONTH($J48))-(EDATE($J48,((YEAR(Lists!E$22)-YEAR($J48))*12+MONTH(Lists!E$22)-MONTH($J48)))&gt;Lists!E$22)+1)))),N($C48)*IF($AE48-$AD48&lt;1,($AD48&gt;Lists!E$22)*($AD48&lt;=Lists!E$21),MAX(0,MIN(Lists!E$21,$AE48)-MAX(Lists!E$22,$AD48))/($AE48-$AD48))+N($D48)*IF($AG48-$AF48&lt;1,($AF48&gt;Lists!E$22)*($AF48&lt;=Lists!E$21),MAX(0,MIN(Lists!E$21,$AG48)-MAX(Lists!E$22,$AF48))/($AG48-$AF48))+N($E48)*IF($AI48-$AH48&lt;1,($AH48&gt;Lists!E$22)*($AH48&lt;=Lists!E$21),MAX(0,MIN(Lists!E$21,$AI48)-MAX(Lists!E$22,$AH48))/($AI48-$AH48))+N($F48)*IF($AK48-$AJ48&lt;1,($AJ48&gt;Lists!E$22)*($AJ48&lt;=Lists!E$21),MAX(0,MIN(Lists!E$21,$AK48)-MAX(Lists!E$22,$AJ48))/($AK48-$AJ48))+N($G48)*IF($AM48-$AL48&lt;1,($AL48&gt;Lists!E$22)*($AL48&lt;=Lists!E$21),MAX(0,MIN(Lists!E$21,$AM48)-MAX(Lists!E$22,$AL48))/($AM48-$AL48))))))))</f>
        <v>0</v>
      </c>
      <c r="P48" s="53" t="n">
        <f aca="false">IF($H48=0,0,IF($AP48="X",0,IF($AP48="S",$H48/$AO48*(MIN($AO48,MAX(0,INT((Lists!F$21-N($J48))/7)+1))-MIN($AO48,MAX(0,INT((Lists!F$22-N($J48))/7)+1))),IF($AP48="D",$H48*MAX(0,MIN(Lists!F$21,N($J48)+$AO48)-MAX(Lists!F$22,N($J48)))/$AO48,IF($AP48="M",$H48/$AO48*(IF(Lists!F$21&lt;$J48,0,MIN($AO48,(((YEAR(Lists!F$21)-YEAR($J48))*12+MONTH(Lists!F$21)-MONTH($J48))-(EDATE($J48,((YEAR(Lists!F$21)-YEAR($J48))*12+MONTH(Lists!F$21)-MONTH($J48)))&gt;Lists!F$21)+1)))-IF(Lists!F$22&lt;$J48,0,MIN($AO48,(((YEAR(Lists!F$22)-YEAR($J48))*12+MONTH(Lists!F$22)-MONTH($J48))-(EDATE($J48,((YEAR(Lists!F$22)-YEAR($J48))*12+MONTH(Lists!F$22)-MONTH($J48)))&gt;Lists!F$22)+1)))),IF($AP48="F",IF(N($K48)&lt;=0,0,MIN(MAX(0,$H48),N($K48)*IF(Lists!F$21&lt;$J48,0,(((YEAR(Lists!F$21)-YEAR($J48))*12+MONTH(Lists!F$21)-MONTH($J48))-(EDATE($J48,((YEAR(Lists!F$21)-YEAR($J48))*12+MONTH(Lists!F$21)-MONTH($J48)))&gt;Lists!F$21)+1)))-MIN(MAX(0,$H48),N($K48)*IF(Lists!F$22&lt;$J48,0,(((YEAR(Lists!F$22)-YEAR($J48))*12+MONTH(Lists!F$22)-MONTH($J48))-(EDATE($J48,((YEAR(Lists!F$22)-YEAR($J48))*12+MONTH(Lists!F$22)-MONTH($J48)))&gt;Lists!F$22)+1)))),N($C48)*IF($AE48-$AD48&lt;1,($AD48&gt;Lists!F$22)*($AD48&lt;=Lists!F$21),MAX(0,MIN(Lists!F$21,$AE48)-MAX(Lists!F$22,$AD48))/($AE48-$AD48))+N($D48)*IF($AG48-$AF48&lt;1,($AF48&gt;Lists!F$22)*($AF48&lt;=Lists!F$21),MAX(0,MIN(Lists!F$21,$AG48)-MAX(Lists!F$22,$AF48))/($AG48-$AF48))+N($E48)*IF($AI48-$AH48&lt;1,($AH48&gt;Lists!F$22)*($AH48&lt;=Lists!F$21),MAX(0,MIN(Lists!F$21,$AI48)-MAX(Lists!F$22,$AH48))/($AI48-$AH48))+N($F48)*IF($AK48-$AJ48&lt;1,($AJ48&gt;Lists!F$22)*($AJ48&lt;=Lists!F$21),MAX(0,MIN(Lists!F$21,$AK48)-MAX(Lists!F$22,$AJ48))/($AK48-$AJ48))+N($G48)*IF($AM48-$AL48&lt;1,($AL48&gt;Lists!F$22)*($AL48&lt;=Lists!F$21),MAX(0,MIN(Lists!F$21,$AM48)-MAX(Lists!F$22,$AL48))/($AM48-$AL48))))))))</f>
        <v>0</v>
      </c>
      <c r="Q48" s="53" t="n">
        <f aca="false">IF($H48=0,0,IF($AP48="X",0,IF($AP48="S",$H48/$AO48*(MIN($AO48,MAX(0,INT((Lists!G$21-N($J48))/7)+1))-MIN($AO48,MAX(0,INT((Lists!G$22-N($J48))/7)+1))),IF($AP48="D",$H48*MAX(0,MIN(Lists!G$21,N($J48)+$AO48)-MAX(Lists!G$22,N($J48)))/$AO48,IF($AP48="M",$H48/$AO48*(IF(Lists!G$21&lt;$J48,0,MIN($AO48,(((YEAR(Lists!G$21)-YEAR($J48))*12+MONTH(Lists!G$21)-MONTH($J48))-(EDATE($J48,((YEAR(Lists!G$21)-YEAR($J48))*12+MONTH(Lists!G$21)-MONTH($J48)))&gt;Lists!G$21)+1)))-IF(Lists!G$22&lt;$J48,0,MIN($AO48,(((YEAR(Lists!G$22)-YEAR($J48))*12+MONTH(Lists!G$22)-MONTH($J48))-(EDATE($J48,((YEAR(Lists!G$22)-YEAR($J48))*12+MONTH(Lists!G$22)-MONTH($J48)))&gt;Lists!G$22)+1)))),IF($AP48="F",IF(N($K48)&lt;=0,0,MIN(MAX(0,$H48),N($K48)*IF(Lists!G$21&lt;$J48,0,(((YEAR(Lists!G$21)-YEAR($J48))*12+MONTH(Lists!G$21)-MONTH($J48))-(EDATE($J48,((YEAR(Lists!G$21)-YEAR($J48))*12+MONTH(Lists!G$21)-MONTH($J48)))&gt;Lists!G$21)+1)))-MIN(MAX(0,$H48),N($K48)*IF(Lists!G$22&lt;$J48,0,(((YEAR(Lists!G$22)-YEAR($J48))*12+MONTH(Lists!G$22)-MONTH($J48))-(EDATE($J48,((YEAR(Lists!G$22)-YEAR($J48))*12+MONTH(Lists!G$22)-MONTH($J48)))&gt;Lists!G$22)+1)))),N($C48)*IF($AE48-$AD48&lt;1,($AD48&gt;Lists!G$22)*($AD48&lt;=Lists!G$21),MAX(0,MIN(Lists!G$21,$AE48)-MAX(Lists!G$22,$AD48))/($AE48-$AD48))+N($D48)*IF($AG48-$AF48&lt;1,($AF48&gt;Lists!G$22)*($AF48&lt;=Lists!G$21),MAX(0,MIN(Lists!G$21,$AG48)-MAX(Lists!G$22,$AF48))/($AG48-$AF48))+N($E48)*IF($AI48-$AH48&lt;1,($AH48&gt;Lists!G$22)*($AH48&lt;=Lists!G$21),MAX(0,MIN(Lists!G$21,$AI48)-MAX(Lists!G$22,$AH48))/($AI48-$AH48))+N($F48)*IF($AK48-$AJ48&lt;1,($AJ48&gt;Lists!G$22)*($AJ48&lt;=Lists!G$21),MAX(0,MIN(Lists!G$21,$AK48)-MAX(Lists!G$22,$AJ48))/($AK48-$AJ48))+N($G48)*IF($AM48-$AL48&lt;1,($AL48&gt;Lists!G$22)*($AL48&lt;=Lists!G$21),MAX(0,MIN(Lists!G$21,$AM48)-MAX(Lists!G$22,$AL48))/($AM48-$AL48))))))))</f>
        <v>0</v>
      </c>
      <c r="R48" s="53" t="n">
        <f aca="false">IF($H48=0,0,IF($AP48="X",0,IF($AP48="S",$H48/$AO48*(MIN($AO48,MAX(0,INT((Lists!H$21-N($J48))/7)+1))-MIN($AO48,MAX(0,INT((Lists!H$22-N($J48))/7)+1))),IF($AP48="D",$H48*MAX(0,MIN(Lists!H$21,N($J48)+$AO48)-MAX(Lists!H$22,N($J48)))/$AO48,IF($AP48="M",$H48/$AO48*(IF(Lists!H$21&lt;$J48,0,MIN($AO48,(((YEAR(Lists!H$21)-YEAR($J48))*12+MONTH(Lists!H$21)-MONTH($J48))-(EDATE($J48,((YEAR(Lists!H$21)-YEAR($J48))*12+MONTH(Lists!H$21)-MONTH($J48)))&gt;Lists!H$21)+1)))-IF(Lists!H$22&lt;$J48,0,MIN($AO48,(((YEAR(Lists!H$22)-YEAR($J48))*12+MONTH(Lists!H$22)-MONTH($J48))-(EDATE($J48,((YEAR(Lists!H$22)-YEAR($J48))*12+MONTH(Lists!H$22)-MONTH($J48)))&gt;Lists!H$22)+1)))),IF($AP48="F",IF(N($K48)&lt;=0,0,MIN(MAX(0,$H48),N($K48)*IF(Lists!H$21&lt;$J48,0,(((YEAR(Lists!H$21)-YEAR($J48))*12+MONTH(Lists!H$21)-MONTH($J48))-(EDATE($J48,((YEAR(Lists!H$21)-YEAR($J48))*12+MONTH(Lists!H$21)-MONTH($J48)))&gt;Lists!H$21)+1)))-MIN(MAX(0,$H48),N($K48)*IF(Lists!H$22&lt;$J48,0,(((YEAR(Lists!H$22)-YEAR($J48))*12+MONTH(Lists!H$22)-MONTH($J48))-(EDATE($J48,((YEAR(Lists!H$22)-YEAR($J48))*12+MONTH(Lists!H$22)-MONTH($J48)))&gt;Lists!H$22)+1)))),N($C48)*IF($AE48-$AD48&lt;1,($AD48&gt;Lists!H$22)*($AD48&lt;=Lists!H$21),MAX(0,MIN(Lists!H$21,$AE48)-MAX(Lists!H$22,$AD48))/($AE48-$AD48))+N($D48)*IF($AG48-$AF48&lt;1,($AF48&gt;Lists!H$22)*($AF48&lt;=Lists!H$21),MAX(0,MIN(Lists!H$21,$AG48)-MAX(Lists!H$22,$AF48))/($AG48-$AF48))+N($E48)*IF($AI48-$AH48&lt;1,($AH48&gt;Lists!H$22)*($AH48&lt;=Lists!H$21),MAX(0,MIN(Lists!H$21,$AI48)-MAX(Lists!H$22,$AH48))/($AI48-$AH48))+N($F48)*IF($AK48-$AJ48&lt;1,($AJ48&gt;Lists!H$22)*($AJ48&lt;=Lists!H$21),MAX(0,MIN(Lists!H$21,$AK48)-MAX(Lists!H$22,$AJ48))/($AK48-$AJ48))+N($G48)*IF($AM48-$AL48&lt;1,($AL48&gt;Lists!H$22)*($AL48&lt;=Lists!H$21),MAX(0,MIN(Lists!H$21,$AM48)-MAX(Lists!H$22,$AL48))/($AM48-$AL48))))))))</f>
        <v>0</v>
      </c>
      <c r="S48" s="53" t="n">
        <f aca="false">IF($H48=0,0,IF($AP48="X",0,IF($AP48="S",$H48/$AO48*(MIN($AO48,MAX(0,INT((Lists!I$21-N($J48))/7)+1))-MIN($AO48,MAX(0,INT((Lists!I$22-N($J48))/7)+1))),IF($AP48="D",$H48*MAX(0,MIN(Lists!I$21,N($J48)+$AO48)-MAX(Lists!I$22,N($J48)))/$AO48,IF($AP48="M",$H48/$AO48*(IF(Lists!I$21&lt;$J48,0,MIN($AO48,(((YEAR(Lists!I$21)-YEAR($J48))*12+MONTH(Lists!I$21)-MONTH($J48))-(EDATE($J48,((YEAR(Lists!I$21)-YEAR($J48))*12+MONTH(Lists!I$21)-MONTH($J48)))&gt;Lists!I$21)+1)))-IF(Lists!I$22&lt;$J48,0,MIN($AO48,(((YEAR(Lists!I$22)-YEAR($J48))*12+MONTH(Lists!I$22)-MONTH($J48))-(EDATE($J48,((YEAR(Lists!I$22)-YEAR($J48))*12+MONTH(Lists!I$22)-MONTH($J48)))&gt;Lists!I$22)+1)))),IF($AP48="F",IF(N($K48)&lt;=0,0,MIN(MAX(0,$H48),N($K48)*IF(Lists!I$21&lt;$J48,0,(((YEAR(Lists!I$21)-YEAR($J48))*12+MONTH(Lists!I$21)-MONTH($J48))-(EDATE($J48,((YEAR(Lists!I$21)-YEAR($J48))*12+MONTH(Lists!I$21)-MONTH($J48)))&gt;Lists!I$21)+1)))-MIN(MAX(0,$H48),N($K48)*IF(Lists!I$22&lt;$J48,0,(((YEAR(Lists!I$22)-YEAR($J48))*12+MONTH(Lists!I$22)-MONTH($J48))-(EDATE($J48,((YEAR(Lists!I$22)-YEAR($J48))*12+MONTH(Lists!I$22)-MONTH($J48)))&gt;Lists!I$22)+1)))),N($C48)*IF($AE48-$AD48&lt;1,($AD48&gt;Lists!I$22)*($AD48&lt;=Lists!I$21),MAX(0,MIN(Lists!I$21,$AE48)-MAX(Lists!I$22,$AD48))/($AE48-$AD48))+N($D48)*IF($AG48-$AF48&lt;1,($AF48&gt;Lists!I$22)*($AF48&lt;=Lists!I$21),MAX(0,MIN(Lists!I$21,$AG48)-MAX(Lists!I$22,$AF48))/($AG48-$AF48))+N($E48)*IF($AI48-$AH48&lt;1,($AH48&gt;Lists!I$22)*($AH48&lt;=Lists!I$21),MAX(0,MIN(Lists!I$21,$AI48)-MAX(Lists!I$22,$AH48))/($AI48-$AH48))+N($F48)*IF($AK48-$AJ48&lt;1,($AJ48&gt;Lists!I$22)*($AJ48&lt;=Lists!I$21),MAX(0,MIN(Lists!I$21,$AK48)-MAX(Lists!I$22,$AJ48))/($AK48-$AJ48))+N($G48)*IF($AM48-$AL48&lt;1,($AL48&gt;Lists!I$22)*($AL48&lt;=Lists!I$21),MAX(0,MIN(Lists!I$21,$AM48)-MAX(Lists!I$22,$AL48))/($AM48-$AL48))))))))</f>
        <v>0</v>
      </c>
      <c r="T48" s="53" t="n">
        <f aca="false">IF($H48=0,0,IF($AP48="X",0,IF($AP48="S",$H48/$AO48*(MIN($AO48,MAX(0,INT((Lists!J$21-N($J48))/7)+1))-MIN($AO48,MAX(0,INT((Lists!J$22-N($J48))/7)+1))),IF($AP48="D",$H48*MAX(0,MIN(Lists!J$21,N($J48)+$AO48)-MAX(Lists!J$22,N($J48)))/$AO48,IF($AP48="M",$H48/$AO48*(IF(Lists!J$21&lt;$J48,0,MIN($AO48,(((YEAR(Lists!J$21)-YEAR($J48))*12+MONTH(Lists!J$21)-MONTH($J48))-(EDATE($J48,((YEAR(Lists!J$21)-YEAR($J48))*12+MONTH(Lists!J$21)-MONTH($J48)))&gt;Lists!J$21)+1)))-IF(Lists!J$22&lt;$J48,0,MIN($AO48,(((YEAR(Lists!J$22)-YEAR($J48))*12+MONTH(Lists!J$22)-MONTH($J48))-(EDATE($J48,((YEAR(Lists!J$22)-YEAR($J48))*12+MONTH(Lists!J$22)-MONTH($J48)))&gt;Lists!J$22)+1)))),IF($AP48="F",IF(N($K48)&lt;=0,0,MIN(MAX(0,$H48),N($K48)*IF(Lists!J$21&lt;$J48,0,(((YEAR(Lists!J$21)-YEAR($J48))*12+MONTH(Lists!J$21)-MONTH($J48))-(EDATE($J48,((YEAR(Lists!J$21)-YEAR($J48))*12+MONTH(Lists!J$21)-MONTH($J48)))&gt;Lists!J$21)+1)))-MIN(MAX(0,$H48),N($K48)*IF(Lists!J$22&lt;$J48,0,(((YEAR(Lists!J$22)-YEAR($J48))*12+MONTH(Lists!J$22)-MONTH($J48))-(EDATE($J48,((YEAR(Lists!J$22)-YEAR($J48))*12+MONTH(Lists!J$22)-MONTH($J48)))&gt;Lists!J$22)+1)))),N($C48)*IF($AE48-$AD48&lt;1,($AD48&gt;Lists!J$22)*($AD48&lt;=Lists!J$21),MAX(0,MIN(Lists!J$21,$AE48)-MAX(Lists!J$22,$AD48))/($AE48-$AD48))+N($D48)*IF($AG48-$AF48&lt;1,($AF48&gt;Lists!J$22)*($AF48&lt;=Lists!J$21),MAX(0,MIN(Lists!J$21,$AG48)-MAX(Lists!J$22,$AF48))/($AG48-$AF48))+N($E48)*IF($AI48-$AH48&lt;1,($AH48&gt;Lists!J$22)*($AH48&lt;=Lists!J$21),MAX(0,MIN(Lists!J$21,$AI48)-MAX(Lists!J$22,$AH48))/($AI48-$AH48))+N($F48)*IF($AK48-$AJ48&lt;1,($AJ48&gt;Lists!J$22)*($AJ48&lt;=Lists!J$21),MAX(0,MIN(Lists!J$21,$AK48)-MAX(Lists!J$22,$AJ48))/($AK48-$AJ48))+N($G48)*IF($AM48-$AL48&lt;1,($AL48&gt;Lists!J$22)*($AL48&lt;=Lists!J$21),MAX(0,MIN(Lists!J$21,$AM48)-MAX(Lists!J$22,$AL48))/($AM48-$AL48))))))))</f>
        <v>0</v>
      </c>
      <c r="U48" s="53" t="n">
        <f aca="false">IF($H48=0,0,IF($AP48="X",0,IF($AP48="S",$H48/$AO48*(MIN($AO48,MAX(0,INT((Lists!K$21-N($J48))/7)+1))-MIN($AO48,MAX(0,INT((Lists!K$22-N($J48))/7)+1))),IF($AP48="D",$H48*MAX(0,MIN(Lists!K$21,N($J48)+$AO48)-MAX(Lists!K$22,N($J48)))/$AO48,IF($AP48="M",$H48/$AO48*(IF(Lists!K$21&lt;$J48,0,MIN($AO48,(((YEAR(Lists!K$21)-YEAR($J48))*12+MONTH(Lists!K$21)-MONTH($J48))-(EDATE($J48,((YEAR(Lists!K$21)-YEAR($J48))*12+MONTH(Lists!K$21)-MONTH($J48)))&gt;Lists!K$21)+1)))-IF(Lists!K$22&lt;$J48,0,MIN($AO48,(((YEAR(Lists!K$22)-YEAR($J48))*12+MONTH(Lists!K$22)-MONTH($J48))-(EDATE($J48,((YEAR(Lists!K$22)-YEAR($J48))*12+MONTH(Lists!K$22)-MONTH($J48)))&gt;Lists!K$22)+1)))),IF($AP48="F",IF(N($K48)&lt;=0,0,MIN(MAX(0,$H48),N($K48)*IF(Lists!K$21&lt;$J48,0,(((YEAR(Lists!K$21)-YEAR($J48))*12+MONTH(Lists!K$21)-MONTH($J48))-(EDATE($J48,((YEAR(Lists!K$21)-YEAR($J48))*12+MONTH(Lists!K$21)-MONTH($J48)))&gt;Lists!K$21)+1)))-MIN(MAX(0,$H48),N($K48)*IF(Lists!K$22&lt;$J48,0,(((YEAR(Lists!K$22)-YEAR($J48))*12+MONTH(Lists!K$22)-MONTH($J48))-(EDATE($J48,((YEAR(Lists!K$22)-YEAR($J48))*12+MONTH(Lists!K$22)-MONTH($J48)))&gt;Lists!K$22)+1)))),N($C48)*IF($AE48-$AD48&lt;1,($AD48&gt;Lists!K$22)*($AD48&lt;=Lists!K$21),MAX(0,MIN(Lists!K$21,$AE48)-MAX(Lists!K$22,$AD48))/($AE48-$AD48))+N($D48)*IF($AG48-$AF48&lt;1,($AF48&gt;Lists!K$22)*($AF48&lt;=Lists!K$21),MAX(0,MIN(Lists!K$21,$AG48)-MAX(Lists!K$22,$AF48))/($AG48-$AF48))+N($E48)*IF($AI48-$AH48&lt;1,($AH48&gt;Lists!K$22)*($AH48&lt;=Lists!K$21),MAX(0,MIN(Lists!K$21,$AI48)-MAX(Lists!K$22,$AH48))/($AI48-$AH48))+N($F48)*IF($AK48-$AJ48&lt;1,($AJ48&gt;Lists!K$22)*($AJ48&lt;=Lists!K$21),MAX(0,MIN(Lists!K$21,$AK48)-MAX(Lists!K$22,$AJ48))/($AK48-$AJ48))+N($G48)*IF($AM48-$AL48&lt;1,($AL48&gt;Lists!K$22)*($AL48&lt;=Lists!K$21),MAX(0,MIN(Lists!K$21,$AM48)-MAX(Lists!K$22,$AL48))/($AM48-$AL48))))))))</f>
        <v>0</v>
      </c>
      <c r="V48" s="53" t="n">
        <f aca="false">IF($H48=0,0,IF($AP48="X",0,IF($AP48="S",$H48/$AO48*(MIN($AO48,MAX(0,INT((Lists!L$21-N($J48))/7)+1))-MIN($AO48,MAX(0,INT((Lists!L$22-N($J48))/7)+1))),IF($AP48="D",$H48*MAX(0,MIN(Lists!L$21,N($J48)+$AO48)-MAX(Lists!L$22,N($J48)))/$AO48,IF($AP48="M",$H48/$AO48*(IF(Lists!L$21&lt;$J48,0,MIN($AO48,(((YEAR(Lists!L$21)-YEAR($J48))*12+MONTH(Lists!L$21)-MONTH($J48))-(EDATE($J48,((YEAR(Lists!L$21)-YEAR($J48))*12+MONTH(Lists!L$21)-MONTH($J48)))&gt;Lists!L$21)+1)))-IF(Lists!L$22&lt;$J48,0,MIN($AO48,(((YEAR(Lists!L$22)-YEAR($J48))*12+MONTH(Lists!L$22)-MONTH($J48))-(EDATE($J48,((YEAR(Lists!L$22)-YEAR($J48))*12+MONTH(Lists!L$22)-MONTH($J48)))&gt;Lists!L$22)+1)))),IF($AP48="F",IF(N($K48)&lt;=0,0,MIN(MAX(0,$H48),N($K48)*IF(Lists!L$21&lt;$J48,0,(((YEAR(Lists!L$21)-YEAR($J48))*12+MONTH(Lists!L$21)-MONTH($J48))-(EDATE($J48,((YEAR(Lists!L$21)-YEAR($J48))*12+MONTH(Lists!L$21)-MONTH($J48)))&gt;Lists!L$21)+1)))-MIN(MAX(0,$H48),N($K48)*IF(Lists!L$22&lt;$J48,0,(((YEAR(Lists!L$22)-YEAR($J48))*12+MONTH(Lists!L$22)-MONTH($J48))-(EDATE($J48,((YEAR(Lists!L$22)-YEAR($J48))*12+MONTH(Lists!L$22)-MONTH($J48)))&gt;Lists!L$22)+1)))),N($C48)*IF($AE48-$AD48&lt;1,($AD48&gt;Lists!L$22)*($AD48&lt;=Lists!L$21),MAX(0,MIN(Lists!L$21,$AE48)-MAX(Lists!L$22,$AD48))/($AE48-$AD48))+N($D48)*IF($AG48-$AF48&lt;1,($AF48&gt;Lists!L$22)*($AF48&lt;=Lists!L$21),MAX(0,MIN(Lists!L$21,$AG48)-MAX(Lists!L$22,$AF48))/($AG48-$AF48))+N($E48)*IF($AI48-$AH48&lt;1,($AH48&gt;Lists!L$22)*($AH48&lt;=Lists!L$21),MAX(0,MIN(Lists!L$21,$AI48)-MAX(Lists!L$22,$AH48))/($AI48-$AH48))+N($F48)*IF($AK48-$AJ48&lt;1,($AJ48&gt;Lists!L$22)*($AJ48&lt;=Lists!L$21),MAX(0,MIN(Lists!L$21,$AK48)-MAX(Lists!L$22,$AJ48))/($AK48-$AJ48))+N($G48)*IF($AM48-$AL48&lt;1,($AL48&gt;Lists!L$22)*($AL48&lt;=Lists!L$21),MAX(0,MIN(Lists!L$21,$AM48)-MAX(Lists!L$22,$AL48))/($AM48-$AL48))))))))</f>
        <v>0</v>
      </c>
      <c r="W48" s="53" t="n">
        <f aca="false">IF($H48=0,0,IF($AP48="X",0,IF($AP48="S",$H48/$AO48*(MIN($AO48,MAX(0,INT((Lists!M$21-N($J48))/7)+1))-MIN($AO48,MAX(0,INT((Lists!M$22-N($J48))/7)+1))),IF($AP48="D",$H48*MAX(0,MIN(Lists!M$21,N($J48)+$AO48)-MAX(Lists!M$22,N($J48)))/$AO48,IF($AP48="M",$H48/$AO48*(IF(Lists!M$21&lt;$J48,0,MIN($AO48,(((YEAR(Lists!M$21)-YEAR($J48))*12+MONTH(Lists!M$21)-MONTH($J48))-(EDATE($J48,((YEAR(Lists!M$21)-YEAR($J48))*12+MONTH(Lists!M$21)-MONTH($J48)))&gt;Lists!M$21)+1)))-IF(Lists!M$22&lt;$J48,0,MIN($AO48,(((YEAR(Lists!M$22)-YEAR($J48))*12+MONTH(Lists!M$22)-MONTH($J48))-(EDATE($J48,((YEAR(Lists!M$22)-YEAR($J48))*12+MONTH(Lists!M$22)-MONTH($J48)))&gt;Lists!M$22)+1)))),IF($AP48="F",IF(N($K48)&lt;=0,0,MIN(MAX(0,$H48),N($K48)*IF(Lists!M$21&lt;$J48,0,(((YEAR(Lists!M$21)-YEAR($J48))*12+MONTH(Lists!M$21)-MONTH($J48))-(EDATE($J48,((YEAR(Lists!M$21)-YEAR($J48))*12+MONTH(Lists!M$21)-MONTH($J48)))&gt;Lists!M$21)+1)))-MIN(MAX(0,$H48),N($K48)*IF(Lists!M$22&lt;$J48,0,(((YEAR(Lists!M$22)-YEAR($J48))*12+MONTH(Lists!M$22)-MONTH($J48))-(EDATE($J48,((YEAR(Lists!M$22)-YEAR($J48))*12+MONTH(Lists!M$22)-MONTH($J48)))&gt;Lists!M$22)+1)))),N($C48)*IF($AE48-$AD48&lt;1,($AD48&gt;Lists!M$22)*($AD48&lt;=Lists!M$21),MAX(0,MIN(Lists!M$21,$AE48)-MAX(Lists!M$22,$AD48))/($AE48-$AD48))+N($D48)*IF($AG48-$AF48&lt;1,($AF48&gt;Lists!M$22)*($AF48&lt;=Lists!M$21),MAX(0,MIN(Lists!M$21,$AG48)-MAX(Lists!M$22,$AF48))/($AG48-$AF48))+N($E48)*IF($AI48-$AH48&lt;1,($AH48&gt;Lists!M$22)*($AH48&lt;=Lists!M$21),MAX(0,MIN(Lists!M$21,$AI48)-MAX(Lists!M$22,$AH48))/($AI48-$AH48))+N($F48)*IF($AK48-$AJ48&lt;1,($AJ48&gt;Lists!M$22)*($AJ48&lt;=Lists!M$21),MAX(0,MIN(Lists!M$21,$AK48)-MAX(Lists!M$22,$AJ48))/($AK48-$AJ48))+N($G48)*IF($AM48-$AL48&lt;1,($AL48&gt;Lists!M$22)*($AL48&lt;=Lists!M$21),MAX(0,MIN(Lists!M$21,$AM48)-MAX(Lists!M$22,$AL48))/($AM48-$AL48))))))))</f>
        <v>0</v>
      </c>
      <c r="X48" s="53" t="n">
        <f aca="false">IF($H48=0,0,IF($AP48="X",0,IF($AP48="S",$H48/$AO48*(MIN($AO48,MAX(0,INT((Lists!N$21-N($J48))/7)+1))-MIN($AO48,MAX(0,INT((Lists!N$22-N($J48))/7)+1))),IF($AP48="D",$H48*MAX(0,MIN(Lists!N$21,N($J48)+$AO48)-MAX(Lists!N$22,N($J48)))/$AO48,IF($AP48="M",$H48/$AO48*(IF(Lists!N$21&lt;$J48,0,MIN($AO48,(((YEAR(Lists!N$21)-YEAR($J48))*12+MONTH(Lists!N$21)-MONTH($J48))-(EDATE($J48,((YEAR(Lists!N$21)-YEAR($J48))*12+MONTH(Lists!N$21)-MONTH($J48)))&gt;Lists!N$21)+1)))-IF(Lists!N$22&lt;$J48,0,MIN($AO48,(((YEAR(Lists!N$22)-YEAR($J48))*12+MONTH(Lists!N$22)-MONTH($J48))-(EDATE($J48,((YEAR(Lists!N$22)-YEAR($J48))*12+MONTH(Lists!N$22)-MONTH($J48)))&gt;Lists!N$22)+1)))),IF($AP48="F",IF(N($K48)&lt;=0,0,MIN(MAX(0,$H48),N($K48)*IF(Lists!N$21&lt;$J48,0,(((YEAR(Lists!N$21)-YEAR($J48))*12+MONTH(Lists!N$21)-MONTH($J48))-(EDATE($J48,((YEAR(Lists!N$21)-YEAR($J48))*12+MONTH(Lists!N$21)-MONTH($J48)))&gt;Lists!N$21)+1)))-MIN(MAX(0,$H48),N($K48)*IF(Lists!N$22&lt;$J48,0,(((YEAR(Lists!N$22)-YEAR($J48))*12+MONTH(Lists!N$22)-MONTH($J48))-(EDATE($J48,((YEAR(Lists!N$22)-YEAR($J48))*12+MONTH(Lists!N$22)-MONTH($J48)))&gt;Lists!N$22)+1)))),N($C48)*IF($AE48-$AD48&lt;1,($AD48&gt;Lists!N$22)*($AD48&lt;=Lists!N$21),MAX(0,MIN(Lists!N$21,$AE48)-MAX(Lists!N$22,$AD48))/($AE48-$AD48))+N($D48)*IF($AG48-$AF48&lt;1,($AF48&gt;Lists!N$22)*($AF48&lt;=Lists!N$21),MAX(0,MIN(Lists!N$21,$AG48)-MAX(Lists!N$22,$AF48))/($AG48-$AF48))+N($E48)*IF($AI48-$AH48&lt;1,($AH48&gt;Lists!N$22)*($AH48&lt;=Lists!N$21),MAX(0,MIN(Lists!N$21,$AI48)-MAX(Lists!N$22,$AH48))/($AI48-$AH48))+N($F48)*IF($AK48-$AJ48&lt;1,($AJ48&gt;Lists!N$22)*($AJ48&lt;=Lists!N$21),MAX(0,MIN(Lists!N$21,$AK48)-MAX(Lists!N$22,$AJ48))/($AK48-$AJ48))+N($G48)*IF($AM48-$AL48&lt;1,($AL48&gt;Lists!N$22)*($AL48&lt;=Lists!N$21),MAX(0,MIN(Lists!N$21,$AM48)-MAX(Lists!N$22,$AL48))/($AM48-$AL48))))))))</f>
        <v>0</v>
      </c>
      <c r="Y48" s="53" t="n">
        <f aca="false">IF($H48=0,0,IF($AP48="X",0,IF($AP48="S",$H48/$AO48*(MIN($AO48,MAX(0,INT((Lists!O$21-N($J48))/7)+1))-MIN($AO48,MAX(0,INT((Lists!O$22-N($J48))/7)+1))),IF($AP48="D",$H48*MAX(0,MIN(Lists!O$21,N($J48)+$AO48)-MAX(Lists!O$22,N($J48)))/$AO48,IF($AP48="M",$H48/$AO48*(IF(Lists!O$21&lt;$J48,0,MIN($AO48,(((YEAR(Lists!O$21)-YEAR($J48))*12+MONTH(Lists!O$21)-MONTH($J48))-(EDATE($J48,((YEAR(Lists!O$21)-YEAR($J48))*12+MONTH(Lists!O$21)-MONTH($J48)))&gt;Lists!O$21)+1)))-IF(Lists!O$22&lt;$J48,0,MIN($AO48,(((YEAR(Lists!O$22)-YEAR($J48))*12+MONTH(Lists!O$22)-MONTH($J48))-(EDATE($J48,((YEAR(Lists!O$22)-YEAR($J48))*12+MONTH(Lists!O$22)-MONTH($J48)))&gt;Lists!O$22)+1)))),IF($AP48="F",IF(N($K48)&lt;=0,0,MIN(MAX(0,$H48),N($K48)*IF(Lists!O$21&lt;$J48,0,(((YEAR(Lists!O$21)-YEAR($J48))*12+MONTH(Lists!O$21)-MONTH($J48))-(EDATE($J48,((YEAR(Lists!O$21)-YEAR($J48))*12+MONTH(Lists!O$21)-MONTH($J48)))&gt;Lists!O$21)+1)))-MIN(MAX(0,$H48),N($K48)*IF(Lists!O$22&lt;$J48,0,(((YEAR(Lists!O$22)-YEAR($J48))*12+MONTH(Lists!O$22)-MONTH($J48))-(EDATE($J48,((YEAR(Lists!O$22)-YEAR($J48))*12+MONTH(Lists!O$22)-MONTH($J48)))&gt;Lists!O$22)+1)))),N($C48)*IF($AE48-$AD48&lt;1,($AD48&gt;Lists!O$22)*($AD48&lt;=Lists!O$21),MAX(0,MIN(Lists!O$21,$AE48)-MAX(Lists!O$22,$AD48))/($AE48-$AD48))+N($D48)*IF($AG48-$AF48&lt;1,($AF48&gt;Lists!O$22)*($AF48&lt;=Lists!O$21),MAX(0,MIN(Lists!O$21,$AG48)-MAX(Lists!O$22,$AF48))/($AG48-$AF48))+N($E48)*IF($AI48-$AH48&lt;1,($AH48&gt;Lists!O$22)*($AH48&lt;=Lists!O$21),MAX(0,MIN(Lists!O$21,$AI48)-MAX(Lists!O$22,$AH48))/($AI48-$AH48))+N($F48)*IF($AK48-$AJ48&lt;1,($AJ48&gt;Lists!O$22)*($AJ48&lt;=Lists!O$21),MAX(0,MIN(Lists!O$21,$AK48)-MAX(Lists!O$22,$AJ48))/($AK48-$AJ48))+N($G48)*IF($AM48-$AL48&lt;1,($AL48&gt;Lists!O$22)*($AL48&lt;=Lists!O$21),MAX(0,MIN(Lists!O$21,$AM48)-MAX(Lists!O$22,$AL48))/($AM48-$AL48))))))))</f>
        <v>0</v>
      </c>
      <c r="Z48" s="46" t="n">
        <f aca="false">SUM(M48:Y48)</f>
        <v>0</v>
      </c>
      <c r="AA48" s="92" t="n">
        <f aca="false">H48-Z48</f>
        <v>0</v>
      </c>
      <c r="AB48" s="55"/>
      <c r="AC48" s="2"/>
      <c r="AD48" s="93" t="n">
        <f aca="false">Setup!$D$10+MAX(0,$AN48-30)</f>
        <v>46345</v>
      </c>
      <c r="AE48" s="93" t="n">
        <f aca="false">Setup!$D$10+IF($AN48-30&lt;0,MAX(Setup!$D$22,$AN48-0),$AN48-0)</f>
        <v>46375</v>
      </c>
      <c r="AF48" s="93" t="n">
        <f aca="false">Setup!$D$10+MAX(0,$AN48-60)</f>
        <v>46335</v>
      </c>
      <c r="AG48" s="93" t="n">
        <f aca="false">Setup!$D$10+IF($AN48-60&lt;0,MAX(Setup!$D$22,$AN48-31),$AN48-31)</f>
        <v>46363</v>
      </c>
      <c r="AH48" s="93" t="n">
        <f aca="false">Setup!$D$10+MAX(0,$AN48-90)</f>
        <v>46335</v>
      </c>
      <c r="AI48" s="93" t="n">
        <f aca="false">Setup!$D$10+IF($AN48-90&lt;0,MAX(Setup!$D$22,$AN48-61),$AN48-61)</f>
        <v>46363</v>
      </c>
      <c r="AJ48" s="93" t="n">
        <f aca="false">Setup!$D$10+MAX(0,$AN48-120)</f>
        <v>46335</v>
      </c>
      <c r="AK48" s="93" t="n">
        <f aca="false">Setup!$D$10+IF($AN48-120&lt;0,MAX(Setup!$D$22,$AN48-91),$AN48-91)</f>
        <v>46363</v>
      </c>
      <c r="AL48" s="93" t="n">
        <f aca="false">Setup!$D$10</f>
        <v>46335</v>
      </c>
      <c r="AM48" s="93" t="n">
        <f aca="false">IF(AL48=2958465,AL48,Setup!$D$10+Setup!$D$22)</f>
        <v>46363</v>
      </c>
      <c r="AN48" s="94" t="n">
        <f aca="false">IF(N(L48)=0,Setup!$D$21,L48)</f>
        <v>40</v>
      </c>
      <c r="AO48" s="94" t="n">
        <f aca="false">MAX(1,ROUND(N(K48),0))</f>
        <v>1</v>
      </c>
      <c r="AP48" s="95" t="str">
        <f aca="false">IF(I48="On hold","X",IF(N(J48)=0,"A",IF(I48="Specific date","S",IF(I48="Spread over days","D",IF(I48="Monthly on set day","M",IF(I48="Monthly fixed amount","F","A"))))))</f>
        <v>A</v>
      </c>
    </row>
    <row r="49" customFormat="false" ht="15" hidden="false" customHeight="false" outlineLevel="0" collapsed="false">
      <c r="A49" s="87" t="n">
        <v>41</v>
      </c>
      <c r="B49" s="55"/>
      <c r="C49" s="88"/>
      <c r="D49" s="88"/>
      <c r="E49" s="88"/>
      <c r="F49" s="88"/>
      <c r="G49" s="88"/>
      <c r="H49" s="89" t="n">
        <f aca="false">SUM(C49:G49)</f>
        <v>0</v>
      </c>
      <c r="I49" s="58"/>
      <c r="J49" s="90"/>
      <c r="K49" s="91"/>
      <c r="L49" s="80"/>
      <c r="M49" s="53" t="n">
        <f aca="false">IF($H49=0,0,IF($AP49="X",0,IF($AP49="S",$H49/$AO49*(MIN($AO49,MAX(0,INT((Lists!C$21-N($J49))/7)+1))-MIN($AO49,MAX(0,INT((Lists!C$22-N($J49))/7)+1))),IF($AP49="D",$H49*MAX(0,MIN(Lists!C$21,N($J49)+$AO49)-MAX(Lists!C$22,N($J49)))/$AO49,IF($AP49="M",$H49/$AO49*(IF(Lists!C$21&lt;$J49,0,MIN($AO49,(((YEAR(Lists!C$21)-YEAR($J49))*12+MONTH(Lists!C$21)-MONTH($J49))-(EDATE($J49,((YEAR(Lists!C$21)-YEAR($J49))*12+MONTH(Lists!C$21)-MONTH($J49)))&gt;Lists!C$21)+1)))-IF(Lists!C$22&lt;$J49,0,MIN($AO49,(((YEAR(Lists!C$22)-YEAR($J49))*12+MONTH(Lists!C$22)-MONTH($J49))-(EDATE($J49,((YEAR(Lists!C$22)-YEAR($J49))*12+MONTH(Lists!C$22)-MONTH($J49)))&gt;Lists!C$22)+1)))),IF($AP49="F",IF(N($K49)&lt;=0,0,MIN(MAX(0,$H49),N($K49)*IF(Lists!C$21&lt;$J49,0,(((YEAR(Lists!C$21)-YEAR($J49))*12+MONTH(Lists!C$21)-MONTH($J49))-(EDATE($J49,((YEAR(Lists!C$21)-YEAR($J49))*12+MONTH(Lists!C$21)-MONTH($J49)))&gt;Lists!C$21)+1)))-MIN(MAX(0,$H49),N($K49)*IF(Lists!C$22&lt;$J49,0,(((YEAR(Lists!C$22)-YEAR($J49))*12+MONTH(Lists!C$22)-MONTH($J49))-(EDATE($J49,((YEAR(Lists!C$22)-YEAR($J49))*12+MONTH(Lists!C$22)-MONTH($J49)))&gt;Lists!C$22)+1)))),N($C49)*IF($AE49-$AD49&lt;1,($AD49&gt;Lists!C$22)*($AD49&lt;=Lists!C$21),MAX(0,MIN(Lists!C$21,$AE49)-MAX(Lists!C$22,$AD49))/($AE49-$AD49))+N($D49)*IF($AG49-$AF49&lt;1,($AF49&gt;Lists!C$22)*($AF49&lt;=Lists!C$21),MAX(0,MIN(Lists!C$21,$AG49)-MAX(Lists!C$22,$AF49))/($AG49-$AF49))+N($E49)*IF($AI49-$AH49&lt;1,($AH49&gt;Lists!C$22)*($AH49&lt;=Lists!C$21),MAX(0,MIN(Lists!C$21,$AI49)-MAX(Lists!C$22,$AH49))/($AI49-$AH49))+N($F49)*IF($AK49-$AJ49&lt;1,($AJ49&gt;Lists!C$22)*($AJ49&lt;=Lists!C$21),MAX(0,MIN(Lists!C$21,$AK49)-MAX(Lists!C$22,$AJ49))/($AK49-$AJ49))+N($G49)*IF($AM49-$AL49&lt;1,($AL49&gt;Lists!C$22)*($AL49&lt;=Lists!C$21),MAX(0,MIN(Lists!C$21,$AM49)-MAX(Lists!C$22,$AL49))/($AM49-$AL49))))))))</f>
        <v>0</v>
      </c>
      <c r="N49" s="53" t="n">
        <f aca="false">IF($H49=0,0,IF($AP49="X",0,IF($AP49="S",$H49/$AO49*(MIN($AO49,MAX(0,INT((Lists!D$21-N($J49))/7)+1))-MIN($AO49,MAX(0,INT((Lists!D$22-N($J49))/7)+1))),IF($AP49="D",$H49*MAX(0,MIN(Lists!D$21,N($J49)+$AO49)-MAX(Lists!D$22,N($J49)))/$AO49,IF($AP49="M",$H49/$AO49*(IF(Lists!D$21&lt;$J49,0,MIN($AO49,(((YEAR(Lists!D$21)-YEAR($J49))*12+MONTH(Lists!D$21)-MONTH($J49))-(EDATE($J49,((YEAR(Lists!D$21)-YEAR($J49))*12+MONTH(Lists!D$21)-MONTH($J49)))&gt;Lists!D$21)+1)))-IF(Lists!D$22&lt;$J49,0,MIN($AO49,(((YEAR(Lists!D$22)-YEAR($J49))*12+MONTH(Lists!D$22)-MONTH($J49))-(EDATE($J49,((YEAR(Lists!D$22)-YEAR($J49))*12+MONTH(Lists!D$22)-MONTH($J49)))&gt;Lists!D$22)+1)))),IF($AP49="F",IF(N($K49)&lt;=0,0,MIN(MAX(0,$H49),N($K49)*IF(Lists!D$21&lt;$J49,0,(((YEAR(Lists!D$21)-YEAR($J49))*12+MONTH(Lists!D$21)-MONTH($J49))-(EDATE($J49,((YEAR(Lists!D$21)-YEAR($J49))*12+MONTH(Lists!D$21)-MONTH($J49)))&gt;Lists!D$21)+1)))-MIN(MAX(0,$H49),N($K49)*IF(Lists!D$22&lt;$J49,0,(((YEAR(Lists!D$22)-YEAR($J49))*12+MONTH(Lists!D$22)-MONTH($J49))-(EDATE($J49,((YEAR(Lists!D$22)-YEAR($J49))*12+MONTH(Lists!D$22)-MONTH($J49)))&gt;Lists!D$22)+1)))),N($C49)*IF($AE49-$AD49&lt;1,($AD49&gt;Lists!D$22)*($AD49&lt;=Lists!D$21),MAX(0,MIN(Lists!D$21,$AE49)-MAX(Lists!D$22,$AD49))/($AE49-$AD49))+N($D49)*IF($AG49-$AF49&lt;1,($AF49&gt;Lists!D$22)*($AF49&lt;=Lists!D$21),MAX(0,MIN(Lists!D$21,$AG49)-MAX(Lists!D$22,$AF49))/($AG49-$AF49))+N($E49)*IF($AI49-$AH49&lt;1,($AH49&gt;Lists!D$22)*($AH49&lt;=Lists!D$21),MAX(0,MIN(Lists!D$21,$AI49)-MAX(Lists!D$22,$AH49))/($AI49-$AH49))+N($F49)*IF($AK49-$AJ49&lt;1,($AJ49&gt;Lists!D$22)*($AJ49&lt;=Lists!D$21),MAX(0,MIN(Lists!D$21,$AK49)-MAX(Lists!D$22,$AJ49))/($AK49-$AJ49))+N($G49)*IF($AM49-$AL49&lt;1,($AL49&gt;Lists!D$22)*($AL49&lt;=Lists!D$21),MAX(0,MIN(Lists!D$21,$AM49)-MAX(Lists!D$22,$AL49))/($AM49-$AL49))))))))</f>
        <v>0</v>
      </c>
      <c r="O49" s="53" t="n">
        <f aca="false">IF($H49=0,0,IF($AP49="X",0,IF($AP49="S",$H49/$AO49*(MIN($AO49,MAX(0,INT((Lists!E$21-N($J49))/7)+1))-MIN($AO49,MAX(0,INT((Lists!E$22-N($J49))/7)+1))),IF($AP49="D",$H49*MAX(0,MIN(Lists!E$21,N($J49)+$AO49)-MAX(Lists!E$22,N($J49)))/$AO49,IF($AP49="M",$H49/$AO49*(IF(Lists!E$21&lt;$J49,0,MIN($AO49,(((YEAR(Lists!E$21)-YEAR($J49))*12+MONTH(Lists!E$21)-MONTH($J49))-(EDATE($J49,((YEAR(Lists!E$21)-YEAR($J49))*12+MONTH(Lists!E$21)-MONTH($J49)))&gt;Lists!E$21)+1)))-IF(Lists!E$22&lt;$J49,0,MIN($AO49,(((YEAR(Lists!E$22)-YEAR($J49))*12+MONTH(Lists!E$22)-MONTH($J49))-(EDATE($J49,((YEAR(Lists!E$22)-YEAR($J49))*12+MONTH(Lists!E$22)-MONTH($J49)))&gt;Lists!E$22)+1)))),IF($AP49="F",IF(N($K49)&lt;=0,0,MIN(MAX(0,$H49),N($K49)*IF(Lists!E$21&lt;$J49,0,(((YEAR(Lists!E$21)-YEAR($J49))*12+MONTH(Lists!E$21)-MONTH($J49))-(EDATE($J49,((YEAR(Lists!E$21)-YEAR($J49))*12+MONTH(Lists!E$21)-MONTH($J49)))&gt;Lists!E$21)+1)))-MIN(MAX(0,$H49),N($K49)*IF(Lists!E$22&lt;$J49,0,(((YEAR(Lists!E$22)-YEAR($J49))*12+MONTH(Lists!E$22)-MONTH($J49))-(EDATE($J49,((YEAR(Lists!E$22)-YEAR($J49))*12+MONTH(Lists!E$22)-MONTH($J49)))&gt;Lists!E$22)+1)))),N($C49)*IF($AE49-$AD49&lt;1,($AD49&gt;Lists!E$22)*($AD49&lt;=Lists!E$21),MAX(0,MIN(Lists!E$21,$AE49)-MAX(Lists!E$22,$AD49))/($AE49-$AD49))+N($D49)*IF($AG49-$AF49&lt;1,($AF49&gt;Lists!E$22)*($AF49&lt;=Lists!E$21),MAX(0,MIN(Lists!E$21,$AG49)-MAX(Lists!E$22,$AF49))/($AG49-$AF49))+N($E49)*IF($AI49-$AH49&lt;1,($AH49&gt;Lists!E$22)*($AH49&lt;=Lists!E$21),MAX(0,MIN(Lists!E$21,$AI49)-MAX(Lists!E$22,$AH49))/($AI49-$AH49))+N($F49)*IF($AK49-$AJ49&lt;1,($AJ49&gt;Lists!E$22)*($AJ49&lt;=Lists!E$21),MAX(0,MIN(Lists!E$21,$AK49)-MAX(Lists!E$22,$AJ49))/($AK49-$AJ49))+N($G49)*IF($AM49-$AL49&lt;1,($AL49&gt;Lists!E$22)*($AL49&lt;=Lists!E$21),MAX(0,MIN(Lists!E$21,$AM49)-MAX(Lists!E$22,$AL49))/($AM49-$AL49))))))))</f>
        <v>0</v>
      </c>
      <c r="P49" s="53" t="n">
        <f aca="false">IF($H49=0,0,IF($AP49="X",0,IF($AP49="S",$H49/$AO49*(MIN($AO49,MAX(0,INT((Lists!F$21-N($J49))/7)+1))-MIN($AO49,MAX(0,INT((Lists!F$22-N($J49))/7)+1))),IF($AP49="D",$H49*MAX(0,MIN(Lists!F$21,N($J49)+$AO49)-MAX(Lists!F$22,N($J49)))/$AO49,IF($AP49="M",$H49/$AO49*(IF(Lists!F$21&lt;$J49,0,MIN($AO49,(((YEAR(Lists!F$21)-YEAR($J49))*12+MONTH(Lists!F$21)-MONTH($J49))-(EDATE($J49,((YEAR(Lists!F$21)-YEAR($J49))*12+MONTH(Lists!F$21)-MONTH($J49)))&gt;Lists!F$21)+1)))-IF(Lists!F$22&lt;$J49,0,MIN($AO49,(((YEAR(Lists!F$22)-YEAR($J49))*12+MONTH(Lists!F$22)-MONTH($J49))-(EDATE($J49,((YEAR(Lists!F$22)-YEAR($J49))*12+MONTH(Lists!F$22)-MONTH($J49)))&gt;Lists!F$22)+1)))),IF($AP49="F",IF(N($K49)&lt;=0,0,MIN(MAX(0,$H49),N($K49)*IF(Lists!F$21&lt;$J49,0,(((YEAR(Lists!F$21)-YEAR($J49))*12+MONTH(Lists!F$21)-MONTH($J49))-(EDATE($J49,((YEAR(Lists!F$21)-YEAR($J49))*12+MONTH(Lists!F$21)-MONTH($J49)))&gt;Lists!F$21)+1)))-MIN(MAX(0,$H49),N($K49)*IF(Lists!F$22&lt;$J49,0,(((YEAR(Lists!F$22)-YEAR($J49))*12+MONTH(Lists!F$22)-MONTH($J49))-(EDATE($J49,((YEAR(Lists!F$22)-YEAR($J49))*12+MONTH(Lists!F$22)-MONTH($J49)))&gt;Lists!F$22)+1)))),N($C49)*IF($AE49-$AD49&lt;1,($AD49&gt;Lists!F$22)*($AD49&lt;=Lists!F$21),MAX(0,MIN(Lists!F$21,$AE49)-MAX(Lists!F$22,$AD49))/($AE49-$AD49))+N($D49)*IF($AG49-$AF49&lt;1,($AF49&gt;Lists!F$22)*($AF49&lt;=Lists!F$21),MAX(0,MIN(Lists!F$21,$AG49)-MAX(Lists!F$22,$AF49))/($AG49-$AF49))+N($E49)*IF($AI49-$AH49&lt;1,($AH49&gt;Lists!F$22)*($AH49&lt;=Lists!F$21),MAX(0,MIN(Lists!F$21,$AI49)-MAX(Lists!F$22,$AH49))/($AI49-$AH49))+N($F49)*IF($AK49-$AJ49&lt;1,($AJ49&gt;Lists!F$22)*($AJ49&lt;=Lists!F$21),MAX(0,MIN(Lists!F$21,$AK49)-MAX(Lists!F$22,$AJ49))/($AK49-$AJ49))+N($G49)*IF($AM49-$AL49&lt;1,($AL49&gt;Lists!F$22)*($AL49&lt;=Lists!F$21),MAX(0,MIN(Lists!F$21,$AM49)-MAX(Lists!F$22,$AL49))/($AM49-$AL49))))))))</f>
        <v>0</v>
      </c>
      <c r="Q49" s="53" t="n">
        <f aca="false">IF($H49=0,0,IF($AP49="X",0,IF($AP49="S",$H49/$AO49*(MIN($AO49,MAX(0,INT((Lists!G$21-N($J49))/7)+1))-MIN($AO49,MAX(0,INT((Lists!G$22-N($J49))/7)+1))),IF($AP49="D",$H49*MAX(0,MIN(Lists!G$21,N($J49)+$AO49)-MAX(Lists!G$22,N($J49)))/$AO49,IF($AP49="M",$H49/$AO49*(IF(Lists!G$21&lt;$J49,0,MIN($AO49,(((YEAR(Lists!G$21)-YEAR($J49))*12+MONTH(Lists!G$21)-MONTH($J49))-(EDATE($J49,((YEAR(Lists!G$21)-YEAR($J49))*12+MONTH(Lists!G$21)-MONTH($J49)))&gt;Lists!G$21)+1)))-IF(Lists!G$22&lt;$J49,0,MIN($AO49,(((YEAR(Lists!G$22)-YEAR($J49))*12+MONTH(Lists!G$22)-MONTH($J49))-(EDATE($J49,((YEAR(Lists!G$22)-YEAR($J49))*12+MONTH(Lists!G$22)-MONTH($J49)))&gt;Lists!G$22)+1)))),IF($AP49="F",IF(N($K49)&lt;=0,0,MIN(MAX(0,$H49),N($K49)*IF(Lists!G$21&lt;$J49,0,(((YEAR(Lists!G$21)-YEAR($J49))*12+MONTH(Lists!G$21)-MONTH($J49))-(EDATE($J49,((YEAR(Lists!G$21)-YEAR($J49))*12+MONTH(Lists!G$21)-MONTH($J49)))&gt;Lists!G$21)+1)))-MIN(MAX(0,$H49),N($K49)*IF(Lists!G$22&lt;$J49,0,(((YEAR(Lists!G$22)-YEAR($J49))*12+MONTH(Lists!G$22)-MONTH($J49))-(EDATE($J49,((YEAR(Lists!G$22)-YEAR($J49))*12+MONTH(Lists!G$22)-MONTH($J49)))&gt;Lists!G$22)+1)))),N($C49)*IF($AE49-$AD49&lt;1,($AD49&gt;Lists!G$22)*($AD49&lt;=Lists!G$21),MAX(0,MIN(Lists!G$21,$AE49)-MAX(Lists!G$22,$AD49))/($AE49-$AD49))+N($D49)*IF($AG49-$AF49&lt;1,($AF49&gt;Lists!G$22)*($AF49&lt;=Lists!G$21),MAX(0,MIN(Lists!G$21,$AG49)-MAX(Lists!G$22,$AF49))/($AG49-$AF49))+N($E49)*IF($AI49-$AH49&lt;1,($AH49&gt;Lists!G$22)*($AH49&lt;=Lists!G$21),MAX(0,MIN(Lists!G$21,$AI49)-MAX(Lists!G$22,$AH49))/($AI49-$AH49))+N($F49)*IF($AK49-$AJ49&lt;1,($AJ49&gt;Lists!G$22)*($AJ49&lt;=Lists!G$21),MAX(0,MIN(Lists!G$21,$AK49)-MAX(Lists!G$22,$AJ49))/($AK49-$AJ49))+N($G49)*IF($AM49-$AL49&lt;1,($AL49&gt;Lists!G$22)*($AL49&lt;=Lists!G$21),MAX(0,MIN(Lists!G$21,$AM49)-MAX(Lists!G$22,$AL49))/($AM49-$AL49))))))))</f>
        <v>0</v>
      </c>
      <c r="R49" s="53" t="n">
        <f aca="false">IF($H49=0,0,IF($AP49="X",0,IF($AP49="S",$H49/$AO49*(MIN($AO49,MAX(0,INT((Lists!H$21-N($J49))/7)+1))-MIN($AO49,MAX(0,INT((Lists!H$22-N($J49))/7)+1))),IF($AP49="D",$H49*MAX(0,MIN(Lists!H$21,N($J49)+$AO49)-MAX(Lists!H$22,N($J49)))/$AO49,IF($AP49="M",$H49/$AO49*(IF(Lists!H$21&lt;$J49,0,MIN($AO49,(((YEAR(Lists!H$21)-YEAR($J49))*12+MONTH(Lists!H$21)-MONTH($J49))-(EDATE($J49,((YEAR(Lists!H$21)-YEAR($J49))*12+MONTH(Lists!H$21)-MONTH($J49)))&gt;Lists!H$21)+1)))-IF(Lists!H$22&lt;$J49,0,MIN($AO49,(((YEAR(Lists!H$22)-YEAR($J49))*12+MONTH(Lists!H$22)-MONTH($J49))-(EDATE($J49,((YEAR(Lists!H$22)-YEAR($J49))*12+MONTH(Lists!H$22)-MONTH($J49)))&gt;Lists!H$22)+1)))),IF($AP49="F",IF(N($K49)&lt;=0,0,MIN(MAX(0,$H49),N($K49)*IF(Lists!H$21&lt;$J49,0,(((YEAR(Lists!H$21)-YEAR($J49))*12+MONTH(Lists!H$21)-MONTH($J49))-(EDATE($J49,((YEAR(Lists!H$21)-YEAR($J49))*12+MONTH(Lists!H$21)-MONTH($J49)))&gt;Lists!H$21)+1)))-MIN(MAX(0,$H49),N($K49)*IF(Lists!H$22&lt;$J49,0,(((YEAR(Lists!H$22)-YEAR($J49))*12+MONTH(Lists!H$22)-MONTH($J49))-(EDATE($J49,((YEAR(Lists!H$22)-YEAR($J49))*12+MONTH(Lists!H$22)-MONTH($J49)))&gt;Lists!H$22)+1)))),N($C49)*IF($AE49-$AD49&lt;1,($AD49&gt;Lists!H$22)*($AD49&lt;=Lists!H$21),MAX(0,MIN(Lists!H$21,$AE49)-MAX(Lists!H$22,$AD49))/($AE49-$AD49))+N($D49)*IF($AG49-$AF49&lt;1,($AF49&gt;Lists!H$22)*($AF49&lt;=Lists!H$21),MAX(0,MIN(Lists!H$21,$AG49)-MAX(Lists!H$22,$AF49))/($AG49-$AF49))+N($E49)*IF($AI49-$AH49&lt;1,($AH49&gt;Lists!H$22)*($AH49&lt;=Lists!H$21),MAX(0,MIN(Lists!H$21,$AI49)-MAX(Lists!H$22,$AH49))/($AI49-$AH49))+N($F49)*IF($AK49-$AJ49&lt;1,($AJ49&gt;Lists!H$22)*($AJ49&lt;=Lists!H$21),MAX(0,MIN(Lists!H$21,$AK49)-MAX(Lists!H$22,$AJ49))/($AK49-$AJ49))+N($G49)*IF($AM49-$AL49&lt;1,($AL49&gt;Lists!H$22)*($AL49&lt;=Lists!H$21),MAX(0,MIN(Lists!H$21,$AM49)-MAX(Lists!H$22,$AL49))/($AM49-$AL49))))))))</f>
        <v>0</v>
      </c>
      <c r="S49" s="53" t="n">
        <f aca="false">IF($H49=0,0,IF($AP49="X",0,IF($AP49="S",$H49/$AO49*(MIN($AO49,MAX(0,INT((Lists!I$21-N($J49))/7)+1))-MIN($AO49,MAX(0,INT((Lists!I$22-N($J49))/7)+1))),IF($AP49="D",$H49*MAX(0,MIN(Lists!I$21,N($J49)+$AO49)-MAX(Lists!I$22,N($J49)))/$AO49,IF($AP49="M",$H49/$AO49*(IF(Lists!I$21&lt;$J49,0,MIN($AO49,(((YEAR(Lists!I$21)-YEAR($J49))*12+MONTH(Lists!I$21)-MONTH($J49))-(EDATE($J49,((YEAR(Lists!I$21)-YEAR($J49))*12+MONTH(Lists!I$21)-MONTH($J49)))&gt;Lists!I$21)+1)))-IF(Lists!I$22&lt;$J49,0,MIN($AO49,(((YEAR(Lists!I$22)-YEAR($J49))*12+MONTH(Lists!I$22)-MONTH($J49))-(EDATE($J49,((YEAR(Lists!I$22)-YEAR($J49))*12+MONTH(Lists!I$22)-MONTH($J49)))&gt;Lists!I$22)+1)))),IF($AP49="F",IF(N($K49)&lt;=0,0,MIN(MAX(0,$H49),N($K49)*IF(Lists!I$21&lt;$J49,0,(((YEAR(Lists!I$21)-YEAR($J49))*12+MONTH(Lists!I$21)-MONTH($J49))-(EDATE($J49,((YEAR(Lists!I$21)-YEAR($J49))*12+MONTH(Lists!I$21)-MONTH($J49)))&gt;Lists!I$21)+1)))-MIN(MAX(0,$H49),N($K49)*IF(Lists!I$22&lt;$J49,0,(((YEAR(Lists!I$22)-YEAR($J49))*12+MONTH(Lists!I$22)-MONTH($J49))-(EDATE($J49,((YEAR(Lists!I$22)-YEAR($J49))*12+MONTH(Lists!I$22)-MONTH($J49)))&gt;Lists!I$22)+1)))),N($C49)*IF($AE49-$AD49&lt;1,($AD49&gt;Lists!I$22)*($AD49&lt;=Lists!I$21),MAX(0,MIN(Lists!I$21,$AE49)-MAX(Lists!I$22,$AD49))/($AE49-$AD49))+N($D49)*IF($AG49-$AF49&lt;1,($AF49&gt;Lists!I$22)*($AF49&lt;=Lists!I$21),MAX(0,MIN(Lists!I$21,$AG49)-MAX(Lists!I$22,$AF49))/($AG49-$AF49))+N($E49)*IF($AI49-$AH49&lt;1,($AH49&gt;Lists!I$22)*($AH49&lt;=Lists!I$21),MAX(0,MIN(Lists!I$21,$AI49)-MAX(Lists!I$22,$AH49))/($AI49-$AH49))+N($F49)*IF($AK49-$AJ49&lt;1,($AJ49&gt;Lists!I$22)*($AJ49&lt;=Lists!I$21),MAX(0,MIN(Lists!I$21,$AK49)-MAX(Lists!I$22,$AJ49))/($AK49-$AJ49))+N($G49)*IF($AM49-$AL49&lt;1,($AL49&gt;Lists!I$22)*($AL49&lt;=Lists!I$21),MAX(0,MIN(Lists!I$21,$AM49)-MAX(Lists!I$22,$AL49))/($AM49-$AL49))))))))</f>
        <v>0</v>
      </c>
      <c r="T49" s="53" t="n">
        <f aca="false">IF($H49=0,0,IF($AP49="X",0,IF($AP49="S",$H49/$AO49*(MIN($AO49,MAX(0,INT((Lists!J$21-N($J49))/7)+1))-MIN($AO49,MAX(0,INT((Lists!J$22-N($J49))/7)+1))),IF($AP49="D",$H49*MAX(0,MIN(Lists!J$21,N($J49)+$AO49)-MAX(Lists!J$22,N($J49)))/$AO49,IF($AP49="M",$H49/$AO49*(IF(Lists!J$21&lt;$J49,0,MIN($AO49,(((YEAR(Lists!J$21)-YEAR($J49))*12+MONTH(Lists!J$21)-MONTH($J49))-(EDATE($J49,((YEAR(Lists!J$21)-YEAR($J49))*12+MONTH(Lists!J$21)-MONTH($J49)))&gt;Lists!J$21)+1)))-IF(Lists!J$22&lt;$J49,0,MIN($AO49,(((YEAR(Lists!J$22)-YEAR($J49))*12+MONTH(Lists!J$22)-MONTH($J49))-(EDATE($J49,((YEAR(Lists!J$22)-YEAR($J49))*12+MONTH(Lists!J$22)-MONTH($J49)))&gt;Lists!J$22)+1)))),IF($AP49="F",IF(N($K49)&lt;=0,0,MIN(MAX(0,$H49),N($K49)*IF(Lists!J$21&lt;$J49,0,(((YEAR(Lists!J$21)-YEAR($J49))*12+MONTH(Lists!J$21)-MONTH($J49))-(EDATE($J49,((YEAR(Lists!J$21)-YEAR($J49))*12+MONTH(Lists!J$21)-MONTH($J49)))&gt;Lists!J$21)+1)))-MIN(MAX(0,$H49),N($K49)*IF(Lists!J$22&lt;$J49,0,(((YEAR(Lists!J$22)-YEAR($J49))*12+MONTH(Lists!J$22)-MONTH($J49))-(EDATE($J49,((YEAR(Lists!J$22)-YEAR($J49))*12+MONTH(Lists!J$22)-MONTH($J49)))&gt;Lists!J$22)+1)))),N($C49)*IF($AE49-$AD49&lt;1,($AD49&gt;Lists!J$22)*($AD49&lt;=Lists!J$21),MAX(0,MIN(Lists!J$21,$AE49)-MAX(Lists!J$22,$AD49))/($AE49-$AD49))+N($D49)*IF($AG49-$AF49&lt;1,($AF49&gt;Lists!J$22)*($AF49&lt;=Lists!J$21),MAX(0,MIN(Lists!J$21,$AG49)-MAX(Lists!J$22,$AF49))/($AG49-$AF49))+N($E49)*IF($AI49-$AH49&lt;1,($AH49&gt;Lists!J$22)*($AH49&lt;=Lists!J$21),MAX(0,MIN(Lists!J$21,$AI49)-MAX(Lists!J$22,$AH49))/($AI49-$AH49))+N($F49)*IF($AK49-$AJ49&lt;1,($AJ49&gt;Lists!J$22)*($AJ49&lt;=Lists!J$21),MAX(0,MIN(Lists!J$21,$AK49)-MAX(Lists!J$22,$AJ49))/($AK49-$AJ49))+N($G49)*IF($AM49-$AL49&lt;1,($AL49&gt;Lists!J$22)*($AL49&lt;=Lists!J$21),MAX(0,MIN(Lists!J$21,$AM49)-MAX(Lists!J$22,$AL49))/($AM49-$AL49))))))))</f>
        <v>0</v>
      </c>
      <c r="U49" s="53" t="n">
        <f aca="false">IF($H49=0,0,IF($AP49="X",0,IF($AP49="S",$H49/$AO49*(MIN($AO49,MAX(0,INT((Lists!K$21-N($J49))/7)+1))-MIN($AO49,MAX(0,INT((Lists!K$22-N($J49))/7)+1))),IF($AP49="D",$H49*MAX(0,MIN(Lists!K$21,N($J49)+$AO49)-MAX(Lists!K$22,N($J49)))/$AO49,IF($AP49="M",$H49/$AO49*(IF(Lists!K$21&lt;$J49,0,MIN($AO49,(((YEAR(Lists!K$21)-YEAR($J49))*12+MONTH(Lists!K$21)-MONTH($J49))-(EDATE($J49,((YEAR(Lists!K$21)-YEAR($J49))*12+MONTH(Lists!K$21)-MONTH($J49)))&gt;Lists!K$21)+1)))-IF(Lists!K$22&lt;$J49,0,MIN($AO49,(((YEAR(Lists!K$22)-YEAR($J49))*12+MONTH(Lists!K$22)-MONTH($J49))-(EDATE($J49,((YEAR(Lists!K$22)-YEAR($J49))*12+MONTH(Lists!K$22)-MONTH($J49)))&gt;Lists!K$22)+1)))),IF($AP49="F",IF(N($K49)&lt;=0,0,MIN(MAX(0,$H49),N($K49)*IF(Lists!K$21&lt;$J49,0,(((YEAR(Lists!K$21)-YEAR($J49))*12+MONTH(Lists!K$21)-MONTH($J49))-(EDATE($J49,((YEAR(Lists!K$21)-YEAR($J49))*12+MONTH(Lists!K$21)-MONTH($J49)))&gt;Lists!K$21)+1)))-MIN(MAX(0,$H49),N($K49)*IF(Lists!K$22&lt;$J49,0,(((YEAR(Lists!K$22)-YEAR($J49))*12+MONTH(Lists!K$22)-MONTH($J49))-(EDATE($J49,((YEAR(Lists!K$22)-YEAR($J49))*12+MONTH(Lists!K$22)-MONTH($J49)))&gt;Lists!K$22)+1)))),N($C49)*IF($AE49-$AD49&lt;1,($AD49&gt;Lists!K$22)*($AD49&lt;=Lists!K$21),MAX(0,MIN(Lists!K$21,$AE49)-MAX(Lists!K$22,$AD49))/($AE49-$AD49))+N($D49)*IF($AG49-$AF49&lt;1,($AF49&gt;Lists!K$22)*($AF49&lt;=Lists!K$21),MAX(0,MIN(Lists!K$21,$AG49)-MAX(Lists!K$22,$AF49))/($AG49-$AF49))+N($E49)*IF($AI49-$AH49&lt;1,($AH49&gt;Lists!K$22)*($AH49&lt;=Lists!K$21),MAX(0,MIN(Lists!K$21,$AI49)-MAX(Lists!K$22,$AH49))/($AI49-$AH49))+N($F49)*IF($AK49-$AJ49&lt;1,($AJ49&gt;Lists!K$22)*($AJ49&lt;=Lists!K$21),MAX(0,MIN(Lists!K$21,$AK49)-MAX(Lists!K$22,$AJ49))/($AK49-$AJ49))+N($G49)*IF($AM49-$AL49&lt;1,($AL49&gt;Lists!K$22)*($AL49&lt;=Lists!K$21),MAX(0,MIN(Lists!K$21,$AM49)-MAX(Lists!K$22,$AL49))/($AM49-$AL49))))))))</f>
        <v>0</v>
      </c>
      <c r="V49" s="53" t="n">
        <f aca="false">IF($H49=0,0,IF($AP49="X",0,IF($AP49="S",$H49/$AO49*(MIN($AO49,MAX(0,INT((Lists!L$21-N($J49))/7)+1))-MIN($AO49,MAX(0,INT((Lists!L$22-N($J49))/7)+1))),IF($AP49="D",$H49*MAX(0,MIN(Lists!L$21,N($J49)+$AO49)-MAX(Lists!L$22,N($J49)))/$AO49,IF($AP49="M",$H49/$AO49*(IF(Lists!L$21&lt;$J49,0,MIN($AO49,(((YEAR(Lists!L$21)-YEAR($J49))*12+MONTH(Lists!L$21)-MONTH($J49))-(EDATE($J49,((YEAR(Lists!L$21)-YEAR($J49))*12+MONTH(Lists!L$21)-MONTH($J49)))&gt;Lists!L$21)+1)))-IF(Lists!L$22&lt;$J49,0,MIN($AO49,(((YEAR(Lists!L$22)-YEAR($J49))*12+MONTH(Lists!L$22)-MONTH($J49))-(EDATE($J49,((YEAR(Lists!L$22)-YEAR($J49))*12+MONTH(Lists!L$22)-MONTH($J49)))&gt;Lists!L$22)+1)))),IF($AP49="F",IF(N($K49)&lt;=0,0,MIN(MAX(0,$H49),N($K49)*IF(Lists!L$21&lt;$J49,0,(((YEAR(Lists!L$21)-YEAR($J49))*12+MONTH(Lists!L$21)-MONTH($J49))-(EDATE($J49,((YEAR(Lists!L$21)-YEAR($J49))*12+MONTH(Lists!L$21)-MONTH($J49)))&gt;Lists!L$21)+1)))-MIN(MAX(0,$H49),N($K49)*IF(Lists!L$22&lt;$J49,0,(((YEAR(Lists!L$22)-YEAR($J49))*12+MONTH(Lists!L$22)-MONTH($J49))-(EDATE($J49,((YEAR(Lists!L$22)-YEAR($J49))*12+MONTH(Lists!L$22)-MONTH($J49)))&gt;Lists!L$22)+1)))),N($C49)*IF($AE49-$AD49&lt;1,($AD49&gt;Lists!L$22)*($AD49&lt;=Lists!L$21),MAX(0,MIN(Lists!L$21,$AE49)-MAX(Lists!L$22,$AD49))/($AE49-$AD49))+N($D49)*IF($AG49-$AF49&lt;1,($AF49&gt;Lists!L$22)*($AF49&lt;=Lists!L$21),MAX(0,MIN(Lists!L$21,$AG49)-MAX(Lists!L$22,$AF49))/($AG49-$AF49))+N($E49)*IF($AI49-$AH49&lt;1,($AH49&gt;Lists!L$22)*($AH49&lt;=Lists!L$21),MAX(0,MIN(Lists!L$21,$AI49)-MAX(Lists!L$22,$AH49))/($AI49-$AH49))+N($F49)*IF($AK49-$AJ49&lt;1,($AJ49&gt;Lists!L$22)*($AJ49&lt;=Lists!L$21),MAX(0,MIN(Lists!L$21,$AK49)-MAX(Lists!L$22,$AJ49))/($AK49-$AJ49))+N($G49)*IF($AM49-$AL49&lt;1,($AL49&gt;Lists!L$22)*($AL49&lt;=Lists!L$21),MAX(0,MIN(Lists!L$21,$AM49)-MAX(Lists!L$22,$AL49))/($AM49-$AL49))))))))</f>
        <v>0</v>
      </c>
      <c r="W49" s="53" t="n">
        <f aca="false">IF($H49=0,0,IF($AP49="X",0,IF($AP49="S",$H49/$AO49*(MIN($AO49,MAX(0,INT((Lists!M$21-N($J49))/7)+1))-MIN($AO49,MAX(0,INT((Lists!M$22-N($J49))/7)+1))),IF($AP49="D",$H49*MAX(0,MIN(Lists!M$21,N($J49)+$AO49)-MAX(Lists!M$22,N($J49)))/$AO49,IF($AP49="M",$H49/$AO49*(IF(Lists!M$21&lt;$J49,0,MIN($AO49,(((YEAR(Lists!M$21)-YEAR($J49))*12+MONTH(Lists!M$21)-MONTH($J49))-(EDATE($J49,((YEAR(Lists!M$21)-YEAR($J49))*12+MONTH(Lists!M$21)-MONTH($J49)))&gt;Lists!M$21)+1)))-IF(Lists!M$22&lt;$J49,0,MIN($AO49,(((YEAR(Lists!M$22)-YEAR($J49))*12+MONTH(Lists!M$22)-MONTH($J49))-(EDATE($J49,((YEAR(Lists!M$22)-YEAR($J49))*12+MONTH(Lists!M$22)-MONTH($J49)))&gt;Lists!M$22)+1)))),IF($AP49="F",IF(N($K49)&lt;=0,0,MIN(MAX(0,$H49),N($K49)*IF(Lists!M$21&lt;$J49,0,(((YEAR(Lists!M$21)-YEAR($J49))*12+MONTH(Lists!M$21)-MONTH($J49))-(EDATE($J49,((YEAR(Lists!M$21)-YEAR($J49))*12+MONTH(Lists!M$21)-MONTH($J49)))&gt;Lists!M$21)+1)))-MIN(MAX(0,$H49),N($K49)*IF(Lists!M$22&lt;$J49,0,(((YEAR(Lists!M$22)-YEAR($J49))*12+MONTH(Lists!M$22)-MONTH($J49))-(EDATE($J49,((YEAR(Lists!M$22)-YEAR($J49))*12+MONTH(Lists!M$22)-MONTH($J49)))&gt;Lists!M$22)+1)))),N($C49)*IF($AE49-$AD49&lt;1,($AD49&gt;Lists!M$22)*($AD49&lt;=Lists!M$21),MAX(0,MIN(Lists!M$21,$AE49)-MAX(Lists!M$22,$AD49))/($AE49-$AD49))+N($D49)*IF($AG49-$AF49&lt;1,($AF49&gt;Lists!M$22)*($AF49&lt;=Lists!M$21),MAX(0,MIN(Lists!M$21,$AG49)-MAX(Lists!M$22,$AF49))/($AG49-$AF49))+N($E49)*IF($AI49-$AH49&lt;1,($AH49&gt;Lists!M$22)*($AH49&lt;=Lists!M$21),MAX(0,MIN(Lists!M$21,$AI49)-MAX(Lists!M$22,$AH49))/($AI49-$AH49))+N($F49)*IF($AK49-$AJ49&lt;1,($AJ49&gt;Lists!M$22)*($AJ49&lt;=Lists!M$21),MAX(0,MIN(Lists!M$21,$AK49)-MAX(Lists!M$22,$AJ49))/($AK49-$AJ49))+N($G49)*IF($AM49-$AL49&lt;1,($AL49&gt;Lists!M$22)*($AL49&lt;=Lists!M$21),MAX(0,MIN(Lists!M$21,$AM49)-MAX(Lists!M$22,$AL49))/($AM49-$AL49))))))))</f>
        <v>0</v>
      </c>
      <c r="X49" s="53" t="n">
        <f aca="false">IF($H49=0,0,IF($AP49="X",0,IF($AP49="S",$H49/$AO49*(MIN($AO49,MAX(0,INT((Lists!N$21-N($J49))/7)+1))-MIN($AO49,MAX(0,INT((Lists!N$22-N($J49))/7)+1))),IF($AP49="D",$H49*MAX(0,MIN(Lists!N$21,N($J49)+$AO49)-MAX(Lists!N$22,N($J49)))/$AO49,IF($AP49="M",$H49/$AO49*(IF(Lists!N$21&lt;$J49,0,MIN($AO49,(((YEAR(Lists!N$21)-YEAR($J49))*12+MONTH(Lists!N$21)-MONTH($J49))-(EDATE($J49,((YEAR(Lists!N$21)-YEAR($J49))*12+MONTH(Lists!N$21)-MONTH($J49)))&gt;Lists!N$21)+1)))-IF(Lists!N$22&lt;$J49,0,MIN($AO49,(((YEAR(Lists!N$22)-YEAR($J49))*12+MONTH(Lists!N$22)-MONTH($J49))-(EDATE($J49,((YEAR(Lists!N$22)-YEAR($J49))*12+MONTH(Lists!N$22)-MONTH($J49)))&gt;Lists!N$22)+1)))),IF($AP49="F",IF(N($K49)&lt;=0,0,MIN(MAX(0,$H49),N($K49)*IF(Lists!N$21&lt;$J49,0,(((YEAR(Lists!N$21)-YEAR($J49))*12+MONTH(Lists!N$21)-MONTH($J49))-(EDATE($J49,((YEAR(Lists!N$21)-YEAR($J49))*12+MONTH(Lists!N$21)-MONTH($J49)))&gt;Lists!N$21)+1)))-MIN(MAX(0,$H49),N($K49)*IF(Lists!N$22&lt;$J49,0,(((YEAR(Lists!N$22)-YEAR($J49))*12+MONTH(Lists!N$22)-MONTH($J49))-(EDATE($J49,((YEAR(Lists!N$22)-YEAR($J49))*12+MONTH(Lists!N$22)-MONTH($J49)))&gt;Lists!N$22)+1)))),N($C49)*IF($AE49-$AD49&lt;1,($AD49&gt;Lists!N$22)*($AD49&lt;=Lists!N$21),MAX(0,MIN(Lists!N$21,$AE49)-MAX(Lists!N$22,$AD49))/($AE49-$AD49))+N($D49)*IF($AG49-$AF49&lt;1,($AF49&gt;Lists!N$22)*($AF49&lt;=Lists!N$21),MAX(0,MIN(Lists!N$21,$AG49)-MAX(Lists!N$22,$AF49))/($AG49-$AF49))+N($E49)*IF($AI49-$AH49&lt;1,($AH49&gt;Lists!N$22)*($AH49&lt;=Lists!N$21),MAX(0,MIN(Lists!N$21,$AI49)-MAX(Lists!N$22,$AH49))/($AI49-$AH49))+N($F49)*IF($AK49-$AJ49&lt;1,($AJ49&gt;Lists!N$22)*($AJ49&lt;=Lists!N$21),MAX(0,MIN(Lists!N$21,$AK49)-MAX(Lists!N$22,$AJ49))/($AK49-$AJ49))+N($G49)*IF($AM49-$AL49&lt;1,($AL49&gt;Lists!N$22)*($AL49&lt;=Lists!N$21),MAX(0,MIN(Lists!N$21,$AM49)-MAX(Lists!N$22,$AL49))/($AM49-$AL49))))))))</f>
        <v>0</v>
      </c>
      <c r="Y49" s="53" t="n">
        <f aca="false">IF($H49=0,0,IF($AP49="X",0,IF($AP49="S",$H49/$AO49*(MIN($AO49,MAX(0,INT((Lists!O$21-N($J49))/7)+1))-MIN($AO49,MAX(0,INT((Lists!O$22-N($J49))/7)+1))),IF($AP49="D",$H49*MAX(0,MIN(Lists!O$21,N($J49)+$AO49)-MAX(Lists!O$22,N($J49)))/$AO49,IF($AP49="M",$H49/$AO49*(IF(Lists!O$21&lt;$J49,0,MIN($AO49,(((YEAR(Lists!O$21)-YEAR($J49))*12+MONTH(Lists!O$21)-MONTH($J49))-(EDATE($J49,((YEAR(Lists!O$21)-YEAR($J49))*12+MONTH(Lists!O$21)-MONTH($J49)))&gt;Lists!O$21)+1)))-IF(Lists!O$22&lt;$J49,0,MIN($AO49,(((YEAR(Lists!O$22)-YEAR($J49))*12+MONTH(Lists!O$22)-MONTH($J49))-(EDATE($J49,((YEAR(Lists!O$22)-YEAR($J49))*12+MONTH(Lists!O$22)-MONTH($J49)))&gt;Lists!O$22)+1)))),IF($AP49="F",IF(N($K49)&lt;=0,0,MIN(MAX(0,$H49),N($K49)*IF(Lists!O$21&lt;$J49,0,(((YEAR(Lists!O$21)-YEAR($J49))*12+MONTH(Lists!O$21)-MONTH($J49))-(EDATE($J49,((YEAR(Lists!O$21)-YEAR($J49))*12+MONTH(Lists!O$21)-MONTH($J49)))&gt;Lists!O$21)+1)))-MIN(MAX(0,$H49),N($K49)*IF(Lists!O$22&lt;$J49,0,(((YEAR(Lists!O$22)-YEAR($J49))*12+MONTH(Lists!O$22)-MONTH($J49))-(EDATE($J49,((YEAR(Lists!O$22)-YEAR($J49))*12+MONTH(Lists!O$22)-MONTH($J49)))&gt;Lists!O$22)+1)))),N($C49)*IF($AE49-$AD49&lt;1,($AD49&gt;Lists!O$22)*($AD49&lt;=Lists!O$21),MAX(0,MIN(Lists!O$21,$AE49)-MAX(Lists!O$22,$AD49))/($AE49-$AD49))+N($D49)*IF($AG49-$AF49&lt;1,($AF49&gt;Lists!O$22)*($AF49&lt;=Lists!O$21),MAX(0,MIN(Lists!O$21,$AG49)-MAX(Lists!O$22,$AF49))/($AG49-$AF49))+N($E49)*IF($AI49-$AH49&lt;1,($AH49&gt;Lists!O$22)*($AH49&lt;=Lists!O$21),MAX(0,MIN(Lists!O$21,$AI49)-MAX(Lists!O$22,$AH49))/($AI49-$AH49))+N($F49)*IF($AK49-$AJ49&lt;1,($AJ49&gt;Lists!O$22)*($AJ49&lt;=Lists!O$21),MAX(0,MIN(Lists!O$21,$AK49)-MAX(Lists!O$22,$AJ49))/($AK49-$AJ49))+N($G49)*IF($AM49-$AL49&lt;1,($AL49&gt;Lists!O$22)*($AL49&lt;=Lists!O$21),MAX(0,MIN(Lists!O$21,$AM49)-MAX(Lists!O$22,$AL49))/($AM49-$AL49))))))))</f>
        <v>0</v>
      </c>
      <c r="Z49" s="46" t="n">
        <f aca="false">SUM(M49:Y49)</f>
        <v>0</v>
      </c>
      <c r="AA49" s="92" t="n">
        <f aca="false">H49-Z49</f>
        <v>0</v>
      </c>
      <c r="AB49" s="55"/>
      <c r="AC49" s="2"/>
      <c r="AD49" s="93" t="n">
        <f aca="false">Setup!$D$10+MAX(0,$AN49-30)</f>
        <v>46345</v>
      </c>
      <c r="AE49" s="93" t="n">
        <f aca="false">Setup!$D$10+IF($AN49-30&lt;0,MAX(Setup!$D$22,$AN49-0),$AN49-0)</f>
        <v>46375</v>
      </c>
      <c r="AF49" s="93" t="n">
        <f aca="false">Setup!$D$10+MAX(0,$AN49-60)</f>
        <v>46335</v>
      </c>
      <c r="AG49" s="93" t="n">
        <f aca="false">Setup!$D$10+IF($AN49-60&lt;0,MAX(Setup!$D$22,$AN49-31),$AN49-31)</f>
        <v>46363</v>
      </c>
      <c r="AH49" s="93" t="n">
        <f aca="false">Setup!$D$10+MAX(0,$AN49-90)</f>
        <v>46335</v>
      </c>
      <c r="AI49" s="93" t="n">
        <f aca="false">Setup!$D$10+IF($AN49-90&lt;0,MAX(Setup!$D$22,$AN49-61),$AN49-61)</f>
        <v>46363</v>
      </c>
      <c r="AJ49" s="93" t="n">
        <f aca="false">Setup!$D$10+MAX(0,$AN49-120)</f>
        <v>46335</v>
      </c>
      <c r="AK49" s="93" t="n">
        <f aca="false">Setup!$D$10+IF($AN49-120&lt;0,MAX(Setup!$D$22,$AN49-91),$AN49-91)</f>
        <v>46363</v>
      </c>
      <c r="AL49" s="93" t="n">
        <f aca="false">Setup!$D$10</f>
        <v>46335</v>
      </c>
      <c r="AM49" s="93" t="n">
        <f aca="false">IF(AL49=2958465,AL49,Setup!$D$10+Setup!$D$22)</f>
        <v>46363</v>
      </c>
      <c r="AN49" s="94" t="n">
        <f aca="false">IF(N(L49)=0,Setup!$D$21,L49)</f>
        <v>40</v>
      </c>
      <c r="AO49" s="94" t="n">
        <f aca="false">MAX(1,ROUND(N(K49),0))</f>
        <v>1</v>
      </c>
      <c r="AP49" s="95" t="str">
        <f aca="false">IF(I49="On hold","X",IF(N(J49)=0,"A",IF(I49="Specific date","S",IF(I49="Spread over days","D",IF(I49="Monthly on set day","M",IF(I49="Monthly fixed amount","F","A"))))))</f>
        <v>A</v>
      </c>
    </row>
    <row r="50" customFormat="false" ht="15" hidden="false" customHeight="false" outlineLevel="0" collapsed="false">
      <c r="A50" s="87" t="n">
        <v>42</v>
      </c>
      <c r="B50" s="55"/>
      <c r="C50" s="88"/>
      <c r="D50" s="88"/>
      <c r="E50" s="88"/>
      <c r="F50" s="88"/>
      <c r="G50" s="88"/>
      <c r="H50" s="89" t="n">
        <f aca="false">SUM(C50:G50)</f>
        <v>0</v>
      </c>
      <c r="I50" s="58"/>
      <c r="J50" s="90"/>
      <c r="K50" s="91"/>
      <c r="L50" s="80"/>
      <c r="M50" s="53" t="n">
        <f aca="false">IF($H50=0,0,IF($AP50="X",0,IF($AP50="S",$H50/$AO50*(MIN($AO50,MAX(0,INT((Lists!C$21-N($J50))/7)+1))-MIN($AO50,MAX(0,INT((Lists!C$22-N($J50))/7)+1))),IF($AP50="D",$H50*MAX(0,MIN(Lists!C$21,N($J50)+$AO50)-MAX(Lists!C$22,N($J50)))/$AO50,IF($AP50="M",$H50/$AO50*(IF(Lists!C$21&lt;$J50,0,MIN($AO50,(((YEAR(Lists!C$21)-YEAR($J50))*12+MONTH(Lists!C$21)-MONTH($J50))-(EDATE($J50,((YEAR(Lists!C$21)-YEAR($J50))*12+MONTH(Lists!C$21)-MONTH($J50)))&gt;Lists!C$21)+1)))-IF(Lists!C$22&lt;$J50,0,MIN($AO50,(((YEAR(Lists!C$22)-YEAR($J50))*12+MONTH(Lists!C$22)-MONTH($J50))-(EDATE($J50,((YEAR(Lists!C$22)-YEAR($J50))*12+MONTH(Lists!C$22)-MONTH($J50)))&gt;Lists!C$22)+1)))),IF($AP50="F",IF(N($K50)&lt;=0,0,MIN(MAX(0,$H50),N($K50)*IF(Lists!C$21&lt;$J50,0,(((YEAR(Lists!C$21)-YEAR($J50))*12+MONTH(Lists!C$21)-MONTH($J50))-(EDATE($J50,((YEAR(Lists!C$21)-YEAR($J50))*12+MONTH(Lists!C$21)-MONTH($J50)))&gt;Lists!C$21)+1)))-MIN(MAX(0,$H50),N($K50)*IF(Lists!C$22&lt;$J50,0,(((YEAR(Lists!C$22)-YEAR($J50))*12+MONTH(Lists!C$22)-MONTH($J50))-(EDATE($J50,((YEAR(Lists!C$22)-YEAR($J50))*12+MONTH(Lists!C$22)-MONTH($J50)))&gt;Lists!C$22)+1)))),N($C50)*IF($AE50-$AD50&lt;1,($AD50&gt;Lists!C$22)*($AD50&lt;=Lists!C$21),MAX(0,MIN(Lists!C$21,$AE50)-MAX(Lists!C$22,$AD50))/($AE50-$AD50))+N($D50)*IF($AG50-$AF50&lt;1,($AF50&gt;Lists!C$22)*($AF50&lt;=Lists!C$21),MAX(0,MIN(Lists!C$21,$AG50)-MAX(Lists!C$22,$AF50))/($AG50-$AF50))+N($E50)*IF($AI50-$AH50&lt;1,($AH50&gt;Lists!C$22)*($AH50&lt;=Lists!C$21),MAX(0,MIN(Lists!C$21,$AI50)-MAX(Lists!C$22,$AH50))/($AI50-$AH50))+N($F50)*IF($AK50-$AJ50&lt;1,($AJ50&gt;Lists!C$22)*($AJ50&lt;=Lists!C$21),MAX(0,MIN(Lists!C$21,$AK50)-MAX(Lists!C$22,$AJ50))/($AK50-$AJ50))+N($G50)*IF($AM50-$AL50&lt;1,($AL50&gt;Lists!C$22)*($AL50&lt;=Lists!C$21),MAX(0,MIN(Lists!C$21,$AM50)-MAX(Lists!C$22,$AL50))/($AM50-$AL50))))))))</f>
        <v>0</v>
      </c>
      <c r="N50" s="53" t="n">
        <f aca="false">IF($H50=0,0,IF($AP50="X",0,IF($AP50="S",$H50/$AO50*(MIN($AO50,MAX(0,INT((Lists!D$21-N($J50))/7)+1))-MIN($AO50,MAX(0,INT((Lists!D$22-N($J50))/7)+1))),IF($AP50="D",$H50*MAX(0,MIN(Lists!D$21,N($J50)+$AO50)-MAX(Lists!D$22,N($J50)))/$AO50,IF($AP50="M",$H50/$AO50*(IF(Lists!D$21&lt;$J50,0,MIN($AO50,(((YEAR(Lists!D$21)-YEAR($J50))*12+MONTH(Lists!D$21)-MONTH($J50))-(EDATE($J50,((YEAR(Lists!D$21)-YEAR($J50))*12+MONTH(Lists!D$21)-MONTH($J50)))&gt;Lists!D$21)+1)))-IF(Lists!D$22&lt;$J50,0,MIN($AO50,(((YEAR(Lists!D$22)-YEAR($J50))*12+MONTH(Lists!D$22)-MONTH($J50))-(EDATE($J50,((YEAR(Lists!D$22)-YEAR($J50))*12+MONTH(Lists!D$22)-MONTH($J50)))&gt;Lists!D$22)+1)))),IF($AP50="F",IF(N($K50)&lt;=0,0,MIN(MAX(0,$H50),N($K50)*IF(Lists!D$21&lt;$J50,0,(((YEAR(Lists!D$21)-YEAR($J50))*12+MONTH(Lists!D$21)-MONTH($J50))-(EDATE($J50,((YEAR(Lists!D$21)-YEAR($J50))*12+MONTH(Lists!D$21)-MONTH($J50)))&gt;Lists!D$21)+1)))-MIN(MAX(0,$H50),N($K50)*IF(Lists!D$22&lt;$J50,0,(((YEAR(Lists!D$22)-YEAR($J50))*12+MONTH(Lists!D$22)-MONTH($J50))-(EDATE($J50,((YEAR(Lists!D$22)-YEAR($J50))*12+MONTH(Lists!D$22)-MONTH($J50)))&gt;Lists!D$22)+1)))),N($C50)*IF($AE50-$AD50&lt;1,($AD50&gt;Lists!D$22)*($AD50&lt;=Lists!D$21),MAX(0,MIN(Lists!D$21,$AE50)-MAX(Lists!D$22,$AD50))/($AE50-$AD50))+N($D50)*IF($AG50-$AF50&lt;1,($AF50&gt;Lists!D$22)*($AF50&lt;=Lists!D$21),MAX(0,MIN(Lists!D$21,$AG50)-MAX(Lists!D$22,$AF50))/($AG50-$AF50))+N($E50)*IF($AI50-$AH50&lt;1,($AH50&gt;Lists!D$22)*($AH50&lt;=Lists!D$21),MAX(0,MIN(Lists!D$21,$AI50)-MAX(Lists!D$22,$AH50))/($AI50-$AH50))+N($F50)*IF($AK50-$AJ50&lt;1,($AJ50&gt;Lists!D$22)*($AJ50&lt;=Lists!D$21),MAX(0,MIN(Lists!D$21,$AK50)-MAX(Lists!D$22,$AJ50))/($AK50-$AJ50))+N($G50)*IF($AM50-$AL50&lt;1,($AL50&gt;Lists!D$22)*($AL50&lt;=Lists!D$21),MAX(0,MIN(Lists!D$21,$AM50)-MAX(Lists!D$22,$AL50))/($AM50-$AL50))))))))</f>
        <v>0</v>
      </c>
      <c r="O50" s="53" t="n">
        <f aca="false">IF($H50=0,0,IF($AP50="X",0,IF($AP50="S",$H50/$AO50*(MIN($AO50,MAX(0,INT((Lists!E$21-N($J50))/7)+1))-MIN($AO50,MAX(0,INT((Lists!E$22-N($J50))/7)+1))),IF($AP50="D",$H50*MAX(0,MIN(Lists!E$21,N($J50)+$AO50)-MAX(Lists!E$22,N($J50)))/$AO50,IF($AP50="M",$H50/$AO50*(IF(Lists!E$21&lt;$J50,0,MIN($AO50,(((YEAR(Lists!E$21)-YEAR($J50))*12+MONTH(Lists!E$21)-MONTH($J50))-(EDATE($J50,((YEAR(Lists!E$21)-YEAR($J50))*12+MONTH(Lists!E$21)-MONTH($J50)))&gt;Lists!E$21)+1)))-IF(Lists!E$22&lt;$J50,0,MIN($AO50,(((YEAR(Lists!E$22)-YEAR($J50))*12+MONTH(Lists!E$22)-MONTH($J50))-(EDATE($J50,((YEAR(Lists!E$22)-YEAR($J50))*12+MONTH(Lists!E$22)-MONTH($J50)))&gt;Lists!E$22)+1)))),IF($AP50="F",IF(N($K50)&lt;=0,0,MIN(MAX(0,$H50),N($K50)*IF(Lists!E$21&lt;$J50,0,(((YEAR(Lists!E$21)-YEAR($J50))*12+MONTH(Lists!E$21)-MONTH($J50))-(EDATE($J50,((YEAR(Lists!E$21)-YEAR($J50))*12+MONTH(Lists!E$21)-MONTH($J50)))&gt;Lists!E$21)+1)))-MIN(MAX(0,$H50),N($K50)*IF(Lists!E$22&lt;$J50,0,(((YEAR(Lists!E$22)-YEAR($J50))*12+MONTH(Lists!E$22)-MONTH($J50))-(EDATE($J50,((YEAR(Lists!E$22)-YEAR($J50))*12+MONTH(Lists!E$22)-MONTH($J50)))&gt;Lists!E$22)+1)))),N($C50)*IF($AE50-$AD50&lt;1,($AD50&gt;Lists!E$22)*($AD50&lt;=Lists!E$21),MAX(0,MIN(Lists!E$21,$AE50)-MAX(Lists!E$22,$AD50))/($AE50-$AD50))+N($D50)*IF($AG50-$AF50&lt;1,($AF50&gt;Lists!E$22)*($AF50&lt;=Lists!E$21),MAX(0,MIN(Lists!E$21,$AG50)-MAX(Lists!E$22,$AF50))/($AG50-$AF50))+N($E50)*IF($AI50-$AH50&lt;1,($AH50&gt;Lists!E$22)*($AH50&lt;=Lists!E$21),MAX(0,MIN(Lists!E$21,$AI50)-MAX(Lists!E$22,$AH50))/($AI50-$AH50))+N($F50)*IF($AK50-$AJ50&lt;1,($AJ50&gt;Lists!E$22)*($AJ50&lt;=Lists!E$21),MAX(0,MIN(Lists!E$21,$AK50)-MAX(Lists!E$22,$AJ50))/($AK50-$AJ50))+N($G50)*IF($AM50-$AL50&lt;1,($AL50&gt;Lists!E$22)*($AL50&lt;=Lists!E$21),MAX(0,MIN(Lists!E$21,$AM50)-MAX(Lists!E$22,$AL50))/($AM50-$AL50))))))))</f>
        <v>0</v>
      </c>
      <c r="P50" s="53" t="n">
        <f aca="false">IF($H50=0,0,IF($AP50="X",0,IF($AP50="S",$H50/$AO50*(MIN($AO50,MAX(0,INT((Lists!F$21-N($J50))/7)+1))-MIN($AO50,MAX(0,INT((Lists!F$22-N($J50))/7)+1))),IF($AP50="D",$H50*MAX(0,MIN(Lists!F$21,N($J50)+$AO50)-MAX(Lists!F$22,N($J50)))/$AO50,IF($AP50="M",$H50/$AO50*(IF(Lists!F$21&lt;$J50,0,MIN($AO50,(((YEAR(Lists!F$21)-YEAR($J50))*12+MONTH(Lists!F$21)-MONTH($J50))-(EDATE($J50,((YEAR(Lists!F$21)-YEAR($J50))*12+MONTH(Lists!F$21)-MONTH($J50)))&gt;Lists!F$21)+1)))-IF(Lists!F$22&lt;$J50,0,MIN($AO50,(((YEAR(Lists!F$22)-YEAR($J50))*12+MONTH(Lists!F$22)-MONTH($J50))-(EDATE($J50,((YEAR(Lists!F$22)-YEAR($J50))*12+MONTH(Lists!F$22)-MONTH($J50)))&gt;Lists!F$22)+1)))),IF($AP50="F",IF(N($K50)&lt;=0,0,MIN(MAX(0,$H50),N($K50)*IF(Lists!F$21&lt;$J50,0,(((YEAR(Lists!F$21)-YEAR($J50))*12+MONTH(Lists!F$21)-MONTH($J50))-(EDATE($J50,((YEAR(Lists!F$21)-YEAR($J50))*12+MONTH(Lists!F$21)-MONTH($J50)))&gt;Lists!F$21)+1)))-MIN(MAX(0,$H50),N($K50)*IF(Lists!F$22&lt;$J50,0,(((YEAR(Lists!F$22)-YEAR($J50))*12+MONTH(Lists!F$22)-MONTH($J50))-(EDATE($J50,((YEAR(Lists!F$22)-YEAR($J50))*12+MONTH(Lists!F$22)-MONTH($J50)))&gt;Lists!F$22)+1)))),N($C50)*IF($AE50-$AD50&lt;1,($AD50&gt;Lists!F$22)*($AD50&lt;=Lists!F$21),MAX(0,MIN(Lists!F$21,$AE50)-MAX(Lists!F$22,$AD50))/($AE50-$AD50))+N($D50)*IF($AG50-$AF50&lt;1,($AF50&gt;Lists!F$22)*($AF50&lt;=Lists!F$21),MAX(0,MIN(Lists!F$21,$AG50)-MAX(Lists!F$22,$AF50))/($AG50-$AF50))+N($E50)*IF($AI50-$AH50&lt;1,($AH50&gt;Lists!F$22)*($AH50&lt;=Lists!F$21),MAX(0,MIN(Lists!F$21,$AI50)-MAX(Lists!F$22,$AH50))/($AI50-$AH50))+N($F50)*IF($AK50-$AJ50&lt;1,($AJ50&gt;Lists!F$22)*($AJ50&lt;=Lists!F$21),MAX(0,MIN(Lists!F$21,$AK50)-MAX(Lists!F$22,$AJ50))/($AK50-$AJ50))+N($G50)*IF($AM50-$AL50&lt;1,($AL50&gt;Lists!F$22)*($AL50&lt;=Lists!F$21),MAX(0,MIN(Lists!F$21,$AM50)-MAX(Lists!F$22,$AL50))/($AM50-$AL50))))))))</f>
        <v>0</v>
      </c>
      <c r="Q50" s="53" t="n">
        <f aca="false">IF($H50=0,0,IF($AP50="X",0,IF($AP50="S",$H50/$AO50*(MIN($AO50,MAX(0,INT((Lists!G$21-N($J50))/7)+1))-MIN($AO50,MAX(0,INT((Lists!G$22-N($J50))/7)+1))),IF($AP50="D",$H50*MAX(0,MIN(Lists!G$21,N($J50)+$AO50)-MAX(Lists!G$22,N($J50)))/$AO50,IF($AP50="M",$H50/$AO50*(IF(Lists!G$21&lt;$J50,0,MIN($AO50,(((YEAR(Lists!G$21)-YEAR($J50))*12+MONTH(Lists!G$21)-MONTH($J50))-(EDATE($J50,((YEAR(Lists!G$21)-YEAR($J50))*12+MONTH(Lists!G$21)-MONTH($J50)))&gt;Lists!G$21)+1)))-IF(Lists!G$22&lt;$J50,0,MIN($AO50,(((YEAR(Lists!G$22)-YEAR($J50))*12+MONTH(Lists!G$22)-MONTH($J50))-(EDATE($J50,((YEAR(Lists!G$22)-YEAR($J50))*12+MONTH(Lists!G$22)-MONTH($J50)))&gt;Lists!G$22)+1)))),IF($AP50="F",IF(N($K50)&lt;=0,0,MIN(MAX(0,$H50),N($K50)*IF(Lists!G$21&lt;$J50,0,(((YEAR(Lists!G$21)-YEAR($J50))*12+MONTH(Lists!G$21)-MONTH($J50))-(EDATE($J50,((YEAR(Lists!G$21)-YEAR($J50))*12+MONTH(Lists!G$21)-MONTH($J50)))&gt;Lists!G$21)+1)))-MIN(MAX(0,$H50),N($K50)*IF(Lists!G$22&lt;$J50,0,(((YEAR(Lists!G$22)-YEAR($J50))*12+MONTH(Lists!G$22)-MONTH($J50))-(EDATE($J50,((YEAR(Lists!G$22)-YEAR($J50))*12+MONTH(Lists!G$22)-MONTH($J50)))&gt;Lists!G$22)+1)))),N($C50)*IF($AE50-$AD50&lt;1,($AD50&gt;Lists!G$22)*($AD50&lt;=Lists!G$21),MAX(0,MIN(Lists!G$21,$AE50)-MAX(Lists!G$22,$AD50))/($AE50-$AD50))+N($D50)*IF($AG50-$AF50&lt;1,($AF50&gt;Lists!G$22)*($AF50&lt;=Lists!G$21),MAX(0,MIN(Lists!G$21,$AG50)-MAX(Lists!G$22,$AF50))/($AG50-$AF50))+N($E50)*IF($AI50-$AH50&lt;1,($AH50&gt;Lists!G$22)*($AH50&lt;=Lists!G$21),MAX(0,MIN(Lists!G$21,$AI50)-MAX(Lists!G$22,$AH50))/($AI50-$AH50))+N($F50)*IF($AK50-$AJ50&lt;1,($AJ50&gt;Lists!G$22)*($AJ50&lt;=Lists!G$21),MAX(0,MIN(Lists!G$21,$AK50)-MAX(Lists!G$22,$AJ50))/($AK50-$AJ50))+N($G50)*IF($AM50-$AL50&lt;1,($AL50&gt;Lists!G$22)*($AL50&lt;=Lists!G$21),MAX(0,MIN(Lists!G$21,$AM50)-MAX(Lists!G$22,$AL50))/($AM50-$AL50))))))))</f>
        <v>0</v>
      </c>
      <c r="R50" s="53" t="n">
        <f aca="false">IF($H50=0,0,IF($AP50="X",0,IF($AP50="S",$H50/$AO50*(MIN($AO50,MAX(0,INT((Lists!H$21-N($J50))/7)+1))-MIN($AO50,MAX(0,INT((Lists!H$22-N($J50))/7)+1))),IF($AP50="D",$H50*MAX(0,MIN(Lists!H$21,N($J50)+$AO50)-MAX(Lists!H$22,N($J50)))/$AO50,IF($AP50="M",$H50/$AO50*(IF(Lists!H$21&lt;$J50,0,MIN($AO50,(((YEAR(Lists!H$21)-YEAR($J50))*12+MONTH(Lists!H$21)-MONTH($J50))-(EDATE($J50,((YEAR(Lists!H$21)-YEAR($J50))*12+MONTH(Lists!H$21)-MONTH($J50)))&gt;Lists!H$21)+1)))-IF(Lists!H$22&lt;$J50,0,MIN($AO50,(((YEAR(Lists!H$22)-YEAR($J50))*12+MONTH(Lists!H$22)-MONTH($J50))-(EDATE($J50,((YEAR(Lists!H$22)-YEAR($J50))*12+MONTH(Lists!H$22)-MONTH($J50)))&gt;Lists!H$22)+1)))),IF($AP50="F",IF(N($K50)&lt;=0,0,MIN(MAX(0,$H50),N($K50)*IF(Lists!H$21&lt;$J50,0,(((YEAR(Lists!H$21)-YEAR($J50))*12+MONTH(Lists!H$21)-MONTH($J50))-(EDATE($J50,((YEAR(Lists!H$21)-YEAR($J50))*12+MONTH(Lists!H$21)-MONTH($J50)))&gt;Lists!H$21)+1)))-MIN(MAX(0,$H50),N($K50)*IF(Lists!H$22&lt;$J50,0,(((YEAR(Lists!H$22)-YEAR($J50))*12+MONTH(Lists!H$22)-MONTH($J50))-(EDATE($J50,((YEAR(Lists!H$22)-YEAR($J50))*12+MONTH(Lists!H$22)-MONTH($J50)))&gt;Lists!H$22)+1)))),N($C50)*IF($AE50-$AD50&lt;1,($AD50&gt;Lists!H$22)*($AD50&lt;=Lists!H$21),MAX(0,MIN(Lists!H$21,$AE50)-MAX(Lists!H$22,$AD50))/($AE50-$AD50))+N($D50)*IF($AG50-$AF50&lt;1,($AF50&gt;Lists!H$22)*($AF50&lt;=Lists!H$21),MAX(0,MIN(Lists!H$21,$AG50)-MAX(Lists!H$22,$AF50))/($AG50-$AF50))+N($E50)*IF($AI50-$AH50&lt;1,($AH50&gt;Lists!H$22)*($AH50&lt;=Lists!H$21),MAX(0,MIN(Lists!H$21,$AI50)-MAX(Lists!H$22,$AH50))/($AI50-$AH50))+N($F50)*IF($AK50-$AJ50&lt;1,($AJ50&gt;Lists!H$22)*($AJ50&lt;=Lists!H$21),MAX(0,MIN(Lists!H$21,$AK50)-MAX(Lists!H$22,$AJ50))/($AK50-$AJ50))+N($G50)*IF($AM50-$AL50&lt;1,($AL50&gt;Lists!H$22)*($AL50&lt;=Lists!H$21),MAX(0,MIN(Lists!H$21,$AM50)-MAX(Lists!H$22,$AL50))/($AM50-$AL50))))))))</f>
        <v>0</v>
      </c>
      <c r="S50" s="53" t="n">
        <f aca="false">IF($H50=0,0,IF($AP50="X",0,IF($AP50="S",$H50/$AO50*(MIN($AO50,MAX(0,INT((Lists!I$21-N($J50))/7)+1))-MIN($AO50,MAX(0,INT((Lists!I$22-N($J50))/7)+1))),IF($AP50="D",$H50*MAX(0,MIN(Lists!I$21,N($J50)+$AO50)-MAX(Lists!I$22,N($J50)))/$AO50,IF($AP50="M",$H50/$AO50*(IF(Lists!I$21&lt;$J50,0,MIN($AO50,(((YEAR(Lists!I$21)-YEAR($J50))*12+MONTH(Lists!I$21)-MONTH($J50))-(EDATE($J50,((YEAR(Lists!I$21)-YEAR($J50))*12+MONTH(Lists!I$21)-MONTH($J50)))&gt;Lists!I$21)+1)))-IF(Lists!I$22&lt;$J50,0,MIN($AO50,(((YEAR(Lists!I$22)-YEAR($J50))*12+MONTH(Lists!I$22)-MONTH($J50))-(EDATE($J50,((YEAR(Lists!I$22)-YEAR($J50))*12+MONTH(Lists!I$22)-MONTH($J50)))&gt;Lists!I$22)+1)))),IF($AP50="F",IF(N($K50)&lt;=0,0,MIN(MAX(0,$H50),N($K50)*IF(Lists!I$21&lt;$J50,0,(((YEAR(Lists!I$21)-YEAR($J50))*12+MONTH(Lists!I$21)-MONTH($J50))-(EDATE($J50,((YEAR(Lists!I$21)-YEAR($J50))*12+MONTH(Lists!I$21)-MONTH($J50)))&gt;Lists!I$21)+1)))-MIN(MAX(0,$H50),N($K50)*IF(Lists!I$22&lt;$J50,0,(((YEAR(Lists!I$22)-YEAR($J50))*12+MONTH(Lists!I$22)-MONTH($J50))-(EDATE($J50,((YEAR(Lists!I$22)-YEAR($J50))*12+MONTH(Lists!I$22)-MONTH($J50)))&gt;Lists!I$22)+1)))),N($C50)*IF($AE50-$AD50&lt;1,($AD50&gt;Lists!I$22)*($AD50&lt;=Lists!I$21),MAX(0,MIN(Lists!I$21,$AE50)-MAX(Lists!I$22,$AD50))/($AE50-$AD50))+N($D50)*IF($AG50-$AF50&lt;1,($AF50&gt;Lists!I$22)*($AF50&lt;=Lists!I$21),MAX(0,MIN(Lists!I$21,$AG50)-MAX(Lists!I$22,$AF50))/($AG50-$AF50))+N($E50)*IF($AI50-$AH50&lt;1,($AH50&gt;Lists!I$22)*($AH50&lt;=Lists!I$21),MAX(0,MIN(Lists!I$21,$AI50)-MAX(Lists!I$22,$AH50))/($AI50-$AH50))+N($F50)*IF($AK50-$AJ50&lt;1,($AJ50&gt;Lists!I$22)*($AJ50&lt;=Lists!I$21),MAX(0,MIN(Lists!I$21,$AK50)-MAX(Lists!I$22,$AJ50))/($AK50-$AJ50))+N($G50)*IF($AM50-$AL50&lt;1,($AL50&gt;Lists!I$22)*($AL50&lt;=Lists!I$21),MAX(0,MIN(Lists!I$21,$AM50)-MAX(Lists!I$22,$AL50))/($AM50-$AL50))))))))</f>
        <v>0</v>
      </c>
      <c r="T50" s="53" t="n">
        <f aca="false">IF($H50=0,0,IF($AP50="X",0,IF($AP50="S",$H50/$AO50*(MIN($AO50,MAX(0,INT((Lists!J$21-N($J50))/7)+1))-MIN($AO50,MAX(0,INT((Lists!J$22-N($J50))/7)+1))),IF($AP50="D",$H50*MAX(0,MIN(Lists!J$21,N($J50)+$AO50)-MAX(Lists!J$22,N($J50)))/$AO50,IF($AP50="M",$H50/$AO50*(IF(Lists!J$21&lt;$J50,0,MIN($AO50,(((YEAR(Lists!J$21)-YEAR($J50))*12+MONTH(Lists!J$21)-MONTH($J50))-(EDATE($J50,((YEAR(Lists!J$21)-YEAR($J50))*12+MONTH(Lists!J$21)-MONTH($J50)))&gt;Lists!J$21)+1)))-IF(Lists!J$22&lt;$J50,0,MIN($AO50,(((YEAR(Lists!J$22)-YEAR($J50))*12+MONTH(Lists!J$22)-MONTH($J50))-(EDATE($J50,((YEAR(Lists!J$22)-YEAR($J50))*12+MONTH(Lists!J$22)-MONTH($J50)))&gt;Lists!J$22)+1)))),IF($AP50="F",IF(N($K50)&lt;=0,0,MIN(MAX(0,$H50),N($K50)*IF(Lists!J$21&lt;$J50,0,(((YEAR(Lists!J$21)-YEAR($J50))*12+MONTH(Lists!J$21)-MONTH($J50))-(EDATE($J50,((YEAR(Lists!J$21)-YEAR($J50))*12+MONTH(Lists!J$21)-MONTH($J50)))&gt;Lists!J$21)+1)))-MIN(MAX(0,$H50),N($K50)*IF(Lists!J$22&lt;$J50,0,(((YEAR(Lists!J$22)-YEAR($J50))*12+MONTH(Lists!J$22)-MONTH($J50))-(EDATE($J50,((YEAR(Lists!J$22)-YEAR($J50))*12+MONTH(Lists!J$22)-MONTH($J50)))&gt;Lists!J$22)+1)))),N($C50)*IF($AE50-$AD50&lt;1,($AD50&gt;Lists!J$22)*($AD50&lt;=Lists!J$21),MAX(0,MIN(Lists!J$21,$AE50)-MAX(Lists!J$22,$AD50))/($AE50-$AD50))+N($D50)*IF($AG50-$AF50&lt;1,($AF50&gt;Lists!J$22)*($AF50&lt;=Lists!J$21),MAX(0,MIN(Lists!J$21,$AG50)-MAX(Lists!J$22,$AF50))/($AG50-$AF50))+N($E50)*IF($AI50-$AH50&lt;1,($AH50&gt;Lists!J$22)*($AH50&lt;=Lists!J$21),MAX(0,MIN(Lists!J$21,$AI50)-MAX(Lists!J$22,$AH50))/($AI50-$AH50))+N($F50)*IF($AK50-$AJ50&lt;1,($AJ50&gt;Lists!J$22)*($AJ50&lt;=Lists!J$21),MAX(0,MIN(Lists!J$21,$AK50)-MAX(Lists!J$22,$AJ50))/($AK50-$AJ50))+N($G50)*IF($AM50-$AL50&lt;1,($AL50&gt;Lists!J$22)*($AL50&lt;=Lists!J$21),MAX(0,MIN(Lists!J$21,$AM50)-MAX(Lists!J$22,$AL50))/($AM50-$AL50))))))))</f>
        <v>0</v>
      </c>
      <c r="U50" s="53" t="n">
        <f aca="false">IF($H50=0,0,IF($AP50="X",0,IF($AP50="S",$H50/$AO50*(MIN($AO50,MAX(0,INT((Lists!K$21-N($J50))/7)+1))-MIN($AO50,MAX(0,INT((Lists!K$22-N($J50))/7)+1))),IF($AP50="D",$H50*MAX(0,MIN(Lists!K$21,N($J50)+$AO50)-MAX(Lists!K$22,N($J50)))/$AO50,IF($AP50="M",$H50/$AO50*(IF(Lists!K$21&lt;$J50,0,MIN($AO50,(((YEAR(Lists!K$21)-YEAR($J50))*12+MONTH(Lists!K$21)-MONTH($J50))-(EDATE($J50,((YEAR(Lists!K$21)-YEAR($J50))*12+MONTH(Lists!K$21)-MONTH($J50)))&gt;Lists!K$21)+1)))-IF(Lists!K$22&lt;$J50,0,MIN($AO50,(((YEAR(Lists!K$22)-YEAR($J50))*12+MONTH(Lists!K$22)-MONTH($J50))-(EDATE($J50,((YEAR(Lists!K$22)-YEAR($J50))*12+MONTH(Lists!K$22)-MONTH($J50)))&gt;Lists!K$22)+1)))),IF($AP50="F",IF(N($K50)&lt;=0,0,MIN(MAX(0,$H50),N($K50)*IF(Lists!K$21&lt;$J50,0,(((YEAR(Lists!K$21)-YEAR($J50))*12+MONTH(Lists!K$21)-MONTH($J50))-(EDATE($J50,((YEAR(Lists!K$21)-YEAR($J50))*12+MONTH(Lists!K$21)-MONTH($J50)))&gt;Lists!K$21)+1)))-MIN(MAX(0,$H50),N($K50)*IF(Lists!K$22&lt;$J50,0,(((YEAR(Lists!K$22)-YEAR($J50))*12+MONTH(Lists!K$22)-MONTH($J50))-(EDATE($J50,((YEAR(Lists!K$22)-YEAR($J50))*12+MONTH(Lists!K$22)-MONTH($J50)))&gt;Lists!K$22)+1)))),N($C50)*IF($AE50-$AD50&lt;1,($AD50&gt;Lists!K$22)*($AD50&lt;=Lists!K$21),MAX(0,MIN(Lists!K$21,$AE50)-MAX(Lists!K$22,$AD50))/($AE50-$AD50))+N($D50)*IF($AG50-$AF50&lt;1,($AF50&gt;Lists!K$22)*($AF50&lt;=Lists!K$21),MAX(0,MIN(Lists!K$21,$AG50)-MAX(Lists!K$22,$AF50))/($AG50-$AF50))+N($E50)*IF($AI50-$AH50&lt;1,($AH50&gt;Lists!K$22)*($AH50&lt;=Lists!K$21),MAX(0,MIN(Lists!K$21,$AI50)-MAX(Lists!K$22,$AH50))/($AI50-$AH50))+N($F50)*IF($AK50-$AJ50&lt;1,($AJ50&gt;Lists!K$22)*($AJ50&lt;=Lists!K$21),MAX(0,MIN(Lists!K$21,$AK50)-MAX(Lists!K$22,$AJ50))/($AK50-$AJ50))+N($G50)*IF($AM50-$AL50&lt;1,($AL50&gt;Lists!K$22)*($AL50&lt;=Lists!K$21),MAX(0,MIN(Lists!K$21,$AM50)-MAX(Lists!K$22,$AL50))/($AM50-$AL50))))))))</f>
        <v>0</v>
      </c>
      <c r="V50" s="53" t="n">
        <f aca="false">IF($H50=0,0,IF($AP50="X",0,IF($AP50="S",$H50/$AO50*(MIN($AO50,MAX(0,INT((Lists!L$21-N($J50))/7)+1))-MIN($AO50,MAX(0,INT((Lists!L$22-N($J50))/7)+1))),IF($AP50="D",$H50*MAX(0,MIN(Lists!L$21,N($J50)+$AO50)-MAX(Lists!L$22,N($J50)))/$AO50,IF($AP50="M",$H50/$AO50*(IF(Lists!L$21&lt;$J50,0,MIN($AO50,(((YEAR(Lists!L$21)-YEAR($J50))*12+MONTH(Lists!L$21)-MONTH($J50))-(EDATE($J50,((YEAR(Lists!L$21)-YEAR($J50))*12+MONTH(Lists!L$21)-MONTH($J50)))&gt;Lists!L$21)+1)))-IF(Lists!L$22&lt;$J50,0,MIN($AO50,(((YEAR(Lists!L$22)-YEAR($J50))*12+MONTH(Lists!L$22)-MONTH($J50))-(EDATE($J50,((YEAR(Lists!L$22)-YEAR($J50))*12+MONTH(Lists!L$22)-MONTH($J50)))&gt;Lists!L$22)+1)))),IF($AP50="F",IF(N($K50)&lt;=0,0,MIN(MAX(0,$H50),N($K50)*IF(Lists!L$21&lt;$J50,0,(((YEAR(Lists!L$21)-YEAR($J50))*12+MONTH(Lists!L$21)-MONTH($J50))-(EDATE($J50,((YEAR(Lists!L$21)-YEAR($J50))*12+MONTH(Lists!L$21)-MONTH($J50)))&gt;Lists!L$21)+1)))-MIN(MAX(0,$H50),N($K50)*IF(Lists!L$22&lt;$J50,0,(((YEAR(Lists!L$22)-YEAR($J50))*12+MONTH(Lists!L$22)-MONTH($J50))-(EDATE($J50,((YEAR(Lists!L$22)-YEAR($J50))*12+MONTH(Lists!L$22)-MONTH($J50)))&gt;Lists!L$22)+1)))),N($C50)*IF($AE50-$AD50&lt;1,($AD50&gt;Lists!L$22)*($AD50&lt;=Lists!L$21),MAX(0,MIN(Lists!L$21,$AE50)-MAX(Lists!L$22,$AD50))/($AE50-$AD50))+N($D50)*IF($AG50-$AF50&lt;1,($AF50&gt;Lists!L$22)*($AF50&lt;=Lists!L$21),MAX(0,MIN(Lists!L$21,$AG50)-MAX(Lists!L$22,$AF50))/($AG50-$AF50))+N($E50)*IF($AI50-$AH50&lt;1,($AH50&gt;Lists!L$22)*($AH50&lt;=Lists!L$21),MAX(0,MIN(Lists!L$21,$AI50)-MAX(Lists!L$22,$AH50))/($AI50-$AH50))+N($F50)*IF($AK50-$AJ50&lt;1,($AJ50&gt;Lists!L$22)*($AJ50&lt;=Lists!L$21),MAX(0,MIN(Lists!L$21,$AK50)-MAX(Lists!L$22,$AJ50))/($AK50-$AJ50))+N($G50)*IF($AM50-$AL50&lt;1,($AL50&gt;Lists!L$22)*($AL50&lt;=Lists!L$21),MAX(0,MIN(Lists!L$21,$AM50)-MAX(Lists!L$22,$AL50))/($AM50-$AL50))))))))</f>
        <v>0</v>
      </c>
      <c r="W50" s="53" t="n">
        <f aca="false">IF($H50=0,0,IF($AP50="X",0,IF($AP50="S",$H50/$AO50*(MIN($AO50,MAX(0,INT((Lists!M$21-N($J50))/7)+1))-MIN($AO50,MAX(0,INT((Lists!M$22-N($J50))/7)+1))),IF($AP50="D",$H50*MAX(0,MIN(Lists!M$21,N($J50)+$AO50)-MAX(Lists!M$22,N($J50)))/$AO50,IF($AP50="M",$H50/$AO50*(IF(Lists!M$21&lt;$J50,0,MIN($AO50,(((YEAR(Lists!M$21)-YEAR($J50))*12+MONTH(Lists!M$21)-MONTH($J50))-(EDATE($J50,((YEAR(Lists!M$21)-YEAR($J50))*12+MONTH(Lists!M$21)-MONTH($J50)))&gt;Lists!M$21)+1)))-IF(Lists!M$22&lt;$J50,0,MIN($AO50,(((YEAR(Lists!M$22)-YEAR($J50))*12+MONTH(Lists!M$22)-MONTH($J50))-(EDATE($J50,((YEAR(Lists!M$22)-YEAR($J50))*12+MONTH(Lists!M$22)-MONTH($J50)))&gt;Lists!M$22)+1)))),IF($AP50="F",IF(N($K50)&lt;=0,0,MIN(MAX(0,$H50),N($K50)*IF(Lists!M$21&lt;$J50,0,(((YEAR(Lists!M$21)-YEAR($J50))*12+MONTH(Lists!M$21)-MONTH($J50))-(EDATE($J50,((YEAR(Lists!M$21)-YEAR($J50))*12+MONTH(Lists!M$21)-MONTH($J50)))&gt;Lists!M$21)+1)))-MIN(MAX(0,$H50),N($K50)*IF(Lists!M$22&lt;$J50,0,(((YEAR(Lists!M$22)-YEAR($J50))*12+MONTH(Lists!M$22)-MONTH($J50))-(EDATE($J50,((YEAR(Lists!M$22)-YEAR($J50))*12+MONTH(Lists!M$22)-MONTH($J50)))&gt;Lists!M$22)+1)))),N($C50)*IF($AE50-$AD50&lt;1,($AD50&gt;Lists!M$22)*($AD50&lt;=Lists!M$21),MAX(0,MIN(Lists!M$21,$AE50)-MAX(Lists!M$22,$AD50))/($AE50-$AD50))+N($D50)*IF($AG50-$AF50&lt;1,($AF50&gt;Lists!M$22)*($AF50&lt;=Lists!M$21),MAX(0,MIN(Lists!M$21,$AG50)-MAX(Lists!M$22,$AF50))/($AG50-$AF50))+N($E50)*IF($AI50-$AH50&lt;1,($AH50&gt;Lists!M$22)*($AH50&lt;=Lists!M$21),MAX(0,MIN(Lists!M$21,$AI50)-MAX(Lists!M$22,$AH50))/($AI50-$AH50))+N($F50)*IF($AK50-$AJ50&lt;1,($AJ50&gt;Lists!M$22)*($AJ50&lt;=Lists!M$21),MAX(0,MIN(Lists!M$21,$AK50)-MAX(Lists!M$22,$AJ50))/($AK50-$AJ50))+N($G50)*IF($AM50-$AL50&lt;1,($AL50&gt;Lists!M$22)*($AL50&lt;=Lists!M$21),MAX(0,MIN(Lists!M$21,$AM50)-MAX(Lists!M$22,$AL50))/($AM50-$AL50))))))))</f>
        <v>0</v>
      </c>
      <c r="X50" s="53" t="n">
        <f aca="false">IF($H50=0,0,IF($AP50="X",0,IF($AP50="S",$H50/$AO50*(MIN($AO50,MAX(0,INT((Lists!N$21-N($J50))/7)+1))-MIN($AO50,MAX(0,INT((Lists!N$22-N($J50))/7)+1))),IF($AP50="D",$H50*MAX(0,MIN(Lists!N$21,N($J50)+$AO50)-MAX(Lists!N$22,N($J50)))/$AO50,IF($AP50="M",$H50/$AO50*(IF(Lists!N$21&lt;$J50,0,MIN($AO50,(((YEAR(Lists!N$21)-YEAR($J50))*12+MONTH(Lists!N$21)-MONTH($J50))-(EDATE($J50,((YEAR(Lists!N$21)-YEAR($J50))*12+MONTH(Lists!N$21)-MONTH($J50)))&gt;Lists!N$21)+1)))-IF(Lists!N$22&lt;$J50,0,MIN($AO50,(((YEAR(Lists!N$22)-YEAR($J50))*12+MONTH(Lists!N$22)-MONTH($J50))-(EDATE($J50,((YEAR(Lists!N$22)-YEAR($J50))*12+MONTH(Lists!N$22)-MONTH($J50)))&gt;Lists!N$22)+1)))),IF($AP50="F",IF(N($K50)&lt;=0,0,MIN(MAX(0,$H50),N($K50)*IF(Lists!N$21&lt;$J50,0,(((YEAR(Lists!N$21)-YEAR($J50))*12+MONTH(Lists!N$21)-MONTH($J50))-(EDATE($J50,((YEAR(Lists!N$21)-YEAR($J50))*12+MONTH(Lists!N$21)-MONTH($J50)))&gt;Lists!N$21)+1)))-MIN(MAX(0,$H50),N($K50)*IF(Lists!N$22&lt;$J50,0,(((YEAR(Lists!N$22)-YEAR($J50))*12+MONTH(Lists!N$22)-MONTH($J50))-(EDATE($J50,((YEAR(Lists!N$22)-YEAR($J50))*12+MONTH(Lists!N$22)-MONTH($J50)))&gt;Lists!N$22)+1)))),N($C50)*IF($AE50-$AD50&lt;1,($AD50&gt;Lists!N$22)*($AD50&lt;=Lists!N$21),MAX(0,MIN(Lists!N$21,$AE50)-MAX(Lists!N$22,$AD50))/($AE50-$AD50))+N($D50)*IF($AG50-$AF50&lt;1,($AF50&gt;Lists!N$22)*($AF50&lt;=Lists!N$21),MAX(0,MIN(Lists!N$21,$AG50)-MAX(Lists!N$22,$AF50))/($AG50-$AF50))+N($E50)*IF($AI50-$AH50&lt;1,($AH50&gt;Lists!N$22)*($AH50&lt;=Lists!N$21),MAX(0,MIN(Lists!N$21,$AI50)-MAX(Lists!N$22,$AH50))/($AI50-$AH50))+N($F50)*IF($AK50-$AJ50&lt;1,($AJ50&gt;Lists!N$22)*($AJ50&lt;=Lists!N$21),MAX(0,MIN(Lists!N$21,$AK50)-MAX(Lists!N$22,$AJ50))/($AK50-$AJ50))+N($G50)*IF($AM50-$AL50&lt;1,($AL50&gt;Lists!N$22)*($AL50&lt;=Lists!N$21),MAX(0,MIN(Lists!N$21,$AM50)-MAX(Lists!N$22,$AL50))/($AM50-$AL50))))))))</f>
        <v>0</v>
      </c>
      <c r="Y50" s="53" t="n">
        <f aca="false">IF($H50=0,0,IF($AP50="X",0,IF($AP50="S",$H50/$AO50*(MIN($AO50,MAX(0,INT((Lists!O$21-N($J50))/7)+1))-MIN($AO50,MAX(0,INT((Lists!O$22-N($J50))/7)+1))),IF($AP50="D",$H50*MAX(0,MIN(Lists!O$21,N($J50)+$AO50)-MAX(Lists!O$22,N($J50)))/$AO50,IF($AP50="M",$H50/$AO50*(IF(Lists!O$21&lt;$J50,0,MIN($AO50,(((YEAR(Lists!O$21)-YEAR($J50))*12+MONTH(Lists!O$21)-MONTH($J50))-(EDATE($J50,((YEAR(Lists!O$21)-YEAR($J50))*12+MONTH(Lists!O$21)-MONTH($J50)))&gt;Lists!O$21)+1)))-IF(Lists!O$22&lt;$J50,0,MIN($AO50,(((YEAR(Lists!O$22)-YEAR($J50))*12+MONTH(Lists!O$22)-MONTH($J50))-(EDATE($J50,((YEAR(Lists!O$22)-YEAR($J50))*12+MONTH(Lists!O$22)-MONTH($J50)))&gt;Lists!O$22)+1)))),IF($AP50="F",IF(N($K50)&lt;=0,0,MIN(MAX(0,$H50),N($K50)*IF(Lists!O$21&lt;$J50,0,(((YEAR(Lists!O$21)-YEAR($J50))*12+MONTH(Lists!O$21)-MONTH($J50))-(EDATE($J50,((YEAR(Lists!O$21)-YEAR($J50))*12+MONTH(Lists!O$21)-MONTH($J50)))&gt;Lists!O$21)+1)))-MIN(MAX(0,$H50),N($K50)*IF(Lists!O$22&lt;$J50,0,(((YEAR(Lists!O$22)-YEAR($J50))*12+MONTH(Lists!O$22)-MONTH($J50))-(EDATE($J50,((YEAR(Lists!O$22)-YEAR($J50))*12+MONTH(Lists!O$22)-MONTH($J50)))&gt;Lists!O$22)+1)))),N($C50)*IF($AE50-$AD50&lt;1,($AD50&gt;Lists!O$22)*($AD50&lt;=Lists!O$21),MAX(0,MIN(Lists!O$21,$AE50)-MAX(Lists!O$22,$AD50))/($AE50-$AD50))+N($D50)*IF($AG50-$AF50&lt;1,($AF50&gt;Lists!O$22)*($AF50&lt;=Lists!O$21),MAX(0,MIN(Lists!O$21,$AG50)-MAX(Lists!O$22,$AF50))/($AG50-$AF50))+N($E50)*IF($AI50-$AH50&lt;1,($AH50&gt;Lists!O$22)*($AH50&lt;=Lists!O$21),MAX(0,MIN(Lists!O$21,$AI50)-MAX(Lists!O$22,$AH50))/($AI50-$AH50))+N($F50)*IF($AK50-$AJ50&lt;1,($AJ50&gt;Lists!O$22)*($AJ50&lt;=Lists!O$21),MAX(0,MIN(Lists!O$21,$AK50)-MAX(Lists!O$22,$AJ50))/($AK50-$AJ50))+N($G50)*IF($AM50-$AL50&lt;1,($AL50&gt;Lists!O$22)*($AL50&lt;=Lists!O$21),MAX(0,MIN(Lists!O$21,$AM50)-MAX(Lists!O$22,$AL50))/($AM50-$AL50))))))))</f>
        <v>0</v>
      </c>
      <c r="Z50" s="46" t="n">
        <f aca="false">SUM(M50:Y50)</f>
        <v>0</v>
      </c>
      <c r="AA50" s="92" t="n">
        <f aca="false">H50-Z50</f>
        <v>0</v>
      </c>
      <c r="AB50" s="55"/>
      <c r="AC50" s="2"/>
      <c r="AD50" s="93" t="n">
        <f aca="false">Setup!$D$10+MAX(0,$AN50-30)</f>
        <v>46345</v>
      </c>
      <c r="AE50" s="93" t="n">
        <f aca="false">Setup!$D$10+IF($AN50-30&lt;0,MAX(Setup!$D$22,$AN50-0),$AN50-0)</f>
        <v>46375</v>
      </c>
      <c r="AF50" s="93" t="n">
        <f aca="false">Setup!$D$10+MAX(0,$AN50-60)</f>
        <v>46335</v>
      </c>
      <c r="AG50" s="93" t="n">
        <f aca="false">Setup!$D$10+IF($AN50-60&lt;0,MAX(Setup!$D$22,$AN50-31),$AN50-31)</f>
        <v>46363</v>
      </c>
      <c r="AH50" s="93" t="n">
        <f aca="false">Setup!$D$10+MAX(0,$AN50-90)</f>
        <v>46335</v>
      </c>
      <c r="AI50" s="93" t="n">
        <f aca="false">Setup!$D$10+IF($AN50-90&lt;0,MAX(Setup!$D$22,$AN50-61),$AN50-61)</f>
        <v>46363</v>
      </c>
      <c r="AJ50" s="93" t="n">
        <f aca="false">Setup!$D$10+MAX(0,$AN50-120)</f>
        <v>46335</v>
      </c>
      <c r="AK50" s="93" t="n">
        <f aca="false">Setup!$D$10+IF($AN50-120&lt;0,MAX(Setup!$D$22,$AN50-91),$AN50-91)</f>
        <v>46363</v>
      </c>
      <c r="AL50" s="93" t="n">
        <f aca="false">Setup!$D$10</f>
        <v>46335</v>
      </c>
      <c r="AM50" s="93" t="n">
        <f aca="false">IF(AL50=2958465,AL50,Setup!$D$10+Setup!$D$22)</f>
        <v>46363</v>
      </c>
      <c r="AN50" s="94" t="n">
        <f aca="false">IF(N(L50)=0,Setup!$D$21,L50)</f>
        <v>40</v>
      </c>
      <c r="AO50" s="94" t="n">
        <f aca="false">MAX(1,ROUND(N(K50),0))</f>
        <v>1</v>
      </c>
      <c r="AP50" s="95" t="str">
        <f aca="false">IF(I50="On hold","X",IF(N(J50)=0,"A",IF(I50="Specific date","S",IF(I50="Spread over days","D",IF(I50="Monthly on set day","M",IF(I50="Monthly fixed amount","F","A"))))))</f>
        <v>A</v>
      </c>
    </row>
    <row r="51" customFormat="false" ht="15" hidden="false" customHeight="false" outlineLevel="0" collapsed="false">
      <c r="A51" s="87" t="n">
        <v>43</v>
      </c>
      <c r="B51" s="55"/>
      <c r="C51" s="88"/>
      <c r="D51" s="88"/>
      <c r="E51" s="88"/>
      <c r="F51" s="88"/>
      <c r="G51" s="88"/>
      <c r="H51" s="89" t="n">
        <f aca="false">SUM(C51:G51)</f>
        <v>0</v>
      </c>
      <c r="I51" s="58"/>
      <c r="J51" s="90"/>
      <c r="K51" s="91"/>
      <c r="L51" s="80"/>
      <c r="M51" s="53" t="n">
        <f aca="false">IF($H51=0,0,IF($AP51="X",0,IF($AP51="S",$H51/$AO51*(MIN($AO51,MAX(0,INT((Lists!C$21-N($J51))/7)+1))-MIN($AO51,MAX(0,INT((Lists!C$22-N($J51))/7)+1))),IF($AP51="D",$H51*MAX(0,MIN(Lists!C$21,N($J51)+$AO51)-MAX(Lists!C$22,N($J51)))/$AO51,IF($AP51="M",$H51/$AO51*(IF(Lists!C$21&lt;$J51,0,MIN($AO51,(((YEAR(Lists!C$21)-YEAR($J51))*12+MONTH(Lists!C$21)-MONTH($J51))-(EDATE($J51,((YEAR(Lists!C$21)-YEAR($J51))*12+MONTH(Lists!C$21)-MONTH($J51)))&gt;Lists!C$21)+1)))-IF(Lists!C$22&lt;$J51,0,MIN($AO51,(((YEAR(Lists!C$22)-YEAR($J51))*12+MONTH(Lists!C$22)-MONTH($J51))-(EDATE($J51,((YEAR(Lists!C$22)-YEAR($J51))*12+MONTH(Lists!C$22)-MONTH($J51)))&gt;Lists!C$22)+1)))),IF($AP51="F",IF(N($K51)&lt;=0,0,MIN(MAX(0,$H51),N($K51)*IF(Lists!C$21&lt;$J51,0,(((YEAR(Lists!C$21)-YEAR($J51))*12+MONTH(Lists!C$21)-MONTH($J51))-(EDATE($J51,((YEAR(Lists!C$21)-YEAR($J51))*12+MONTH(Lists!C$21)-MONTH($J51)))&gt;Lists!C$21)+1)))-MIN(MAX(0,$H51),N($K51)*IF(Lists!C$22&lt;$J51,0,(((YEAR(Lists!C$22)-YEAR($J51))*12+MONTH(Lists!C$22)-MONTH($J51))-(EDATE($J51,((YEAR(Lists!C$22)-YEAR($J51))*12+MONTH(Lists!C$22)-MONTH($J51)))&gt;Lists!C$22)+1)))),N($C51)*IF($AE51-$AD51&lt;1,($AD51&gt;Lists!C$22)*($AD51&lt;=Lists!C$21),MAX(0,MIN(Lists!C$21,$AE51)-MAX(Lists!C$22,$AD51))/($AE51-$AD51))+N($D51)*IF($AG51-$AF51&lt;1,($AF51&gt;Lists!C$22)*($AF51&lt;=Lists!C$21),MAX(0,MIN(Lists!C$21,$AG51)-MAX(Lists!C$22,$AF51))/($AG51-$AF51))+N($E51)*IF($AI51-$AH51&lt;1,($AH51&gt;Lists!C$22)*($AH51&lt;=Lists!C$21),MAX(0,MIN(Lists!C$21,$AI51)-MAX(Lists!C$22,$AH51))/($AI51-$AH51))+N($F51)*IF($AK51-$AJ51&lt;1,($AJ51&gt;Lists!C$22)*($AJ51&lt;=Lists!C$21),MAX(0,MIN(Lists!C$21,$AK51)-MAX(Lists!C$22,$AJ51))/($AK51-$AJ51))+N($G51)*IF($AM51-$AL51&lt;1,($AL51&gt;Lists!C$22)*($AL51&lt;=Lists!C$21),MAX(0,MIN(Lists!C$21,$AM51)-MAX(Lists!C$22,$AL51))/($AM51-$AL51))))))))</f>
        <v>0</v>
      </c>
      <c r="N51" s="53" t="n">
        <f aca="false">IF($H51=0,0,IF($AP51="X",0,IF($AP51="S",$H51/$AO51*(MIN($AO51,MAX(0,INT((Lists!D$21-N($J51))/7)+1))-MIN($AO51,MAX(0,INT((Lists!D$22-N($J51))/7)+1))),IF($AP51="D",$H51*MAX(0,MIN(Lists!D$21,N($J51)+$AO51)-MAX(Lists!D$22,N($J51)))/$AO51,IF($AP51="M",$H51/$AO51*(IF(Lists!D$21&lt;$J51,0,MIN($AO51,(((YEAR(Lists!D$21)-YEAR($J51))*12+MONTH(Lists!D$21)-MONTH($J51))-(EDATE($J51,((YEAR(Lists!D$21)-YEAR($J51))*12+MONTH(Lists!D$21)-MONTH($J51)))&gt;Lists!D$21)+1)))-IF(Lists!D$22&lt;$J51,0,MIN($AO51,(((YEAR(Lists!D$22)-YEAR($J51))*12+MONTH(Lists!D$22)-MONTH($J51))-(EDATE($J51,((YEAR(Lists!D$22)-YEAR($J51))*12+MONTH(Lists!D$22)-MONTH($J51)))&gt;Lists!D$22)+1)))),IF($AP51="F",IF(N($K51)&lt;=0,0,MIN(MAX(0,$H51),N($K51)*IF(Lists!D$21&lt;$J51,0,(((YEAR(Lists!D$21)-YEAR($J51))*12+MONTH(Lists!D$21)-MONTH($J51))-(EDATE($J51,((YEAR(Lists!D$21)-YEAR($J51))*12+MONTH(Lists!D$21)-MONTH($J51)))&gt;Lists!D$21)+1)))-MIN(MAX(0,$H51),N($K51)*IF(Lists!D$22&lt;$J51,0,(((YEAR(Lists!D$22)-YEAR($J51))*12+MONTH(Lists!D$22)-MONTH($J51))-(EDATE($J51,((YEAR(Lists!D$22)-YEAR($J51))*12+MONTH(Lists!D$22)-MONTH($J51)))&gt;Lists!D$22)+1)))),N($C51)*IF($AE51-$AD51&lt;1,($AD51&gt;Lists!D$22)*($AD51&lt;=Lists!D$21),MAX(0,MIN(Lists!D$21,$AE51)-MAX(Lists!D$22,$AD51))/($AE51-$AD51))+N($D51)*IF($AG51-$AF51&lt;1,($AF51&gt;Lists!D$22)*($AF51&lt;=Lists!D$21),MAX(0,MIN(Lists!D$21,$AG51)-MAX(Lists!D$22,$AF51))/($AG51-$AF51))+N($E51)*IF($AI51-$AH51&lt;1,($AH51&gt;Lists!D$22)*($AH51&lt;=Lists!D$21),MAX(0,MIN(Lists!D$21,$AI51)-MAX(Lists!D$22,$AH51))/($AI51-$AH51))+N($F51)*IF($AK51-$AJ51&lt;1,($AJ51&gt;Lists!D$22)*($AJ51&lt;=Lists!D$21),MAX(0,MIN(Lists!D$21,$AK51)-MAX(Lists!D$22,$AJ51))/($AK51-$AJ51))+N($G51)*IF($AM51-$AL51&lt;1,($AL51&gt;Lists!D$22)*($AL51&lt;=Lists!D$21),MAX(0,MIN(Lists!D$21,$AM51)-MAX(Lists!D$22,$AL51))/($AM51-$AL51))))))))</f>
        <v>0</v>
      </c>
      <c r="O51" s="53" t="n">
        <f aca="false">IF($H51=0,0,IF($AP51="X",0,IF($AP51="S",$H51/$AO51*(MIN($AO51,MAX(0,INT((Lists!E$21-N($J51))/7)+1))-MIN($AO51,MAX(0,INT((Lists!E$22-N($J51))/7)+1))),IF($AP51="D",$H51*MAX(0,MIN(Lists!E$21,N($J51)+$AO51)-MAX(Lists!E$22,N($J51)))/$AO51,IF($AP51="M",$H51/$AO51*(IF(Lists!E$21&lt;$J51,0,MIN($AO51,(((YEAR(Lists!E$21)-YEAR($J51))*12+MONTH(Lists!E$21)-MONTH($J51))-(EDATE($J51,((YEAR(Lists!E$21)-YEAR($J51))*12+MONTH(Lists!E$21)-MONTH($J51)))&gt;Lists!E$21)+1)))-IF(Lists!E$22&lt;$J51,0,MIN($AO51,(((YEAR(Lists!E$22)-YEAR($J51))*12+MONTH(Lists!E$22)-MONTH($J51))-(EDATE($J51,((YEAR(Lists!E$22)-YEAR($J51))*12+MONTH(Lists!E$22)-MONTH($J51)))&gt;Lists!E$22)+1)))),IF($AP51="F",IF(N($K51)&lt;=0,0,MIN(MAX(0,$H51),N($K51)*IF(Lists!E$21&lt;$J51,0,(((YEAR(Lists!E$21)-YEAR($J51))*12+MONTH(Lists!E$21)-MONTH($J51))-(EDATE($J51,((YEAR(Lists!E$21)-YEAR($J51))*12+MONTH(Lists!E$21)-MONTH($J51)))&gt;Lists!E$21)+1)))-MIN(MAX(0,$H51),N($K51)*IF(Lists!E$22&lt;$J51,0,(((YEAR(Lists!E$22)-YEAR($J51))*12+MONTH(Lists!E$22)-MONTH($J51))-(EDATE($J51,((YEAR(Lists!E$22)-YEAR($J51))*12+MONTH(Lists!E$22)-MONTH($J51)))&gt;Lists!E$22)+1)))),N($C51)*IF($AE51-$AD51&lt;1,($AD51&gt;Lists!E$22)*($AD51&lt;=Lists!E$21),MAX(0,MIN(Lists!E$21,$AE51)-MAX(Lists!E$22,$AD51))/($AE51-$AD51))+N($D51)*IF($AG51-$AF51&lt;1,($AF51&gt;Lists!E$22)*($AF51&lt;=Lists!E$21),MAX(0,MIN(Lists!E$21,$AG51)-MAX(Lists!E$22,$AF51))/($AG51-$AF51))+N($E51)*IF($AI51-$AH51&lt;1,($AH51&gt;Lists!E$22)*($AH51&lt;=Lists!E$21),MAX(0,MIN(Lists!E$21,$AI51)-MAX(Lists!E$22,$AH51))/($AI51-$AH51))+N($F51)*IF($AK51-$AJ51&lt;1,($AJ51&gt;Lists!E$22)*($AJ51&lt;=Lists!E$21),MAX(0,MIN(Lists!E$21,$AK51)-MAX(Lists!E$22,$AJ51))/($AK51-$AJ51))+N($G51)*IF($AM51-$AL51&lt;1,($AL51&gt;Lists!E$22)*($AL51&lt;=Lists!E$21),MAX(0,MIN(Lists!E$21,$AM51)-MAX(Lists!E$22,$AL51))/($AM51-$AL51))))))))</f>
        <v>0</v>
      </c>
      <c r="P51" s="53" t="n">
        <f aca="false">IF($H51=0,0,IF($AP51="X",0,IF($AP51="S",$H51/$AO51*(MIN($AO51,MAX(0,INT((Lists!F$21-N($J51))/7)+1))-MIN($AO51,MAX(0,INT((Lists!F$22-N($J51))/7)+1))),IF($AP51="D",$H51*MAX(0,MIN(Lists!F$21,N($J51)+$AO51)-MAX(Lists!F$22,N($J51)))/$AO51,IF($AP51="M",$H51/$AO51*(IF(Lists!F$21&lt;$J51,0,MIN($AO51,(((YEAR(Lists!F$21)-YEAR($J51))*12+MONTH(Lists!F$21)-MONTH($J51))-(EDATE($J51,((YEAR(Lists!F$21)-YEAR($J51))*12+MONTH(Lists!F$21)-MONTH($J51)))&gt;Lists!F$21)+1)))-IF(Lists!F$22&lt;$J51,0,MIN($AO51,(((YEAR(Lists!F$22)-YEAR($J51))*12+MONTH(Lists!F$22)-MONTH($J51))-(EDATE($J51,((YEAR(Lists!F$22)-YEAR($J51))*12+MONTH(Lists!F$22)-MONTH($J51)))&gt;Lists!F$22)+1)))),IF($AP51="F",IF(N($K51)&lt;=0,0,MIN(MAX(0,$H51),N($K51)*IF(Lists!F$21&lt;$J51,0,(((YEAR(Lists!F$21)-YEAR($J51))*12+MONTH(Lists!F$21)-MONTH($J51))-(EDATE($J51,((YEAR(Lists!F$21)-YEAR($J51))*12+MONTH(Lists!F$21)-MONTH($J51)))&gt;Lists!F$21)+1)))-MIN(MAX(0,$H51),N($K51)*IF(Lists!F$22&lt;$J51,0,(((YEAR(Lists!F$22)-YEAR($J51))*12+MONTH(Lists!F$22)-MONTH($J51))-(EDATE($J51,((YEAR(Lists!F$22)-YEAR($J51))*12+MONTH(Lists!F$22)-MONTH($J51)))&gt;Lists!F$22)+1)))),N($C51)*IF($AE51-$AD51&lt;1,($AD51&gt;Lists!F$22)*($AD51&lt;=Lists!F$21),MAX(0,MIN(Lists!F$21,$AE51)-MAX(Lists!F$22,$AD51))/($AE51-$AD51))+N($D51)*IF($AG51-$AF51&lt;1,($AF51&gt;Lists!F$22)*($AF51&lt;=Lists!F$21),MAX(0,MIN(Lists!F$21,$AG51)-MAX(Lists!F$22,$AF51))/($AG51-$AF51))+N($E51)*IF($AI51-$AH51&lt;1,($AH51&gt;Lists!F$22)*($AH51&lt;=Lists!F$21),MAX(0,MIN(Lists!F$21,$AI51)-MAX(Lists!F$22,$AH51))/($AI51-$AH51))+N($F51)*IF($AK51-$AJ51&lt;1,($AJ51&gt;Lists!F$22)*($AJ51&lt;=Lists!F$21),MAX(0,MIN(Lists!F$21,$AK51)-MAX(Lists!F$22,$AJ51))/($AK51-$AJ51))+N($G51)*IF($AM51-$AL51&lt;1,($AL51&gt;Lists!F$22)*($AL51&lt;=Lists!F$21),MAX(0,MIN(Lists!F$21,$AM51)-MAX(Lists!F$22,$AL51))/($AM51-$AL51))))))))</f>
        <v>0</v>
      </c>
      <c r="Q51" s="53" t="n">
        <f aca="false">IF($H51=0,0,IF($AP51="X",0,IF($AP51="S",$H51/$AO51*(MIN($AO51,MAX(0,INT((Lists!G$21-N($J51))/7)+1))-MIN($AO51,MAX(0,INT((Lists!G$22-N($J51))/7)+1))),IF($AP51="D",$H51*MAX(0,MIN(Lists!G$21,N($J51)+$AO51)-MAX(Lists!G$22,N($J51)))/$AO51,IF($AP51="M",$H51/$AO51*(IF(Lists!G$21&lt;$J51,0,MIN($AO51,(((YEAR(Lists!G$21)-YEAR($J51))*12+MONTH(Lists!G$21)-MONTH($J51))-(EDATE($J51,((YEAR(Lists!G$21)-YEAR($J51))*12+MONTH(Lists!G$21)-MONTH($J51)))&gt;Lists!G$21)+1)))-IF(Lists!G$22&lt;$J51,0,MIN($AO51,(((YEAR(Lists!G$22)-YEAR($J51))*12+MONTH(Lists!G$22)-MONTH($J51))-(EDATE($J51,((YEAR(Lists!G$22)-YEAR($J51))*12+MONTH(Lists!G$22)-MONTH($J51)))&gt;Lists!G$22)+1)))),IF($AP51="F",IF(N($K51)&lt;=0,0,MIN(MAX(0,$H51),N($K51)*IF(Lists!G$21&lt;$J51,0,(((YEAR(Lists!G$21)-YEAR($J51))*12+MONTH(Lists!G$21)-MONTH($J51))-(EDATE($J51,((YEAR(Lists!G$21)-YEAR($J51))*12+MONTH(Lists!G$21)-MONTH($J51)))&gt;Lists!G$21)+1)))-MIN(MAX(0,$H51),N($K51)*IF(Lists!G$22&lt;$J51,0,(((YEAR(Lists!G$22)-YEAR($J51))*12+MONTH(Lists!G$22)-MONTH($J51))-(EDATE($J51,((YEAR(Lists!G$22)-YEAR($J51))*12+MONTH(Lists!G$22)-MONTH($J51)))&gt;Lists!G$22)+1)))),N($C51)*IF($AE51-$AD51&lt;1,($AD51&gt;Lists!G$22)*($AD51&lt;=Lists!G$21),MAX(0,MIN(Lists!G$21,$AE51)-MAX(Lists!G$22,$AD51))/($AE51-$AD51))+N($D51)*IF($AG51-$AF51&lt;1,($AF51&gt;Lists!G$22)*($AF51&lt;=Lists!G$21),MAX(0,MIN(Lists!G$21,$AG51)-MAX(Lists!G$22,$AF51))/($AG51-$AF51))+N($E51)*IF($AI51-$AH51&lt;1,($AH51&gt;Lists!G$22)*($AH51&lt;=Lists!G$21),MAX(0,MIN(Lists!G$21,$AI51)-MAX(Lists!G$22,$AH51))/($AI51-$AH51))+N($F51)*IF($AK51-$AJ51&lt;1,($AJ51&gt;Lists!G$22)*($AJ51&lt;=Lists!G$21),MAX(0,MIN(Lists!G$21,$AK51)-MAX(Lists!G$22,$AJ51))/($AK51-$AJ51))+N($G51)*IF($AM51-$AL51&lt;1,($AL51&gt;Lists!G$22)*($AL51&lt;=Lists!G$21),MAX(0,MIN(Lists!G$21,$AM51)-MAX(Lists!G$22,$AL51))/($AM51-$AL51))))))))</f>
        <v>0</v>
      </c>
      <c r="R51" s="53" t="n">
        <f aca="false">IF($H51=0,0,IF($AP51="X",0,IF($AP51="S",$H51/$AO51*(MIN($AO51,MAX(0,INT((Lists!H$21-N($J51))/7)+1))-MIN($AO51,MAX(0,INT((Lists!H$22-N($J51))/7)+1))),IF($AP51="D",$H51*MAX(0,MIN(Lists!H$21,N($J51)+$AO51)-MAX(Lists!H$22,N($J51)))/$AO51,IF($AP51="M",$H51/$AO51*(IF(Lists!H$21&lt;$J51,0,MIN($AO51,(((YEAR(Lists!H$21)-YEAR($J51))*12+MONTH(Lists!H$21)-MONTH($J51))-(EDATE($J51,((YEAR(Lists!H$21)-YEAR($J51))*12+MONTH(Lists!H$21)-MONTH($J51)))&gt;Lists!H$21)+1)))-IF(Lists!H$22&lt;$J51,0,MIN($AO51,(((YEAR(Lists!H$22)-YEAR($J51))*12+MONTH(Lists!H$22)-MONTH($J51))-(EDATE($J51,((YEAR(Lists!H$22)-YEAR($J51))*12+MONTH(Lists!H$22)-MONTH($J51)))&gt;Lists!H$22)+1)))),IF($AP51="F",IF(N($K51)&lt;=0,0,MIN(MAX(0,$H51),N($K51)*IF(Lists!H$21&lt;$J51,0,(((YEAR(Lists!H$21)-YEAR($J51))*12+MONTH(Lists!H$21)-MONTH($J51))-(EDATE($J51,((YEAR(Lists!H$21)-YEAR($J51))*12+MONTH(Lists!H$21)-MONTH($J51)))&gt;Lists!H$21)+1)))-MIN(MAX(0,$H51),N($K51)*IF(Lists!H$22&lt;$J51,0,(((YEAR(Lists!H$22)-YEAR($J51))*12+MONTH(Lists!H$22)-MONTH($J51))-(EDATE($J51,((YEAR(Lists!H$22)-YEAR($J51))*12+MONTH(Lists!H$22)-MONTH($J51)))&gt;Lists!H$22)+1)))),N($C51)*IF($AE51-$AD51&lt;1,($AD51&gt;Lists!H$22)*($AD51&lt;=Lists!H$21),MAX(0,MIN(Lists!H$21,$AE51)-MAX(Lists!H$22,$AD51))/($AE51-$AD51))+N($D51)*IF($AG51-$AF51&lt;1,($AF51&gt;Lists!H$22)*($AF51&lt;=Lists!H$21),MAX(0,MIN(Lists!H$21,$AG51)-MAX(Lists!H$22,$AF51))/($AG51-$AF51))+N($E51)*IF($AI51-$AH51&lt;1,($AH51&gt;Lists!H$22)*($AH51&lt;=Lists!H$21),MAX(0,MIN(Lists!H$21,$AI51)-MAX(Lists!H$22,$AH51))/($AI51-$AH51))+N($F51)*IF($AK51-$AJ51&lt;1,($AJ51&gt;Lists!H$22)*($AJ51&lt;=Lists!H$21),MAX(0,MIN(Lists!H$21,$AK51)-MAX(Lists!H$22,$AJ51))/($AK51-$AJ51))+N($G51)*IF($AM51-$AL51&lt;1,($AL51&gt;Lists!H$22)*($AL51&lt;=Lists!H$21),MAX(0,MIN(Lists!H$21,$AM51)-MAX(Lists!H$22,$AL51))/($AM51-$AL51))))))))</f>
        <v>0</v>
      </c>
      <c r="S51" s="53" t="n">
        <f aca="false">IF($H51=0,0,IF($AP51="X",0,IF($AP51="S",$H51/$AO51*(MIN($AO51,MAX(0,INT((Lists!I$21-N($J51))/7)+1))-MIN($AO51,MAX(0,INT((Lists!I$22-N($J51))/7)+1))),IF($AP51="D",$H51*MAX(0,MIN(Lists!I$21,N($J51)+$AO51)-MAX(Lists!I$22,N($J51)))/$AO51,IF($AP51="M",$H51/$AO51*(IF(Lists!I$21&lt;$J51,0,MIN($AO51,(((YEAR(Lists!I$21)-YEAR($J51))*12+MONTH(Lists!I$21)-MONTH($J51))-(EDATE($J51,((YEAR(Lists!I$21)-YEAR($J51))*12+MONTH(Lists!I$21)-MONTH($J51)))&gt;Lists!I$21)+1)))-IF(Lists!I$22&lt;$J51,0,MIN($AO51,(((YEAR(Lists!I$22)-YEAR($J51))*12+MONTH(Lists!I$22)-MONTH($J51))-(EDATE($J51,((YEAR(Lists!I$22)-YEAR($J51))*12+MONTH(Lists!I$22)-MONTH($J51)))&gt;Lists!I$22)+1)))),IF($AP51="F",IF(N($K51)&lt;=0,0,MIN(MAX(0,$H51),N($K51)*IF(Lists!I$21&lt;$J51,0,(((YEAR(Lists!I$21)-YEAR($J51))*12+MONTH(Lists!I$21)-MONTH($J51))-(EDATE($J51,((YEAR(Lists!I$21)-YEAR($J51))*12+MONTH(Lists!I$21)-MONTH($J51)))&gt;Lists!I$21)+1)))-MIN(MAX(0,$H51),N($K51)*IF(Lists!I$22&lt;$J51,0,(((YEAR(Lists!I$22)-YEAR($J51))*12+MONTH(Lists!I$22)-MONTH($J51))-(EDATE($J51,((YEAR(Lists!I$22)-YEAR($J51))*12+MONTH(Lists!I$22)-MONTH($J51)))&gt;Lists!I$22)+1)))),N($C51)*IF($AE51-$AD51&lt;1,($AD51&gt;Lists!I$22)*($AD51&lt;=Lists!I$21),MAX(0,MIN(Lists!I$21,$AE51)-MAX(Lists!I$22,$AD51))/($AE51-$AD51))+N($D51)*IF($AG51-$AF51&lt;1,($AF51&gt;Lists!I$22)*($AF51&lt;=Lists!I$21),MAX(0,MIN(Lists!I$21,$AG51)-MAX(Lists!I$22,$AF51))/($AG51-$AF51))+N($E51)*IF($AI51-$AH51&lt;1,($AH51&gt;Lists!I$22)*($AH51&lt;=Lists!I$21),MAX(0,MIN(Lists!I$21,$AI51)-MAX(Lists!I$22,$AH51))/($AI51-$AH51))+N($F51)*IF($AK51-$AJ51&lt;1,($AJ51&gt;Lists!I$22)*($AJ51&lt;=Lists!I$21),MAX(0,MIN(Lists!I$21,$AK51)-MAX(Lists!I$22,$AJ51))/($AK51-$AJ51))+N($G51)*IF($AM51-$AL51&lt;1,($AL51&gt;Lists!I$22)*($AL51&lt;=Lists!I$21),MAX(0,MIN(Lists!I$21,$AM51)-MAX(Lists!I$22,$AL51))/($AM51-$AL51))))))))</f>
        <v>0</v>
      </c>
      <c r="T51" s="53" t="n">
        <f aca="false">IF($H51=0,0,IF($AP51="X",0,IF($AP51="S",$H51/$AO51*(MIN($AO51,MAX(0,INT((Lists!J$21-N($J51))/7)+1))-MIN($AO51,MAX(0,INT((Lists!J$22-N($J51))/7)+1))),IF($AP51="D",$H51*MAX(0,MIN(Lists!J$21,N($J51)+$AO51)-MAX(Lists!J$22,N($J51)))/$AO51,IF($AP51="M",$H51/$AO51*(IF(Lists!J$21&lt;$J51,0,MIN($AO51,(((YEAR(Lists!J$21)-YEAR($J51))*12+MONTH(Lists!J$21)-MONTH($J51))-(EDATE($J51,((YEAR(Lists!J$21)-YEAR($J51))*12+MONTH(Lists!J$21)-MONTH($J51)))&gt;Lists!J$21)+1)))-IF(Lists!J$22&lt;$J51,0,MIN($AO51,(((YEAR(Lists!J$22)-YEAR($J51))*12+MONTH(Lists!J$22)-MONTH($J51))-(EDATE($J51,((YEAR(Lists!J$22)-YEAR($J51))*12+MONTH(Lists!J$22)-MONTH($J51)))&gt;Lists!J$22)+1)))),IF($AP51="F",IF(N($K51)&lt;=0,0,MIN(MAX(0,$H51),N($K51)*IF(Lists!J$21&lt;$J51,0,(((YEAR(Lists!J$21)-YEAR($J51))*12+MONTH(Lists!J$21)-MONTH($J51))-(EDATE($J51,((YEAR(Lists!J$21)-YEAR($J51))*12+MONTH(Lists!J$21)-MONTH($J51)))&gt;Lists!J$21)+1)))-MIN(MAX(0,$H51),N($K51)*IF(Lists!J$22&lt;$J51,0,(((YEAR(Lists!J$22)-YEAR($J51))*12+MONTH(Lists!J$22)-MONTH($J51))-(EDATE($J51,((YEAR(Lists!J$22)-YEAR($J51))*12+MONTH(Lists!J$22)-MONTH($J51)))&gt;Lists!J$22)+1)))),N($C51)*IF($AE51-$AD51&lt;1,($AD51&gt;Lists!J$22)*($AD51&lt;=Lists!J$21),MAX(0,MIN(Lists!J$21,$AE51)-MAX(Lists!J$22,$AD51))/($AE51-$AD51))+N($D51)*IF($AG51-$AF51&lt;1,($AF51&gt;Lists!J$22)*($AF51&lt;=Lists!J$21),MAX(0,MIN(Lists!J$21,$AG51)-MAX(Lists!J$22,$AF51))/($AG51-$AF51))+N($E51)*IF($AI51-$AH51&lt;1,($AH51&gt;Lists!J$22)*($AH51&lt;=Lists!J$21),MAX(0,MIN(Lists!J$21,$AI51)-MAX(Lists!J$22,$AH51))/($AI51-$AH51))+N($F51)*IF($AK51-$AJ51&lt;1,($AJ51&gt;Lists!J$22)*($AJ51&lt;=Lists!J$21),MAX(0,MIN(Lists!J$21,$AK51)-MAX(Lists!J$22,$AJ51))/($AK51-$AJ51))+N($G51)*IF($AM51-$AL51&lt;1,($AL51&gt;Lists!J$22)*($AL51&lt;=Lists!J$21),MAX(0,MIN(Lists!J$21,$AM51)-MAX(Lists!J$22,$AL51))/($AM51-$AL51))))))))</f>
        <v>0</v>
      </c>
      <c r="U51" s="53" t="n">
        <f aca="false">IF($H51=0,0,IF($AP51="X",0,IF($AP51="S",$H51/$AO51*(MIN($AO51,MAX(0,INT((Lists!K$21-N($J51))/7)+1))-MIN($AO51,MAX(0,INT((Lists!K$22-N($J51))/7)+1))),IF($AP51="D",$H51*MAX(0,MIN(Lists!K$21,N($J51)+$AO51)-MAX(Lists!K$22,N($J51)))/$AO51,IF($AP51="M",$H51/$AO51*(IF(Lists!K$21&lt;$J51,0,MIN($AO51,(((YEAR(Lists!K$21)-YEAR($J51))*12+MONTH(Lists!K$21)-MONTH($J51))-(EDATE($J51,((YEAR(Lists!K$21)-YEAR($J51))*12+MONTH(Lists!K$21)-MONTH($J51)))&gt;Lists!K$21)+1)))-IF(Lists!K$22&lt;$J51,0,MIN($AO51,(((YEAR(Lists!K$22)-YEAR($J51))*12+MONTH(Lists!K$22)-MONTH($J51))-(EDATE($J51,((YEAR(Lists!K$22)-YEAR($J51))*12+MONTH(Lists!K$22)-MONTH($J51)))&gt;Lists!K$22)+1)))),IF($AP51="F",IF(N($K51)&lt;=0,0,MIN(MAX(0,$H51),N($K51)*IF(Lists!K$21&lt;$J51,0,(((YEAR(Lists!K$21)-YEAR($J51))*12+MONTH(Lists!K$21)-MONTH($J51))-(EDATE($J51,((YEAR(Lists!K$21)-YEAR($J51))*12+MONTH(Lists!K$21)-MONTH($J51)))&gt;Lists!K$21)+1)))-MIN(MAX(0,$H51),N($K51)*IF(Lists!K$22&lt;$J51,0,(((YEAR(Lists!K$22)-YEAR($J51))*12+MONTH(Lists!K$22)-MONTH($J51))-(EDATE($J51,((YEAR(Lists!K$22)-YEAR($J51))*12+MONTH(Lists!K$22)-MONTH($J51)))&gt;Lists!K$22)+1)))),N($C51)*IF($AE51-$AD51&lt;1,($AD51&gt;Lists!K$22)*($AD51&lt;=Lists!K$21),MAX(0,MIN(Lists!K$21,$AE51)-MAX(Lists!K$22,$AD51))/($AE51-$AD51))+N($D51)*IF($AG51-$AF51&lt;1,($AF51&gt;Lists!K$22)*($AF51&lt;=Lists!K$21),MAX(0,MIN(Lists!K$21,$AG51)-MAX(Lists!K$22,$AF51))/($AG51-$AF51))+N($E51)*IF($AI51-$AH51&lt;1,($AH51&gt;Lists!K$22)*($AH51&lt;=Lists!K$21),MAX(0,MIN(Lists!K$21,$AI51)-MAX(Lists!K$22,$AH51))/($AI51-$AH51))+N($F51)*IF($AK51-$AJ51&lt;1,($AJ51&gt;Lists!K$22)*($AJ51&lt;=Lists!K$21),MAX(0,MIN(Lists!K$21,$AK51)-MAX(Lists!K$22,$AJ51))/($AK51-$AJ51))+N($G51)*IF($AM51-$AL51&lt;1,($AL51&gt;Lists!K$22)*($AL51&lt;=Lists!K$21),MAX(0,MIN(Lists!K$21,$AM51)-MAX(Lists!K$22,$AL51))/($AM51-$AL51))))))))</f>
        <v>0</v>
      </c>
      <c r="V51" s="53" t="n">
        <f aca="false">IF($H51=0,0,IF($AP51="X",0,IF($AP51="S",$H51/$AO51*(MIN($AO51,MAX(0,INT((Lists!L$21-N($J51))/7)+1))-MIN($AO51,MAX(0,INT((Lists!L$22-N($J51))/7)+1))),IF($AP51="D",$H51*MAX(0,MIN(Lists!L$21,N($J51)+$AO51)-MAX(Lists!L$22,N($J51)))/$AO51,IF($AP51="M",$H51/$AO51*(IF(Lists!L$21&lt;$J51,0,MIN($AO51,(((YEAR(Lists!L$21)-YEAR($J51))*12+MONTH(Lists!L$21)-MONTH($J51))-(EDATE($J51,((YEAR(Lists!L$21)-YEAR($J51))*12+MONTH(Lists!L$21)-MONTH($J51)))&gt;Lists!L$21)+1)))-IF(Lists!L$22&lt;$J51,0,MIN($AO51,(((YEAR(Lists!L$22)-YEAR($J51))*12+MONTH(Lists!L$22)-MONTH($J51))-(EDATE($J51,((YEAR(Lists!L$22)-YEAR($J51))*12+MONTH(Lists!L$22)-MONTH($J51)))&gt;Lists!L$22)+1)))),IF($AP51="F",IF(N($K51)&lt;=0,0,MIN(MAX(0,$H51),N($K51)*IF(Lists!L$21&lt;$J51,0,(((YEAR(Lists!L$21)-YEAR($J51))*12+MONTH(Lists!L$21)-MONTH($J51))-(EDATE($J51,((YEAR(Lists!L$21)-YEAR($J51))*12+MONTH(Lists!L$21)-MONTH($J51)))&gt;Lists!L$21)+1)))-MIN(MAX(0,$H51),N($K51)*IF(Lists!L$22&lt;$J51,0,(((YEAR(Lists!L$22)-YEAR($J51))*12+MONTH(Lists!L$22)-MONTH($J51))-(EDATE($J51,((YEAR(Lists!L$22)-YEAR($J51))*12+MONTH(Lists!L$22)-MONTH($J51)))&gt;Lists!L$22)+1)))),N($C51)*IF($AE51-$AD51&lt;1,($AD51&gt;Lists!L$22)*($AD51&lt;=Lists!L$21),MAX(0,MIN(Lists!L$21,$AE51)-MAX(Lists!L$22,$AD51))/($AE51-$AD51))+N($D51)*IF($AG51-$AF51&lt;1,($AF51&gt;Lists!L$22)*($AF51&lt;=Lists!L$21),MAX(0,MIN(Lists!L$21,$AG51)-MAX(Lists!L$22,$AF51))/($AG51-$AF51))+N($E51)*IF($AI51-$AH51&lt;1,($AH51&gt;Lists!L$22)*($AH51&lt;=Lists!L$21),MAX(0,MIN(Lists!L$21,$AI51)-MAX(Lists!L$22,$AH51))/($AI51-$AH51))+N($F51)*IF($AK51-$AJ51&lt;1,($AJ51&gt;Lists!L$22)*($AJ51&lt;=Lists!L$21),MAX(0,MIN(Lists!L$21,$AK51)-MAX(Lists!L$22,$AJ51))/($AK51-$AJ51))+N($G51)*IF($AM51-$AL51&lt;1,($AL51&gt;Lists!L$22)*($AL51&lt;=Lists!L$21),MAX(0,MIN(Lists!L$21,$AM51)-MAX(Lists!L$22,$AL51))/($AM51-$AL51))))))))</f>
        <v>0</v>
      </c>
      <c r="W51" s="53" t="n">
        <f aca="false">IF($H51=0,0,IF($AP51="X",0,IF($AP51="S",$H51/$AO51*(MIN($AO51,MAX(0,INT((Lists!M$21-N($J51))/7)+1))-MIN($AO51,MAX(0,INT((Lists!M$22-N($J51))/7)+1))),IF($AP51="D",$H51*MAX(0,MIN(Lists!M$21,N($J51)+$AO51)-MAX(Lists!M$22,N($J51)))/$AO51,IF($AP51="M",$H51/$AO51*(IF(Lists!M$21&lt;$J51,0,MIN($AO51,(((YEAR(Lists!M$21)-YEAR($J51))*12+MONTH(Lists!M$21)-MONTH($J51))-(EDATE($J51,((YEAR(Lists!M$21)-YEAR($J51))*12+MONTH(Lists!M$21)-MONTH($J51)))&gt;Lists!M$21)+1)))-IF(Lists!M$22&lt;$J51,0,MIN($AO51,(((YEAR(Lists!M$22)-YEAR($J51))*12+MONTH(Lists!M$22)-MONTH($J51))-(EDATE($J51,((YEAR(Lists!M$22)-YEAR($J51))*12+MONTH(Lists!M$22)-MONTH($J51)))&gt;Lists!M$22)+1)))),IF($AP51="F",IF(N($K51)&lt;=0,0,MIN(MAX(0,$H51),N($K51)*IF(Lists!M$21&lt;$J51,0,(((YEAR(Lists!M$21)-YEAR($J51))*12+MONTH(Lists!M$21)-MONTH($J51))-(EDATE($J51,((YEAR(Lists!M$21)-YEAR($J51))*12+MONTH(Lists!M$21)-MONTH($J51)))&gt;Lists!M$21)+1)))-MIN(MAX(0,$H51),N($K51)*IF(Lists!M$22&lt;$J51,0,(((YEAR(Lists!M$22)-YEAR($J51))*12+MONTH(Lists!M$22)-MONTH($J51))-(EDATE($J51,((YEAR(Lists!M$22)-YEAR($J51))*12+MONTH(Lists!M$22)-MONTH($J51)))&gt;Lists!M$22)+1)))),N($C51)*IF($AE51-$AD51&lt;1,($AD51&gt;Lists!M$22)*($AD51&lt;=Lists!M$21),MAX(0,MIN(Lists!M$21,$AE51)-MAX(Lists!M$22,$AD51))/($AE51-$AD51))+N($D51)*IF($AG51-$AF51&lt;1,($AF51&gt;Lists!M$22)*($AF51&lt;=Lists!M$21),MAX(0,MIN(Lists!M$21,$AG51)-MAX(Lists!M$22,$AF51))/($AG51-$AF51))+N($E51)*IF($AI51-$AH51&lt;1,($AH51&gt;Lists!M$22)*($AH51&lt;=Lists!M$21),MAX(0,MIN(Lists!M$21,$AI51)-MAX(Lists!M$22,$AH51))/($AI51-$AH51))+N($F51)*IF($AK51-$AJ51&lt;1,($AJ51&gt;Lists!M$22)*($AJ51&lt;=Lists!M$21),MAX(0,MIN(Lists!M$21,$AK51)-MAX(Lists!M$22,$AJ51))/($AK51-$AJ51))+N($G51)*IF($AM51-$AL51&lt;1,($AL51&gt;Lists!M$22)*($AL51&lt;=Lists!M$21),MAX(0,MIN(Lists!M$21,$AM51)-MAX(Lists!M$22,$AL51))/($AM51-$AL51))))))))</f>
        <v>0</v>
      </c>
      <c r="X51" s="53" t="n">
        <f aca="false">IF($H51=0,0,IF($AP51="X",0,IF($AP51="S",$H51/$AO51*(MIN($AO51,MAX(0,INT((Lists!N$21-N($J51))/7)+1))-MIN($AO51,MAX(0,INT((Lists!N$22-N($J51))/7)+1))),IF($AP51="D",$H51*MAX(0,MIN(Lists!N$21,N($J51)+$AO51)-MAX(Lists!N$22,N($J51)))/$AO51,IF($AP51="M",$H51/$AO51*(IF(Lists!N$21&lt;$J51,0,MIN($AO51,(((YEAR(Lists!N$21)-YEAR($J51))*12+MONTH(Lists!N$21)-MONTH($J51))-(EDATE($J51,((YEAR(Lists!N$21)-YEAR($J51))*12+MONTH(Lists!N$21)-MONTH($J51)))&gt;Lists!N$21)+1)))-IF(Lists!N$22&lt;$J51,0,MIN($AO51,(((YEAR(Lists!N$22)-YEAR($J51))*12+MONTH(Lists!N$22)-MONTH($J51))-(EDATE($J51,((YEAR(Lists!N$22)-YEAR($J51))*12+MONTH(Lists!N$22)-MONTH($J51)))&gt;Lists!N$22)+1)))),IF($AP51="F",IF(N($K51)&lt;=0,0,MIN(MAX(0,$H51),N($K51)*IF(Lists!N$21&lt;$J51,0,(((YEAR(Lists!N$21)-YEAR($J51))*12+MONTH(Lists!N$21)-MONTH($J51))-(EDATE($J51,((YEAR(Lists!N$21)-YEAR($J51))*12+MONTH(Lists!N$21)-MONTH($J51)))&gt;Lists!N$21)+1)))-MIN(MAX(0,$H51),N($K51)*IF(Lists!N$22&lt;$J51,0,(((YEAR(Lists!N$22)-YEAR($J51))*12+MONTH(Lists!N$22)-MONTH($J51))-(EDATE($J51,((YEAR(Lists!N$22)-YEAR($J51))*12+MONTH(Lists!N$22)-MONTH($J51)))&gt;Lists!N$22)+1)))),N($C51)*IF($AE51-$AD51&lt;1,($AD51&gt;Lists!N$22)*($AD51&lt;=Lists!N$21),MAX(0,MIN(Lists!N$21,$AE51)-MAX(Lists!N$22,$AD51))/($AE51-$AD51))+N($D51)*IF($AG51-$AF51&lt;1,($AF51&gt;Lists!N$22)*($AF51&lt;=Lists!N$21),MAX(0,MIN(Lists!N$21,$AG51)-MAX(Lists!N$22,$AF51))/($AG51-$AF51))+N($E51)*IF($AI51-$AH51&lt;1,($AH51&gt;Lists!N$22)*($AH51&lt;=Lists!N$21),MAX(0,MIN(Lists!N$21,$AI51)-MAX(Lists!N$22,$AH51))/($AI51-$AH51))+N($F51)*IF($AK51-$AJ51&lt;1,($AJ51&gt;Lists!N$22)*($AJ51&lt;=Lists!N$21),MAX(0,MIN(Lists!N$21,$AK51)-MAX(Lists!N$22,$AJ51))/($AK51-$AJ51))+N($G51)*IF($AM51-$AL51&lt;1,($AL51&gt;Lists!N$22)*($AL51&lt;=Lists!N$21),MAX(0,MIN(Lists!N$21,$AM51)-MAX(Lists!N$22,$AL51))/($AM51-$AL51))))))))</f>
        <v>0</v>
      </c>
      <c r="Y51" s="53" t="n">
        <f aca="false">IF($H51=0,0,IF($AP51="X",0,IF($AP51="S",$H51/$AO51*(MIN($AO51,MAX(0,INT((Lists!O$21-N($J51))/7)+1))-MIN($AO51,MAX(0,INT((Lists!O$22-N($J51))/7)+1))),IF($AP51="D",$H51*MAX(0,MIN(Lists!O$21,N($J51)+$AO51)-MAX(Lists!O$22,N($J51)))/$AO51,IF($AP51="M",$H51/$AO51*(IF(Lists!O$21&lt;$J51,0,MIN($AO51,(((YEAR(Lists!O$21)-YEAR($J51))*12+MONTH(Lists!O$21)-MONTH($J51))-(EDATE($J51,((YEAR(Lists!O$21)-YEAR($J51))*12+MONTH(Lists!O$21)-MONTH($J51)))&gt;Lists!O$21)+1)))-IF(Lists!O$22&lt;$J51,0,MIN($AO51,(((YEAR(Lists!O$22)-YEAR($J51))*12+MONTH(Lists!O$22)-MONTH($J51))-(EDATE($J51,((YEAR(Lists!O$22)-YEAR($J51))*12+MONTH(Lists!O$22)-MONTH($J51)))&gt;Lists!O$22)+1)))),IF($AP51="F",IF(N($K51)&lt;=0,0,MIN(MAX(0,$H51),N($K51)*IF(Lists!O$21&lt;$J51,0,(((YEAR(Lists!O$21)-YEAR($J51))*12+MONTH(Lists!O$21)-MONTH($J51))-(EDATE($J51,((YEAR(Lists!O$21)-YEAR($J51))*12+MONTH(Lists!O$21)-MONTH($J51)))&gt;Lists!O$21)+1)))-MIN(MAX(0,$H51),N($K51)*IF(Lists!O$22&lt;$J51,0,(((YEAR(Lists!O$22)-YEAR($J51))*12+MONTH(Lists!O$22)-MONTH($J51))-(EDATE($J51,((YEAR(Lists!O$22)-YEAR($J51))*12+MONTH(Lists!O$22)-MONTH($J51)))&gt;Lists!O$22)+1)))),N($C51)*IF($AE51-$AD51&lt;1,($AD51&gt;Lists!O$22)*($AD51&lt;=Lists!O$21),MAX(0,MIN(Lists!O$21,$AE51)-MAX(Lists!O$22,$AD51))/($AE51-$AD51))+N($D51)*IF($AG51-$AF51&lt;1,($AF51&gt;Lists!O$22)*($AF51&lt;=Lists!O$21),MAX(0,MIN(Lists!O$21,$AG51)-MAX(Lists!O$22,$AF51))/($AG51-$AF51))+N($E51)*IF($AI51-$AH51&lt;1,($AH51&gt;Lists!O$22)*($AH51&lt;=Lists!O$21),MAX(0,MIN(Lists!O$21,$AI51)-MAX(Lists!O$22,$AH51))/($AI51-$AH51))+N($F51)*IF($AK51-$AJ51&lt;1,($AJ51&gt;Lists!O$22)*($AJ51&lt;=Lists!O$21),MAX(0,MIN(Lists!O$21,$AK51)-MAX(Lists!O$22,$AJ51))/($AK51-$AJ51))+N($G51)*IF($AM51-$AL51&lt;1,($AL51&gt;Lists!O$22)*($AL51&lt;=Lists!O$21),MAX(0,MIN(Lists!O$21,$AM51)-MAX(Lists!O$22,$AL51))/($AM51-$AL51))))))))</f>
        <v>0</v>
      </c>
      <c r="Z51" s="46" t="n">
        <f aca="false">SUM(M51:Y51)</f>
        <v>0</v>
      </c>
      <c r="AA51" s="92" t="n">
        <f aca="false">H51-Z51</f>
        <v>0</v>
      </c>
      <c r="AB51" s="55"/>
      <c r="AC51" s="2"/>
      <c r="AD51" s="93" t="n">
        <f aca="false">Setup!$D$10+MAX(0,$AN51-30)</f>
        <v>46345</v>
      </c>
      <c r="AE51" s="93" t="n">
        <f aca="false">Setup!$D$10+IF($AN51-30&lt;0,MAX(Setup!$D$22,$AN51-0),$AN51-0)</f>
        <v>46375</v>
      </c>
      <c r="AF51" s="93" t="n">
        <f aca="false">Setup!$D$10+MAX(0,$AN51-60)</f>
        <v>46335</v>
      </c>
      <c r="AG51" s="93" t="n">
        <f aca="false">Setup!$D$10+IF($AN51-60&lt;0,MAX(Setup!$D$22,$AN51-31),$AN51-31)</f>
        <v>46363</v>
      </c>
      <c r="AH51" s="93" t="n">
        <f aca="false">Setup!$D$10+MAX(0,$AN51-90)</f>
        <v>46335</v>
      </c>
      <c r="AI51" s="93" t="n">
        <f aca="false">Setup!$D$10+IF($AN51-90&lt;0,MAX(Setup!$D$22,$AN51-61),$AN51-61)</f>
        <v>46363</v>
      </c>
      <c r="AJ51" s="93" t="n">
        <f aca="false">Setup!$D$10+MAX(0,$AN51-120)</f>
        <v>46335</v>
      </c>
      <c r="AK51" s="93" t="n">
        <f aca="false">Setup!$D$10+IF($AN51-120&lt;0,MAX(Setup!$D$22,$AN51-91),$AN51-91)</f>
        <v>46363</v>
      </c>
      <c r="AL51" s="93" t="n">
        <f aca="false">Setup!$D$10</f>
        <v>46335</v>
      </c>
      <c r="AM51" s="93" t="n">
        <f aca="false">IF(AL51=2958465,AL51,Setup!$D$10+Setup!$D$22)</f>
        <v>46363</v>
      </c>
      <c r="AN51" s="94" t="n">
        <f aca="false">IF(N(L51)=0,Setup!$D$21,L51)</f>
        <v>40</v>
      </c>
      <c r="AO51" s="94" t="n">
        <f aca="false">MAX(1,ROUND(N(K51),0))</f>
        <v>1</v>
      </c>
      <c r="AP51" s="95" t="str">
        <f aca="false">IF(I51="On hold","X",IF(N(J51)=0,"A",IF(I51="Specific date","S",IF(I51="Spread over days","D",IF(I51="Monthly on set day","M",IF(I51="Monthly fixed amount","F","A"))))))</f>
        <v>A</v>
      </c>
    </row>
    <row r="52" customFormat="false" ht="15" hidden="false" customHeight="false" outlineLevel="0" collapsed="false">
      <c r="A52" s="87" t="n">
        <v>44</v>
      </c>
      <c r="B52" s="55"/>
      <c r="C52" s="88"/>
      <c r="D52" s="88"/>
      <c r="E52" s="88"/>
      <c r="F52" s="88"/>
      <c r="G52" s="88"/>
      <c r="H52" s="89" t="n">
        <f aca="false">SUM(C52:G52)</f>
        <v>0</v>
      </c>
      <c r="I52" s="58"/>
      <c r="J52" s="90"/>
      <c r="K52" s="91"/>
      <c r="L52" s="80"/>
      <c r="M52" s="53" t="n">
        <f aca="false">IF($H52=0,0,IF($AP52="X",0,IF($AP52="S",$H52/$AO52*(MIN($AO52,MAX(0,INT((Lists!C$21-N($J52))/7)+1))-MIN($AO52,MAX(0,INT((Lists!C$22-N($J52))/7)+1))),IF($AP52="D",$H52*MAX(0,MIN(Lists!C$21,N($J52)+$AO52)-MAX(Lists!C$22,N($J52)))/$AO52,IF($AP52="M",$H52/$AO52*(IF(Lists!C$21&lt;$J52,0,MIN($AO52,(((YEAR(Lists!C$21)-YEAR($J52))*12+MONTH(Lists!C$21)-MONTH($J52))-(EDATE($J52,((YEAR(Lists!C$21)-YEAR($J52))*12+MONTH(Lists!C$21)-MONTH($J52)))&gt;Lists!C$21)+1)))-IF(Lists!C$22&lt;$J52,0,MIN($AO52,(((YEAR(Lists!C$22)-YEAR($J52))*12+MONTH(Lists!C$22)-MONTH($J52))-(EDATE($J52,((YEAR(Lists!C$22)-YEAR($J52))*12+MONTH(Lists!C$22)-MONTH($J52)))&gt;Lists!C$22)+1)))),IF($AP52="F",IF(N($K52)&lt;=0,0,MIN(MAX(0,$H52),N($K52)*IF(Lists!C$21&lt;$J52,0,(((YEAR(Lists!C$21)-YEAR($J52))*12+MONTH(Lists!C$21)-MONTH($J52))-(EDATE($J52,((YEAR(Lists!C$21)-YEAR($J52))*12+MONTH(Lists!C$21)-MONTH($J52)))&gt;Lists!C$21)+1)))-MIN(MAX(0,$H52),N($K52)*IF(Lists!C$22&lt;$J52,0,(((YEAR(Lists!C$22)-YEAR($J52))*12+MONTH(Lists!C$22)-MONTH($J52))-(EDATE($J52,((YEAR(Lists!C$22)-YEAR($J52))*12+MONTH(Lists!C$22)-MONTH($J52)))&gt;Lists!C$22)+1)))),N($C52)*IF($AE52-$AD52&lt;1,($AD52&gt;Lists!C$22)*($AD52&lt;=Lists!C$21),MAX(0,MIN(Lists!C$21,$AE52)-MAX(Lists!C$22,$AD52))/($AE52-$AD52))+N($D52)*IF($AG52-$AF52&lt;1,($AF52&gt;Lists!C$22)*($AF52&lt;=Lists!C$21),MAX(0,MIN(Lists!C$21,$AG52)-MAX(Lists!C$22,$AF52))/($AG52-$AF52))+N($E52)*IF($AI52-$AH52&lt;1,($AH52&gt;Lists!C$22)*($AH52&lt;=Lists!C$21),MAX(0,MIN(Lists!C$21,$AI52)-MAX(Lists!C$22,$AH52))/($AI52-$AH52))+N($F52)*IF($AK52-$AJ52&lt;1,($AJ52&gt;Lists!C$22)*($AJ52&lt;=Lists!C$21),MAX(0,MIN(Lists!C$21,$AK52)-MAX(Lists!C$22,$AJ52))/($AK52-$AJ52))+N($G52)*IF($AM52-$AL52&lt;1,($AL52&gt;Lists!C$22)*($AL52&lt;=Lists!C$21),MAX(0,MIN(Lists!C$21,$AM52)-MAX(Lists!C$22,$AL52))/($AM52-$AL52))))))))</f>
        <v>0</v>
      </c>
      <c r="N52" s="53" t="n">
        <f aca="false">IF($H52=0,0,IF($AP52="X",0,IF($AP52="S",$H52/$AO52*(MIN($AO52,MAX(0,INT((Lists!D$21-N($J52))/7)+1))-MIN($AO52,MAX(0,INT((Lists!D$22-N($J52))/7)+1))),IF($AP52="D",$H52*MAX(0,MIN(Lists!D$21,N($J52)+$AO52)-MAX(Lists!D$22,N($J52)))/$AO52,IF($AP52="M",$H52/$AO52*(IF(Lists!D$21&lt;$J52,0,MIN($AO52,(((YEAR(Lists!D$21)-YEAR($J52))*12+MONTH(Lists!D$21)-MONTH($J52))-(EDATE($J52,((YEAR(Lists!D$21)-YEAR($J52))*12+MONTH(Lists!D$21)-MONTH($J52)))&gt;Lists!D$21)+1)))-IF(Lists!D$22&lt;$J52,0,MIN($AO52,(((YEAR(Lists!D$22)-YEAR($J52))*12+MONTH(Lists!D$22)-MONTH($J52))-(EDATE($J52,((YEAR(Lists!D$22)-YEAR($J52))*12+MONTH(Lists!D$22)-MONTH($J52)))&gt;Lists!D$22)+1)))),IF($AP52="F",IF(N($K52)&lt;=0,0,MIN(MAX(0,$H52),N($K52)*IF(Lists!D$21&lt;$J52,0,(((YEAR(Lists!D$21)-YEAR($J52))*12+MONTH(Lists!D$21)-MONTH($J52))-(EDATE($J52,((YEAR(Lists!D$21)-YEAR($J52))*12+MONTH(Lists!D$21)-MONTH($J52)))&gt;Lists!D$21)+1)))-MIN(MAX(0,$H52),N($K52)*IF(Lists!D$22&lt;$J52,0,(((YEAR(Lists!D$22)-YEAR($J52))*12+MONTH(Lists!D$22)-MONTH($J52))-(EDATE($J52,((YEAR(Lists!D$22)-YEAR($J52))*12+MONTH(Lists!D$22)-MONTH($J52)))&gt;Lists!D$22)+1)))),N($C52)*IF($AE52-$AD52&lt;1,($AD52&gt;Lists!D$22)*($AD52&lt;=Lists!D$21),MAX(0,MIN(Lists!D$21,$AE52)-MAX(Lists!D$22,$AD52))/($AE52-$AD52))+N($D52)*IF($AG52-$AF52&lt;1,($AF52&gt;Lists!D$22)*($AF52&lt;=Lists!D$21),MAX(0,MIN(Lists!D$21,$AG52)-MAX(Lists!D$22,$AF52))/($AG52-$AF52))+N($E52)*IF($AI52-$AH52&lt;1,($AH52&gt;Lists!D$22)*($AH52&lt;=Lists!D$21),MAX(0,MIN(Lists!D$21,$AI52)-MAX(Lists!D$22,$AH52))/($AI52-$AH52))+N($F52)*IF($AK52-$AJ52&lt;1,($AJ52&gt;Lists!D$22)*($AJ52&lt;=Lists!D$21),MAX(0,MIN(Lists!D$21,$AK52)-MAX(Lists!D$22,$AJ52))/($AK52-$AJ52))+N($G52)*IF($AM52-$AL52&lt;1,($AL52&gt;Lists!D$22)*($AL52&lt;=Lists!D$21),MAX(0,MIN(Lists!D$21,$AM52)-MAX(Lists!D$22,$AL52))/($AM52-$AL52))))))))</f>
        <v>0</v>
      </c>
      <c r="O52" s="53" t="n">
        <f aca="false">IF($H52=0,0,IF($AP52="X",0,IF($AP52="S",$H52/$AO52*(MIN($AO52,MAX(0,INT((Lists!E$21-N($J52))/7)+1))-MIN($AO52,MAX(0,INT((Lists!E$22-N($J52))/7)+1))),IF($AP52="D",$H52*MAX(0,MIN(Lists!E$21,N($J52)+$AO52)-MAX(Lists!E$22,N($J52)))/$AO52,IF($AP52="M",$H52/$AO52*(IF(Lists!E$21&lt;$J52,0,MIN($AO52,(((YEAR(Lists!E$21)-YEAR($J52))*12+MONTH(Lists!E$21)-MONTH($J52))-(EDATE($J52,((YEAR(Lists!E$21)-YEAR($J52))*12+MONTH(Lists!E$21)-MONTH($J52)))&gt;Lists!E$21)+1)))-IF(Lists!E$22&lt;$J52,0,MIN($AO52,(((YEAR(Lists!E$22)-YEAR($J52))*12+MONTH(Lists!E$22)-MONTH($J52))-(EDATE($J52,((YEAR(Lists!E$22)-YEAR($J52))*12+MONTH(Lists!E$22)-MONTH($J52)))&gt;Lists!E$22)+1)))),IF($AP52="F",IF(N($K52)&lt;=0,0,MIN(MAX(0,$H52),N($K52)*IF(Lists!E$21&lt;$J52,0,(((YEAR(Lists!E$21)-YEAR($J52))*12+MONTH(Lists!E$21)-MONTH($J52))-(EDATE($J52,((YEAR(Lists!E$21)-YEAR($J52))*12+MONTH(Lists!E$21)-MONTH($J52)))&gt;Lists!E$21)+1)))-MIN(MAX(0,$H52),N($K52)*IF(Lists!E$22&lt;$J52,0,(((YEAR(Lists!E$22)-YEAR($J52))*12+MONTH(Lists!E$22)-MONTH($J52))-(EDATE($J52,((YEAR(Lists!E$22)-YEAR($J52))*12+MONTH(Lists!E$22)-MONTH($J52)))&gt;Lists!E$22)+1)))),N($C52)*IF($AE52-$AD52&lt;1,($AD52&gt;Lists!E$22)*($AD52&lt;=Lists!E$21),MAX(0,MIN(Lists!E$21,$AE52)-MAX(Lists!E$22,$AD52))/($AE52-$AD52))+N($D52)*IF($AG52-$AF52&lt;1,($AF52&gt;Lists!E$22)*($AF52&lt;=Lists!E$21),MAX(0,MIN(Lists!E$21,$AG52)-MAX(Lists!E$22,$AF52))/($AG52-$AF52))+N($E52)*IF($AI52-$AH52&lt;1,($AH52&gt;Lists!E$22)*($AH52&lt;=Lists!E$21),MAX(0,MIN(Lists!E$21,$AI52)-MAX(Lists!E$22,$AH52))/($AI52-$AH52))+N($F52)*IF($AK52-$AJ52&lt;1,($AJ52&gt;Lists!E$22)*($AJ52&lt;=Lists!E$21),MAX(0,MIN(Lists!E$21,$AK52)-MAX(Lists!E$22,$AJ52))/($AK52-$AJ52))+N($G52)*IF($AM52-$AL52&lt;1,($AL52&gt;Lists!E$22)*($AL52&lt;=Lists!E$21),MAX(0,MIN(Lists!E$21,$AM52)-MAX(Lists!E$22,$AL52))/($AM52-$AL52))))))))</f>
        <v>0</v>
      </c>
      <c r="P52" s="53" t="n">
        <f aca="false">IF($H52=0,0,IF($AP52="X",0,IF($AP52="S",$H52/$AO52*(MIN($AO52,MAX(0,INT((Lists!F$21-N($J52))/7)+1))-MIN($AO52,MAX(0,INT((Lists!F$22-N($J52))/7)+1))),IF($AP52="D",$H52*MAX(0,MIN(Lists!F$21,N($J52)+$AO52)-MAX(Lists!F$22,N($J52)))/$AO52,IF($AP52="M",$H52/$AO52*(IF(Lists!F$21&lt;$J52,0,MIN($AO52,(((YEAR(Lists!F$21)-YEAR($J52))*12+MONTH(Lists!F$21)-MONTH($J52))-(EDATE($J52,((YEAR(Lists!F$21)-YEAR($J52))*12+MONTH(Lists!F$21)-MONTH($J52)))&gt;Lists!F$21)+1)))-IF(Lists!F$22&lt;$J52,0,MIN($AO52,(((YEAR(Lists!F$22)-YEAR($J52))*12+MONTH(Lists!F$22)-MONTH($J52))-(EDATE($J52,((YEAR(Lists!F$22)-YEAR($J52))*12+MONTH(Lists!F$22)-MONTH($J52)))&gt;Lists!F$22)+1)))),IF($AP52="F",IF(N($K52)&lt;=0,0,MIN(MAX(0,$H52),N($K52)*IF(Lists!F$21&lt;$J52,0,(((YEAR(Lists!F$21)-YEAR($J52))*12+MONTH(Lists!F$21)-MONTH($J52))-(EDATE($J52,((YEAR(Lists!F$21)-YEAR($J52))*12+MONTH(Lists!F$21)-MONTH($J52)))&gt;Lists!F$21)+1)))-MIN(MAX(0,$H52),N($K52)*IF(Lists!F$22&lt;$J52,0,(((YEAR(Lists!F$22)-YEAR($J52))*12+MONTH(Lists!F$22)-MONTH($J52))-(EDATE($J52,((YEAR(Lists!F$22)-YEAR($J52))*12+MONTH(Lists!F$22)-MONTH($J52)))&gt;Lists!F$22)+1)))),N($C52)*IF($AE52-$AD52&lt;1,($AD52&gt;Lists!F$22)*($AD52&lt;=Lists!F$21),MAX(0,MIN(Lists!F$21,$AE52)-MAX(Lists!F$22,$AD52))/($AE52-$AD52))+N($D52)*IF($AG52-$AF52&lt;1,($AF52&gt;Lists!F$22)*($AF52&lt;=Lists!F$21),MAX(0,MIN(Lists!F$21,$AG52)-MAX(Lists!F$22,$AF52))/($AG52-$AF52))+N($E52)*IF($AI52-$AH52&lt;1,($AH52&gt;Lists!F$22)*($AH52&lt;=Lists!F$21),MAX(0,MIN(Lists!F$21,$AI52)-MAX(Lists!F$22,$AH52))/($AI52-$AH52))+N($F52)*IF($AK52-$AJ52&lt;1,($AJ52&gt;Lists!F$22)*($AJ52&lt;=Lists!F$21),MAX(0,MIN(Lists!F$21,$AK52)-MAX(Lists!F$22,$AJ52))/($AK52-$AJ52))+N($G52)*IF($AM52-$AL52&lt;1,($AL52&gt;Lists!F$22)*($AL52&lt;=Lists!F$21),MAX(0,MIN(Lists!F$21,$AM52)-MAX(Lists!F$22,$AL52))/($AM52-$AL52))))))))</f>
        <v>0</v>
      </c>
      <c r="Q52" s="53" t="n">
        <f aca="false">IF($H52=0,0,IF($AP52="X",0,IF($AP52="S",$H52/$AO52*(MIN($AO52,MAX(0,INT((Lists!G$21-N($J52))/7)+1))-MIN($AO52,MAX(0,INT((Lists!G$22-N($J52))/7)+1))),IF($AP52="D",$H52*MAX(0,MIN(Lists!G$21,N($J52)+$AO52)-MAX(Lists!G$22,N($J52)))/$AO52,IF($AP52="M",$H52/$AO52*(IF(Lists!G$21&lt;$J52,0,MIN($AO52,(((YEAR(Lists!G$21)-YEAR($J52))*12+MONTH(Lists!G$21)-MONTH($J52))-(EDATE($J52,((YEAR(Lists!G$21)-YEAR($J52))*12+MONTH(Lists!G$21)-MONTH($J52)))&gt;Lists!G$21)+1)))-IF(Lists!G$22&lt;$J52,0,MIN($AO52,(((YEAR(Lists!G$22)-YEAR($J52))*12+MONTH(Lists!G$22)-MONTH($J52))-(EDATE($J52,((YEAR(Lists!G$22)-YEAR($J52))*12+MONTH(Lists!G$22)-MONTH($J52)))&gt;Lists!G$22)+1)))),IF($AP52="F",IF(N($K52)&lt;=0,0,MIN(MAX(0,$H52),N($K52)*IF(Lists!G$21&lt;$J52,0,(((YEAR(Lists!G$21)-YEAR($J52))*12+MONTH(Lists!G$21)-MONTH($J52))-(EDATE($J52,((YEAR(Lists!G$21)-YEAR($J52))*12+MONTH(Lists!G$21)-MONTH($J52)))&gt;Lists!G$21)+1)))-MIN(MAX(0,$H52),N($K52)*IF(Lists!G$22&lt;$J52,0,(((YEAR(Lists!G$22)-YEAR($J52))*12+MONTH(Lists!G$22)-MONTH($J52))-(EDATE($J52,((YEAR(Lists!G$22)-YEAR($J52))*12+MONTH(Lists!G$22)-MONTH($J52)))&gt;Lists!G$22)+1)))),N($C52)*IF($AE52-$AD52&lt;1,($AD52&gt;Lists!G$22)*($AD52&lt;=Lists!G$21),MAX(0,MIN(Lists!G$21,$AE52)-MAX(Lists!G$22,$AD52))/($AE52-$AD52))+N($D52)*IF($AG52-$AF52&lt;1,($AF52&gt;Lists!G$22)*($AF52&lt;=Lists!G$21),MAX(0,MIN(Lists!G$21,$AG52)-MAX(Lists!G$22,$AF52))/($AG52-$AF52))+N($E52)*IF($AI52-$AH52&lt;1,($AH52&gt;Lists!G$22)*($AH52&lt;=Lists!G$21),MAX(0,MIN(Lists!G$21,$AI52)-MAX(Lists!G$22,$AH52))/($AI52-$AH52))+N($F52)*IF($AK52-$AJ52&lt;1,($AJ52&gt;Lists!G$22)*($AJ52&lt;=Lists!G$21),MAX(0,MIN(Lists!G$21,$AK52)-MAX(Lists!G$22,$AJ52))/($AK52-$AJ52))+N($G52)*IF($AM52-$AL52&lt;1,($AL52&gt;Lists!G$22)*($AL52&lt;=Lists!G$21),MAX(0,MIN(Lists!G$21,$AM52)-MAX(Lists!G$22,$AL52))/($AM52-$AL52))))))))</f>
        <v>0</v>
      </c>
      <c r="R52" s="53" t="n">
        <f aca="false">IF($H52=0,0,IF($AP52="X",0,IF($AP52="S",$H52/$AO52*(MIN($AO52,MAX(0,INT((Lists!H$21-N($J52))/7)+1))-MIN($AO52,MAX(0,INT((Lists!H$22-N($J52))/7)+1))),IF($AP52="D",$H52*MAX(0,MIN(Lists!H$21,N($J52)+$AO52)-MAX(Lists!H$22,N($J52)))/$AO52,IF($AP52="M",$H52/$AO52*(IF(Lists!H$21&lt;$J52,0,MIN($AO52,(((YEAR(Lists!H$21)-YEAR($J52))*12+MONTH(Lists!H$21)-MONTH($J52))-(EDATE($J52,((YEAR(Lists!H$21)-YEAR($J52))*12+MONTH(Lists!H$21)-MONTH($J52)))&gt;Lists!H$21)+1)))-IF(Lists!H$22&lt;$J52,0,MIN($AO52,(((YEAR(Lists!H$22)-YEAR($J52))*12+MONTH(Lists!H$22)-MONTH($J52))-(EDATE($J52,((YEAR(Lists!H$22)-YEAR($J52))*12+MONTH(Lists!H$22)-MONTH($J52)))&gt;Lists!H$22)+1)))),IF($AP52="F",IF(N($K52)&lt;=0,0,MIN(MAX(0,$H52),N($K52)*IF(Lists!H$21&lt;$J52,0,(((YEAR(Lists!H$21)-YEAR($J52))*12+MONTH(Lists!H$21)-MONTH($J52))-(EDATE($J52,((YEAR(Lists!H$21)-YEAR($J52))*12+MONTH(Lists!H$21)-MONTH($J52)))&gt;Lists!H$21)+1)))-MIN(MAX(0,$H52),N($K52)*IF(Lists!H$22&lt;$J52,0,(((YEAR(Lists!H$22)-YEAR($J52))*12+MONTH(Lists!H$22)-MONTH($J52))-(EDATE($J52,((YEAR(Lists!H$22)-YEAR($J52))*12+MONTH(Lists!H$22)-MONTH($J52)))&gt;Lists!H$22)+1)))),N($C52)*IF($AE52-$AD52&lt;1,($AD52&gt;Lists!H$22)*($AD52&lt;=Lists!H$21),MAX(0,MIN(Lists!H$21,$AE52)-MAX(Lists!H$22,$AD52))/($AE52-$AD52))+N($D52)*IF($AG52-$AF52&lt;1,($AF52&gt;Lists!H$22)*($AF52&lt;=Lists!H$21),MAX(0,MIN(Lists!H$21,$AG52)-MAX(Lists!H$22,$AF52))/($AG52-$AF52))+N($E52)*IF($AI52-$AH52&lt;1,($AH52&gt;Lists!H$22)*($AH52&lt;=Lists!H$21),MAX(0,MIN(Lists!H$21,$AI52)-MAX(Lists!H$22,$AH52))/($AI52-$AH52))+N($F52)*IF($AK52-$AJ52&lt;1,($AJ52&gt;Lists!H$22)*($AJ52&lt;=Lists!H$21),MAX(0,MIN(Lists!H$21,$AK52)-MAX(Lists!H$22,$AJ52))/($AK52-$AJ52))+N($G52)*IF($AM52-$AL52&lt;1,($AL52&gt;Lists!H$22)*($AL52&lt;=Lists!H$21),MAX(0,MIN(Lists!H$21,$AM52)-MAX(Lists!H$22,$AL52))/($AM52-$AL52))))))))</f>
        <v>0</v>
      </c>
      <c r="S52" s="53" t="n">
        <f aca="false">IF($H52=0,0,IF($AP52="X",0,IF($AP52="S",$H52/$AO52*(MIN($AO52,MAX(0,INT((Lists!I$21-N($J52))/7)+1))-MIN($AO52,MAX(0,INT((Lists!I$22-N($J52))/7)+1))),IF($AP52="D",$H52*MAX(0,MIN(Lists!I$21,N($J52)+$AO52)-MAX(Lists!I$22,N($J52)))/$AO52,IF($AP52="M",$H52/$AO52*(IF(Lists!I$21&lt;$J52,0,MIN($AO52,(((YEAR(Lists!I$21)-YEAR($J52))*12+MONTH(Lists!I$21)-MONTH($J52))-(EDATE($J52,((YEAR(Lists!I$21)-YEAR($J52))*12+MONTH(Lists!I$21)-MONTH($J52)))&gt;Lists!I$21)+1)))-IF(Lists!I$22&lt;$J52,0,MIN($AO52,(((YEAR(Lists!I$22)-YEAR($J52))*12+MONTH(Lists!I$22)-MONTH($J52))-(EDATE($J52,((YEAR(Lists!I$22)-YEAR($J52))*12+MONTH(Lists!I$22)-MONTH($J52)))&gt;Lists!I$22)+1)))),IF($AP52="F",IF(N($K52)&lt;=0,0,MIN(MAX(0,$H52),N($K52)*IF(Lists!I$21&lt;$J52,0,(((YEAR(Lists!I$21)-YEAR($J52))*12+MONTH(Lists!I$21)-MONTH($J52))-(EDATE($J52,((YEAR(Lists!I$21)-YEAR($J52))*12+MONTH(Lists!I$21)-MONTH($J52)))&gt;Lists!I$21)+1)))-MIN(MAX(0,$H52),N($K52)*IF(Lists!I$22&lt;$J52,0,(((YEAR(Lists!I$22)-YEAR($J52))*12+MONTH(Lists!I$22)-MONTH($J52))-(EDATE($J52,((YEAR(Lists!I$22)-YEAR($J52))*12+MONTH(Lists!I$22)-MONTH($J52)))&gt;Lists!I$22)+1)))),N($C52)*IF($AE52-$AD52&lt;1,($AD52&gt;Lists!I$22)*($AD52&lt;=Lists!I$21),MAX(0,MIN(Lists!I$21,$AE52)-MAX(Lists!I$22,$AD52))/($AE52-$AD52))+N($D52)*IF($AG52-$AF52&lt;1,($AF52&gt;Lists!I$22)*($AF52&lt;=Lists!I$21),MAX(0,MIN(Lists!I$21,$AG52)-MAX(Lists!I$22,$AF52))/($AG52-$AF52))+N($E52)*IF($AI52-$AH52&lt;1,($AH52&gt;Lists!I$22)*($AH52&lt;=Lists!I$21),MAX(0,MIN(Lists!I$21,$AI52)-MAX(Lists!I$22,$AH52))/($AI52-$AH52))+N($F52)*IF($AK52-$AJ52&lt;1,($AJ52&gt;Lists!I$22)*($AJ52&lt;=Lists!I$21),MAX(0,MIN(Lists!I$21,$AK52)-MAX(Lists!I$22,$AJ52))/($AK52-$AJ52))+N($G52)*IF($AM52-$AL52&lt;1,($AL52&gt;Lists!I$22)*($AL52&lt;=Lists!I$21),MAX(0,MIN(Lists!I$21,$AM52)-MAX(Lists!I$22,$AL52))/($AM52-$AL52))))))))</f>
        <v>0</v>
      </c>
      <c r="T52" s="53" t="n">
        <f aca="false">IF($H52=0,0,IF($AP52="X",0,IF($AP52="S",$H52/$AO52*(MIN($AO52,MAX(0,INT((Lists!J$21-N($J52))/7)+1))-MIN($AO52,MAX(0,INT((Lists!J$22-N($J52))/7)+1))),IF($AP52="D",$H52*MAX(0,MIN(Lists!J$21,N($J52)+$AO52)-MAX(Lists!J$22,N($J52)))/$AO52,IF($AP52="M",$H52/$AO52*(IF(Lists!J$21&lt;$J52,0,MIN($AO52,(((YEAR(Lists!J$21)-YEAR($J52))*12+MONTH(Lists!J$21)-MONTH($J52))-(EDATE($J52,((YEAR(Lists!J$21)-YEAR($J52))*12+MONTH(Lists!J$21)-MONTH($J52)))&gt;Lists!J$21)+1)))-IF(Lists!J$22&lt;$J52,0,MIN($AO52,(((YEAR(Lists!J$22)-YEAR($J52))*12+MONTH(Lists!J$22)-MONTH($J52))-(EDATE($J52,((YEAR(Lists!J$22)-YEAR($J52))*12+MONTH(Lists!J$22)-MONTH($J52)))&gt;Lists!J$22)+1)))),IF($AP52="F",IF(N($K52)&lt;=0,0,MIN(MAX(0,$H52),N($K52)*IF(Lists!J$21&lt;$J52,0,(((YEAR(Lists!J$21)-YEAR($J52))*12+MONTH(Lists!J$21)-MONTH($J52))-(EDATE($J52,((YEAR(Lists!J$21)-YEAR($J52))*12+MONTH(Lists!J$21)-MONTH($J52)))&gt;Lists!J$21)+1)))-MIN(MAX(0,$H52),N($K52)*IF(Lists!J$22&lt;$J52,0,(((YEAR(Lists!J$22)-YEAR($J52))*12+MONTH(Lists!J$22)-MONTH($J52))-(EDATE($J52,((YEAR(Lists!J$22)-YEAR($J52))*12+MONTH(Lists!J$22)-MONTH($J52)))&gt;Lists!J$22)+1)))),N($C52)*IF($AE52-$AD52&lt;1,($AD52&gt;Lists!J$22)*($AD52&lt;=Lists!J$21),MAX(0,MIN(Lists!J$21,$AE52)-MAX(Lists!J$22,$AD52))/($AE52-$AD52))+N($D52)*IF($AG52-$AF52&lt;1,($AF52&gt;Lists!J$22)*($AF52&lt;=Lists!J$21),MAX(0,MIN(Lists!J$21,$AG52)-MAX(Lists!J$22,$AF52))/($AG52-$AF52))+N($E52)*IF($AI52-$AH52&lt;1,($AH52&gt;Lists!J$22)*($AH52&lt;=Lists!J$21),MAX(0,MIN(Lists!J$21,$AI52)-MAX(Lists!J$22,$AH52))/($AI52-$AH52))+N($F52)*IF($AK52-$AJ52&lt;1,($AJ52&gt;Lists!J$22)*($AJ52&lt;=Lists!J$21),MAX(0,MIN(Lists!J$21,$AK52)-MAX(Lists!J$22,$AJ52))/($AK52-$AJ52))+N($G52)*IF($AM52-$AL52&lt;1,($AL52&gt;Lists!J$22)*($AL52&lt;=Lists!J$21),MAX(0,MIN(Lists!J$21,$AM52)-MAX(Lists!J$22,$AL52))/($AM52-$AL52))))))))</f>
        <v>0</v>
      </c>
      <c r="U52" s="53" t="n">
        <f aca="false">IF($H52=0,0,IF($AP52="X",0,IF($AP52="S",$H52/$AO52*(MIN($AO52,MAX(0,INT((Lists!K$21-N($J52))/7)+1))-MIN($AO52,MAX(0,INT((Lists!K$22-N($J52))/7)+1))),IF($AP52="D",$H52*MAX(0,MIN(Lists!K$21,N($J52)+$AO52)-MAX(Lists!K$22,N($J52)))/$AO52,IF($AP52="M",$H52/$AO52*(IF(Lists!K$21&lt;$J52,0,MIN($AO52,(((YEAR(Lists!K$21)-YEAR($J52))*12+MONTH(Lists!K$21)-MONTH($J52))-(EDATE($J52,((YEAR(Lists!K$21)-YEAR($J52))*12+MONTH(Lists!K$21)-MONTH($J52)))&gt;Lists!K$21)+1)))-IF(Lists!K$22&lt;$J52,0,MIN($AO52,(((YEAR(Lists!K$22)-YEAR($J52))*12+MONTH(Lists!K$22)-MONTH($J52))-(EDATE($J52,((YEAR(Lists!K$22)-YEAR($J52))*12+MONTH(Lists!K$22)-MONTH($J52)))&gt;Lists!K$22)+1)))),IF($AP52="F",IF(N($K52)&lt;=0,0,MIN(MAX(0,$H52),N($K52)*IF(Lists!K$21&lt;$J52,0,(((YEAR(Lists!K$21)-YEAR($J52))*12+MONTH(Lists!K$21)-MONTH($J52))-(EDATE($J52,((YEAR(Lists!K$21)-YEAR($J52))*12+MONTH(Lists!K$21)-MONTH($J52)))&gt;Lists!K$21)+1)))-MIN(MAX(0,$H52),N($K52)*IF(Lists!K$22&lt;$J52,0,(((YEAR(Lists!K$22)-YEAR($J52))*12+MONTH(Lists!K$22)-MONTH($J52))-(EDATE($J52,((YEAR(Lists!K$22)-YEAR($J52))*12+MONTH(Lists!K$22)-MONTH($J52)))&gt;Lists!K$22)+1)))),N($C52)*IF($AE52-$AD52&lt;1,($AD52&gt;Lists!K$22)*($AD52&lt;=Lists!K$21),MAX(0,MIN(Lists!K$21,$AE52)-MAX(Lists!K$22,$AD52))/($AE52-$AD52))+N($D52)*IF($AG52-$AF52&lt;1,($AF52&gt;Lists!K$22)*($AF52&lt;=Lists!K$21),MAX(0,MIN(Lists!K$21,$AG52)-MAX(Lists!K$22,$AF52))/($AG52-$AF52))+N($E52)*IF($AI52-$AH52&lt;1,($AH52&gt;Lists!K$22)*($AH52&lt;=Lists!K$21),MAX(0,MIN(Lists!K$21,$AI52)-MAX(Lists!K$22,$AH52))/($AI52-$AH52))+N($F52)*IF($AK52-$AJ52&lt;1,($AJ52&gt;Lists!K$22)*($AJ52&lt;=Lists!K$21),MAX(0,MIN(Lists!K$21,$AK52)-MAX(Lists!K$22,$AJ52))/($AK52-$AJ52))+N($G52)*IF($AM52-$AL52&lt;1,($AL52&gt;Lists!K$22)*($AL52&lt;=Lists!K$21),MAX(0,MIN(Lists!K$21,$AM52)-MAX(Lists!K$22,$AL52))/($AM52-$AL52))))))))</f>
        <v>0</v>
      </c>
      <c r="V52" s="53" t="n">
        <f aca="false">IF($H52=0,0,IF($AP52="X",0,IF($AP52="S",$H52/$AO52*(MIN($AO52,MAX(0,INT((Lists!L$21-N($J52))/7)+1))-MIN($AO52,MAX(0,INT((Lists!L$22-N($J52))/7)+1))),IF($AP52="D",$H52*MAX(0,MIN(Lists!L$21,N($J52)+$AO52)-MAX(Lists!L$22,N($J52)))/$AO52,IF($AP52="M",$H52/$AO52*(IF(Lists!L$21&lt;$J52,0,MIN($AO52,(((YEAR(Lists!L$21)-YEAR($J52))*12+MONTH(Lists!L$21)-MONTH($J52))-(EDATE($J52,((YEAR(Lists!L$21)-YEAR($J52))*12+MONTH(Lists!L$21)-MONTH($J52)))&gt;Lists!L$21)+1)))-IF(Lists!L$22&lt;$J52,0,MIN($AO52,(((YEAR(Lists!L$22)-YEAR($J52))*12+MONTH(Lists!L$22)-MONTH($J52))-(EDATE($J52,((YEAR(Lists!L$22)-YEAR($J52))*12+MONTH(Lists!L$22)-MONTH($J52)))&gt;Lists!L$22)+1)))),IF($AP52="F",IF(N($K52)&lt;=0,0,MIN(MAX(0,$H52),N($K52)*IF(Lists!L$21&lt;$J52,0,(((YEAR(Lists!L$21)-YEAR($J52))*12+MONTH(Lists!L$21)-MONTH($J52))-(EDATE($J52,((YEAR(Lists!L$21)-YEAR($J52))*12+MONTH(Lists!L$21)-MONTH($J52)))&gt;Lists!L$21)+1)))-MIN(MAX(0,$H52),N($K52)*IF(Lists!L$22&lt;$J52,0,(((YEAR(Lists!L$22)-YEAR($J52))*12+MONTH(Lists!L$22)-MONTH($J52))-(EDATE($J52,((YEAR(Lists!L$22)-YEAR($J52))*12+MONTH(Lists!L$22)-MONTH($J52)))&gt;Lists!L$22)+1)))),N($C52)*IF($AE52-$AD52&lt;1,($AD52&gt;Lists!L$22)*($AD52&lt;=Lists!L$21),MAX(0,MIN(Lists!L$21,$AE52)-MAX(Lists!L$22,$AD52))/($AE52-$AD52))+N($D52)*IF($AG52-$AF52&lt;1,($AF52&gt;Lists!L$22)*($AF52&lt;=Lists!L$21),MAX(0,MIN(Lists!L$21,$AG52)-MAX(Lists!L$22,$AF52))/($AG52-$AF52))+N($E52)*IF($AI52-$AH52&lt;1,($AH52&gt;Lists!L$22)*($AH52&lt;=Lists!L$21),MAX(0,MIN(Lists!L$21,$AI52)-MAX(Lists!L$22,$AH52))/($AI52-$AH52))+N($F52)*IF($AK52-$AJ52&lt;1,($AJ52&gt;Lists!L$22)*($AJ52&lt;=Lists!L$21),MAX(0,MIN(Lists!L$21,$AK52)-MAX(Lists!L$22,$AJ52))/($AK52-$AJ52))+N($G52)*IF($AM52-$AL52&lt;1,($AL52&gt;Lists!L$22)*($AL52&lt;=Lists!L$21),MAX(0,MIN(Lists!L$21,$AM52)-MAX(Lists!L$22,$AL52))/($AM52-$AL52))))))))</f>
        <v>0</v>
      </c>
      <c r="W52" s="53" t="n">
        <f aca="false">IF($H52=0,0,IF($AP52="X",0,IF($AP52="S",$H52/$AO52*(MIN($AO52,MAX(0,INT((Lists!M$21-N($J52))/7)+1))-MIN($AO52,MAX(0,INT((Lists!M$22-N($J52))/7)+1))),IF($AP52="D",$H52*MAX(0,MIN(Lists!M$21,N($J52)+$AO52)-MAX(Lists!M$22,N($J52)))/$AO52,IF($AP52="M",$H52/$AO52*(IF(Lists!M$21&lt;$J52,0,MIN($AO52,(((YEAR(Lists!M$21)-YEAR($J52))*12+MONTH(Lists!M$21)-MONTH($J52))-(EDATE($J52,((YEAR(Lists!M$21)-YEAR($J52))*12+MONTH(Lists!M$21)-MONTH($J52)))&gt;Lists!M$21)+1)))-IF(Lists!M$22&lt;$J52,0,MIN($AO52,(((YEAR(Lists!M$22)-YEAR($J52))*12+MONTH(Lists!M$22)-MONTH($J52))-(EDATE($J52,((YEAR(Lists!M$22)-YEAR($J52))*12+MONTH(Lists!M$22)-MONTH($J52)))&gt;Lists!M$22)+1)))),IF($AP52="F",IF(N($K52)&lt;=0,0,MIN(MAX(0,$H52),N($K52)*IF(Lists!M$21&lt;$J52,0,(((YEAR(Lists!M$21)-YEAR($J52))*12+MONTH(Lists!M$21)-MONTH($J52))-(EDATE($J52,((YEAR(Lists!M$21)-YEAR($J52))*12+MONTH(Lists!M$21)-MONTH($J52)))&gt;Lists!M$21)+1)))-MIN(MAX(0,$H52),N($K52)*IF(Lists!M$22&lt;$J52,0,(((YEAR(Lists!M$22)-YEAR($J52))*12+MONTH(Lists!M$22)-MONTH($J52))-(EDATE($J52,((YEAR(Lists!M$22)-YEAR($J52))*12+MONTH(Lists!M$22)-MONTH($J52)))&gt;Lists!M$22)+1)))),N($C52)*IF($AE52-$AD52&lt;1,($AD52&gt;Lists!M$22)*($AD52&lt;=Lists!M$21),MAX(0,MIN(Lists!M$21,$AE52)-MAX(Lists!M$22,$AD52))/($AE52-$AD52))+N($D52)*IF($AG52-$AF52&lt;1,($AF52&gt;Lists!M$22)*($AF52&lt;=Lists!M$21),MAX(0,MIN(Lists!M$21,$AG52)-MAX(Lists!M$22,$AF52))/($AG52-$AF52))+N($E52)*IF($AI52-$AH52&lt;1,($AH52&gt;Lists!M$22)*($AH52&lt;=Lists!M$21),MAX(0,MIN(Lists!M$21,$AI52)-MAX(Lists!M$22,$AH52))/($AI52-$AH52))+N($F52)*IF($AK52-$AJ52&lt;1,($AJ52&gt;Lists!M$22)*($AJ52&lt;=Lists!M$21),MAX(0,MIN(Lists!M$21,$AK52)-MAX(Lists!M$22,$AJ52))/($AK52-$AJ52))+N($G52)*IF($AM52-$AL52&lt;1,($AL52&gt;Lists!M$22)*($AL52&lt;=Lists!M$21),MAX(0,MIN(Lists!M$21,$AM52)-MAX(Lists!M$22,$AL52))/($AM52-$AL52))))))))</f>
        <v>0</v>
      </c>
      <c r="X52" s="53" t="n">
        <f aca="false">IF($H52=0,0,IF($AP52="X",0,IF($AP52="S",$H52/$AO52*(MIN($AO52,MAX(0,INT((Lists!N$21-N($J52))/7)+1))-MIN($AO52,MAX(0,INT((Lists!N$22-N($J52))/7)+1))),IF($AP52="D",$H52*MAX(0,MIN(Lists!N$21,N($J52)+$AO52)-MAX(Lists!N$22,N($J52)))/$AO52,IF($AP52="M",$H52/$AO52*(IF(Lists!N$21&lt;$J52,0,MIN($AO52,(((YEAR(Lists!N$21)-YEAR($J52))*12+MONTH(Lists!N$21)-MONTH($J52))-(EDATE($J52,((YEAR(Lists!N$21)-YEAR($J52))*12+MONTH(Lists!N$21)-MONTH($J52)))&gt;Lists!N$21)+1)))-IF(Lists!N$22&lt;$J52,0,MIN($AO52,(((YEAR(Lists!N$22)-YEAR($J52))*12+MONTH(Lists!N$22)-MONTH($J52))-(EDATE($J52,((YEAR(Lists!N$22)-YEAR($J52))*12+MONTH(Lists!N$22)-MONTH($J52)))&gt;Lists!N$22)+1)))),IF($AP52="F",IF(N($K52)&lt;=0,0,MIN(MAX(0,$H52),N($K52)*IF(Lists!N$21&lt;$J52,0,(((YEAR(Lists!N$21)-YEAR($J52))*12+MONTH(Lists!N$21)-MONTH($J52))-(EDATE($J52,((YEAR(Lists!N$21)-YEAR($J52))*12+MONTH(Lists!N$21)-MONTH($J52)))&gt;Lists!N$21)+1)))-MIN(MAX(0,$H52),N($K52)*IF(Lists!N$22&lt;$J52,0,(((YEAR(Lists!N$22)-YEAR($J52))*12+MONTH(Lists!N$22)-MONTH($J52))-(EDATE($J52,((YEAR(Lists!N$22)-YEAR($J52))*12+MONTH(Lists!N$22)-MONTH($J52)))&gt;Lists!N$22)+1)))),N($C52)*IF($AE52-$AD52&lt;1,($AD52&gt;Lists!N$22)*($AD52&lt;=Lists!N$21),MAX(0,MIN(Lists!N$21,$AE52)-MAX(Lists!N$22,$AD52))/($AE52-$AD52))+N($D52)*IF($AG52-$AF52&lt;1,($AF52&gt;Lists!N$22)*($AF52&lt;=Lists!N$21),MAX(0,MIN(Lists!N$21,$AG52)-MAX(Lists!N$22,$AF52))/($AG52-$AF52))+N($E52)*IF($AI52-$AH52&lt;1,($AH52&gt;Lists!N$22)*($AH52&lt;=Lists!N$21),MAX(0,MIN(Lists!N$21,$AI52)-MAX(Lists!N$22,$AH52))/($AI52-$AH52))+N($F52)*IF($AK52-$AJ52&lt;1,($AJ52&gt;Lists!N$22)*($AJ52&lt;=Lists!N$21),MAX(0,MIN(Lists!N$21,$AK52)-MAX(Lists!N$22,$AJ52))/($AK52-$AJ52))+N($G52)*IF($AM52-$AL52&lt;1,($AL52&gt;Lists!N$22)*($AL52&lt;=Lists!N$21),MAX(0,MIN(Lists!N$21,$AM52)-MAX(Lists!N$22,$AL52))/($AM52-$AL52))))))))</f>
        <v>0</v>
      </c>
      <c r="Y52" s="53" t="n">
        <f aca="false">IF($H52=0,0,IF($AP52="X",0,IF($AP52="S",$H52/$AO52*(MIN($AO52,MAX(0,INT((Lists!O$21-N($J52))/7)+1))-MIN($AO52,MAX(0,INT((Lists!O$22-N($J52))/7)+1))),IF($AP52="D",$H52*MAX(0,MIN(Lists!O$21,N($J52)+$AO52)-MAX(Lists!O$22,N($J52)))/$AO52,IF($AP52="M",$H52/$AO52*(IF(Lists!O$21&lt;$J52,0,MIN($AO52,(((YEAR(Lists!O$21)-YEAR($J52))*12+MONTH(Lists!O$21)-MONTH($J52))-(EDATE($J52,((YEAR(Lists!O$21)-YEAR($J52))*12+MONTH(Lists!O$21)-MONTH($J52)))&gt;Lists!O$21)+1)))-IF(Lists!O$22&lt;$J52,0,MIN($AO52,(((YEAR(Lists!O$22)-YEAR($J52))*12+MONTH(Lists!O$22)-MONTH($J52))-(EDATE($J52,((YEAR(Lists!O$22)-YEAR($J52))*12+MONTH(Lists!O$22)-MONTH($J52)))&gt;Lists!O$22)+1)))),IF($AP52="F",IF(N($K52)&lt;=0,0,MIN(MAX(0,$H52),N($K52)*IF(Lists!O$21&lt;$J52,0,(((YEAR(Lists!O$21)-YEAR($J52))*12+MONTH(Lists!O$21)-MONTH($J52))-(EDATE($J52,((YEAR(Lists!O$21)-YEAR($J52))*12+MONTH(Lists!O$21)-MONTH($J52)))&gt;Lists!O$21)+1)))-MIN(MAX(0,$H52),N($K52)*IF(Lists!O$22&lt;$J52,0,(((YEAR(Lists!O$22)-YEAR($J52))*12+MONTH(Lists!O$22)-MONTH($J52))-(EDATE($J52,((YEAR(Lists!O$22)-YEAR($J52))*12+MONTH(Lists!O$22)-MONTH($J52)))&gt;Lists!O$22)+1)))),N($C52)*IF($AE52-$AD52&lt;1,($AD52&gt;Lists!O$22)*($AD52&lt;=Lists!O$21),MAX(0,MIN(Lists!O$21,$AE52)-MAX(Lists!O$22,$AD52))/($AE52-$AD52))+N($D52)*IF($AG52-$AF52&lt;1,($AF52&gt;Lists!O$22)*($AF52&lt;=Lists!O$21),MAX(0,MIN(Lists!O$21,$AG52)-MAX(Lists!O$22,$AF52))/($AG52-$AF52))+N($E52)*IF($AI52-$AH52&lt;1,($AH52&gt;Lists!O$22)*($AH52&lt;=Lists!O$21),MAX(0,MIN(Lists!O$21,$AI52)-MAX(Lists!O$22,$AH52))/($AI52-$AH52))+N($F52)*IF($AK52-$AJ52&lt;1,($AJ52&gt;Lists!O$22)*($AJ52&lt;=Lists!O$21),MAX(0,MIN(Lists!O$21,$AK52)-MAX(Lists!O$22,$AJ52))/($AK52-$AJ52))+N($G52)*IF($AM52-$AL52&lt;1,($AL52&gt;Lists!O$22)*($AL52&lt;=Lists!O$21),MAX(0,MIN(Lists!O$21,$AM52)-MAX(Lists!O$22,$AL52))/($AM52-$AL52))))))))</f>
        <v>0</v>
      </c>
      <c r="Z52" s="46" t="n">
        <f aca="false">SUM(M52:Y52)</f>
        <v>0</v>
      </c>
      <c r="AA52" s="92" t="n">
        <f aca="false">H52-Z52</f>
        <v>0</v>
      </c>
      <c r="AB52" s="55"/>
      <c r="AC52" s="2"/>
      <c r="AD52" s="93" t="n">
        <f aca="false">Setup!$D$10+MAX(0,$AN52-30)</f>
        <v>46345</v>
      </c>
      <c r="AE52" s="93" t="n">
        <f aca="false">Setup!$D$10+IF($AN52-30&lt;0,MAX(Setup!$D$22,$AN52-0),$AN52-0)</f>
        <v>46375</v>
      </c>
      <c r="AF52" s="93" t="n">
        <f aca="false">Setup!$D$10+MAX(0,$AN52-60)</f>
        <v>46335</v>
      </c>
      <c r="AG52" s="93" t="n">
        <f aca="false">Setup!$D$10+IF($AN52-60&lt;0,MAX(Setup!$D$22,$AN52-31),$AN52-31)</f>
        <v>46363</v>
      </c>
      <c r="AH52" s="93" t="n">
        <f aca="false">Setup!$D$10+MAX(0,$AN52-90)</f>
        <v>46335</v>
      </c>
      <c r="AI52" s="93" t="n">
        <f aca="false">Setup!$D$10+IF($AN52-90&lt;0,MAX(Setup!$D$22,$AN52-61),$AN52-61)</f>
        <v>46363</v>
      </c>
      <c r="AJ52" s="93" t="n">
        <f aca="false">Setup!$D$10+MAX(0,$AN52-120)</f>
        <v>46335</v>
      </c>
      <c r="AK52" s="93" t="n">
        <f aca="false">Setup!$D$10+IF($AN52-120&lt;0,MAX(Setup!$D$22,$AN52-91),$AN52-91)</f>
        <v>46363</v>
      </c>
      <c r="AL52" s="93" t="n">
        <f aca="false">Setup!$D$10</f>
        <v>46335</v>
      </c>
      <c r="AM52" s="93" t="n">
        <f aca="false">IF(AL52=2958465,AL52,Setup!$D$10+Setup!$D$22)</f>
        <v>46363</v>
      </c>
      <c r="AN52" s="94" t="n">
        <f aca="false">IF(N(L52)=0,Setup!$D$21,L52)</f>
        <v>40</v>
      </c>
      <c r="AO52" s="94" t="n">
        <f aca="false">MAX(1,ROUND(N(K52),0))</f>
        <v>1</v>
      </c>
      <c r="AP52" s="95" t="str">
        <f aca="false">IF(I52="On hold","X",IF(N(J52)=0,"A",IF(I52="Specific date","S",IF(I52="Spread over days","D",IF(I52="Monthly on set day","M",IF(I52="Monthly fixed amount","F","A"))))))</f>
        <v>A</v>
      </c>
    </row>
    <row r="53" customFormat="false" ht="15" hidden="false" customHeight="false" outlineLevel="0" collapsed="false">
      <c r="A53" s="87" t="n">
        <v>45</v>
      </c>
      <c r="B53" s="55"/>
      <c r="C53" s="88"/>
      <c r="D53" s="88"/>
      <c r="E53" s="88"/>
      <c r="F53" s="88"/>
      <c r="G53" s="88"/>
      <c r="H53" s="89" t="n">
        <f aca="false">SUM(C53:G53)</f>
        <v>0</v>
      </c>
      <c r="I53" s="58"/>
      <c r="J53" s="90"/>
      <c r="K53" s="91"/>
      <c r="L53" s="80"/>
      <c r="M53" s="53" t="n">
        <f aca="false">IF($H53=0,0,IF($AP53="X",0,IF($AP53="S",$H53/$AO53*(MIN($AO53,MAX(0,INT((Lists!C$21-N($J53))/7)+1))-MIN($AO53,MAX(0,INT((Lists!C$22-N($J53))/7)+1))),IF($AP53="D",$H53*MAX(0,MIN(Lists!C$21,N($J53)+$AO53)-MAX(Lists!C$22,N($J53)))/$AO53,IF($AP53="M",$H53/$AO53*(IF(Lists!C$21&lt;$J53,0,MIN($AO53,(((YEAR(Lists!C$21)-YEAR($J53))*12+MONTH(Lists!C$21)-MONTH($J53))-(EDATE($J53,((YEAR(Lists!C$21)-YEAR($J53))*12+MONTH(Lists!C$21)-MONTH($J53)))&gt;Lists!C$21)+1)))-IF(Lists!C$22&lt;$J53,0,MIN($AO53,(((YEAR(Lists!C$22)-YEAR($J53))*12+MONTH(Lists!C$22)-MONTH($J53))-(EDATE($J53,((YEAR(Lists!C$22)-YEAR($J53))*12+MONTH(Lists!C$22)-MONTH($J53)))&gt;Lists!C$22)+1)))),IF($AP53="F",IF(N($K53)&lt;=0,0,MIN(MAX(0,$H53),N($K53)*IF(Lists!C$21&lt;$J53,0,(((YEAR(Lists!C$21)-YEAR($J53))*12+MONTH(Lists!C$21)-MONTH($J53))-(EDATE($J53,((YEAR(Lists!C$21)-YEAR($J53))*12+MONTH(Lists!C$21)-MONTH($J53)))&gt;Lists!C$21)+1)))-MIN(MAX(0,$H53),N($K53)*IF(Lists!C$22&lt;$J53,0,(((YEAR(Lists!C$22)-YEAR($J53))*12+MONTH(Lists!C$22)-MONTH($J53))-(EDATE($J53,((YEAR(Lists!C$22)-YEAR($J53))*12+MONTH(Lists!C$22)-MONTH($J53)))&gt;Lists!C$22)+1)))),N($C53)*IF($AE53-$AD53&lt;1,($AD53&gt;Lists!C$22)*($AD53&lt;=Lists!C$21),MAX(0,MIN(Lists!C$21,$AE53)-MAX(Lists!C$22,$AD53))/($AE53-$AD53))+N($D53)*IF($AG53-$AF53&lt;1,($AF53&gt;Lists!C$22)*($AF53&lt;=Lists!C$21),MAX(0,MIN(Lists!C$21,$AG53)-MAX(Lists!C$22,$AF53))/($AG53-$AF53))+N($E53)*IF($AI53-$AH53&lt;1,($AH53&gt;Lists!C$22)*($AH53&lt;=Lists!C$21),MAX(0,MIN(Lists!C$21,$AI53)-MAX(Lists!C$22,$AH53))/($AI53-$AH53))+N($F53)*IF($AK53-$AJ53&lt;1,($AJ53&gt;Lists!C$22)*($AJ53&lt;=Lists!C$21),MAX(0,MIN(Lists!C$21,$AK53)-MAX(Lists!C$22,$AJ53))/($AK53-$AJ53))+N($G53)*IF($AM53-$AL53&lt;1,($AL53&gt;Lists!C$22)*($AL53&lt;=Lists!C$21),MAX(0,MIN(Lists!C$21,$AM53)-MAX(Lists!C$22,$AL53))/($AM53-$AL53))))))))</f>
        <v>0</v>
      </c>
      <c r="N53" s="53" t="n">
        <f aca="false">IF($H53=0,0,IF($AP53="X",0,IF($AP53="S",$H53/$AO53*(MIN($AO53,MAX(0,INT((Lists!D$21-N($J53))/7)+1))-MIN($AO53,MAX(0,INT((Lists!D$22-N($J53))/7)+1))),IF($AP53="D",$H53*MAX(0,MIN(Lists!D$21,N($J53)+$AO53)-MAX(Lists!D$22,N($J53)))/$AO53,IF($AP53="M",$H53/$AO53*(IF(Lists!D$21&lt;$J53,0,MIN($AO53,(((YEAR(Lists!D$21)-YEAR($J53))*12+MONTH(Lists!D$21)-MONTH($J53))-(EDATE($J53,((YEAR(Lists!D$21)-YEAR($J53))*12+MONTH(Lists!D$21)-MONTH($J53)))&gt;Lists!D$21)+1)))-IF(Lists!D$22&lt;$J53,0,MIN($AO53,(((YEAR(Lists!D$22)-YEAR($J53))*12+MONTH(Lists!D$22)-MONTH($J53))-(EDATE($J53,((YEAR(Lists!D$22)-YEAR($J53))*12+MONTH(Lists!D$22)-MONTH($J53)))&gt;Lists!D$22)+1)))),IF($AP53="F",IF(N($K53)&lt;=0,0,MIN(MAX(0,$H53),N($K53)*IF(Lists!D$21&lt;$J53,0,(((YEAR(Lists!D$21)-YEAR($J53))*12+MONTH(Lists!D$21)-MONTH($J53))-(EDATE($J53,((YEAR(Lists!D$21)-YEAR($J53))*12+MONTH(Lists!D$21)-MONTH($J53)))&gt;Lists!D$21)+1)))-MIN(MAX(0,$H53),N($K53)*IF(Lists!D$22&lt;$J53,0,(((YEAR(Lists!D$22)-YEAR($J53))*12+MONTH(Lists!D$22)-MONTH($J53))-(EDATE($J53,((YEAR(Lists!D$22)-YEAR($J53))*12+MONTH(Lists!D$22)-MONTH($J53)))&gt;Lists!D$22)+1)))),N($C53)*IF($AE53-$AD53&lt;1,($AD53&gt;Lists!D$22)*($AD53&lt;=Lists!D$21),MAX(0,MIN(Lists!D$21,$AE53)-MAX(Lists!D$22,$AD53))/($AE53-$AD53))+N($D53)*IF($AG53-$AF53&lt;1,($AF53&gt;Lists!D$22)*($AF53&lt;=Lists!D$21),MAX(0,MIN(Lists!D$21,$AG53)-MAX(Lists!D$22,$AF53))/($AG53-$AF53))+N($E53)*IF($AI53-$AH53&lt;1,($AH53&gt;Lists!D$22)*($AH53&lt;=Lists!D$21),MAX(0,MIN(Lists!D$21,$AI53)-MAX(Lists!D$22,$AH53))/($AI53-$AH53))+N($F53)*IF($AK53-$AJ53&lt;1,($AJ53&gt;Lists!D$22)*($AJ53&lt;=Lists!D$21),MAX(0,MIN(Lists!D$21,$AK53)-MAX(Lists!D$22,$AJ53))/($AK53-$AJ53))+N($G53)*IF($AM53-$AL53&lt;1,($AL53&gt;Lists!D$22)*($AL53&lt;=Lists!D$21),MAX(0,MIN(Lists!D$21,$AM53)-MAX(Lists!D$22,$AL53))/($AM53-$AL53))))))))</f>
        <v>0</v>
      </c>
      <c r="O53" s="53" t="n">
        <f aca="false">IF($H53=0,0,IF($AP53="X",0,IF($AP53="S",$H53/$AO53*(MIN($AO53,MAX(0,INT((Lists!E$21-N($J53))/7)+1))-MIN($AO53,MAX(0,INT((Lists!E$22-N($J53))/7)+1))),IF($AP53="D",$H53*MAX(0,MIN(Lists!E$21,N($J53)+$AO53)-MAX(Lists!E$22,N($J53)))/$AO53,IF($AP53="M",$H53/$AO53*(IF(Lists!E$21&lt;$J53,0,MIN($AO53,(((YEAR(Lists!E$21)-YEAR($J53))*12+MONTH(Lists!E$21)-MONTH($J53))-(EDATE($J53,((YEAR(Lists!E$21)-YEAR($J53))*12+MONTH(Lists!E$21)-MONTH($J53)))&gt;Lists!E$21)+1)))-IF(Lists!E$22&lt;$J53,0,MIN($AO53,(((YEAR(Lists!E$22)-YEAR($J53))*12+MONTH(Lists!E$22)-MONTH($J53))-(EDATE($J53,((YEAR(Lists!E$22)-YEAR($J53))*12+MONTH(Lists!E$22)-MONTH($J53)))&gt;Lists!E$22)+1)))),IF($AP53="F",IF(N($K53)&lt;=0,0,MIN(MAX(0,$H53),N($K53)*IF(Lists!E$21&lt;$J53,0,(((YEAR(Lists!E$21)-YEAR($J53))*12+MONTH(Lists!E$21)-MONTH($J53))-(EDATE($J53,((YEAR(Lists!E$21)-YEAR($J53))*12+MONTH(Lists!E$21)-MONTH($J53)))&gt;Lists!E$21)+1)))-MIN(MAX(0,$H53),N($K53)*IF(Lists!E$22&lt;$J53,0,(((YEAR(Lists!E$22)-YEAR($J53))*12+MONTH(Lists!E$22)-MONTH($J53))-(EDATE($J53,((YEAR(Lists!E$22)-YEAR($J53))*12+MONTH(Lists!E$22)-MONTH($J53)))&gt;Lists!E$22)+1)))),N($C53)*IF($AE53-$AD53&lt;1,($AD53&gt;Lists!E$22)*($AD53&lt;=Lists!E$21),MAX(0,MIN(Lists!E$21,$AE53)-MAX(Lists!E$22,$AD53))/($AE53-$AD53))+N($D53)*IF($AG53-$AF53&lt;1,($AF53&gt;Lists!E$22)*($AF53&lt;=Lists!E$21),MAX(0,MIN(Lists!E$21,$AG53)-MAX(Lists!E$22,$AF53))/($AG53-$AF53))+N($E53)*IF($AI53-$AH53&lt;1,($AH53&gt;Lists!E$22)*($AH53&lt;=Lists!E$21),MAX(0,MIN(Lists!E$21,$AI53)-MAX(Lists!E$22,$AH53))/($AI53-$AH53))+N($F53)*IF($AK53-$AJ53&lt;1,($AJ53&gt;Lists!E$22)*($AJ53&lt;=Lists!E$21),MAX(0,MIN(Lists!E$21,$AK53)-MAX(Lists!E$22,$AJ53))/($AK53-$AJ53))+N($G53)*IF($AM53-$AL53&lt;1,($AL53&gt;Lists!E$22)*($AL53&lt;=Lists!E$21),MAX(0,MIN(Lists!E$21,$AM53)-MAX(Lists!E$22,$AL53))/($AM53-$AL53))))))))</f>
        <v>0</v>
      </c>
      <c r="P53" s="53" t="n">
        <f aca="false">IF($H53=0,0,IF($AP53="X",0,IF($AP53="S",$H53/$AO53*(MIN($AO53,MAX(0,INT((Lists!F$21-N($J53))/7)+1))-MIN($AO53,MAX(0,INT((Lists!F$22-N($J53))/7)+1))),IF($AP53="D",$H53*MAX(0,MIN(Lists!F$21,N($J53)+$AO53)-MAX(Lists!F$22,N($J53)))/$AO53,IF($AP53="M",$H53/$AO53*(IF(Lists!F$21&lt;$J53,0,MIN($AO53,(((YEAR(Lists!F$21)-YEAR($J53))*12+MONTH(Lists!F$21)-MONTH($J53))-(EDATE($J53,((YEAR(Lists!F$21)-YEAR($J53))*12+MONTH(Lists!F$21)-MONTH($J53)))&gt;Lists!F$21)+1)))-IF(Lists!F$22&lt;$J53,0,MIN($AO53,(((YEAR(Lists!F$22)-YEAR($J53))*12+MONTH(Lists!F$22)-MONTH($J53))-(EDATE($J53,((YEAR(Lists!F$22)-YEAR($J53))*12+MONTH(Lists!F$22)-MONTH($J53)))&gt;Lists!F$22)+1)))),IF($AP53="F",IF(N($K53)&lt;=0,0,MIN(MAX(0,$H53),N($K53)*IF(Lists!F$21&lt;$J53,0,(((YEAR(Lists!F$21)-YEAR($J53))*12+MONTH(Lists!F$21)-MONTH($J53))-(EDATE($J53,((YEAR(Lists!F$21)-YEAR($J53))*12+MONTH(Lists!F$21)-MONTH($J53)))&gt;Lists!F$21)+1)))-MIN(MAX(0,$H53),N($K53)*IF(Lists!F$22&lt;$J53,0,(((YEAR(Lists!F$22)-YEAR($J53))*12+MONTH(Lists!F$22)-MONTH($J53))-(EDATE($J53,((YEAR(Lists!F$22)-YEAR($J53))*12+MONTH(Lists!F$22)-MONTH($J53)))&gt;Lists!F$22)+1)))),N($C53)*IF($AE53-$AD53&lt;1,($AD53&gt;Lists!F$22)*($AD53&lt;=Lists!F$21),MAX(0,MIN(Lists!F$21,$AE53)-MAX(Lists!F$22,$AD53))/($AE53-$AD53))+N($D53)*IF($AG53-$AF53&lt;1,($AF53&gt;Lists!F$22)*($AF53&lt;=Lists!F$21),MAX(0,MIN(Lists!F$21,$AG53)-MAX(Lists!F$22,$AF53))/($AG53-$AF53))+N($E53)*IF($AI53-$AH53&lt;1,($AH53&gt;Lists!F$22)*($AH53&lt;=Lists!F$21),MAX(0,MIN(Lists!F$21,$AI53)-MAX(Lists!F$22,$AH53))/($AI53-$AH53))+N($F53)*IF($AK53-$AJ53&lt;1,($AJ53&gt;Lists!F$22)*($AJ53&lt;=Lists!F$21),MAX(0,MIN(Lists!F$21,$AK53)-MAX(Lists!F$22,$AJ53))/($AK53-$AJ53))+N($G53)*IF($AM53-$AL53&lt;1,($AL53&gt;Lists!F$22)*($AL53&lt;=Lists!F$21),MAX(0,MIN(Lists!F$21,$AM53)-MAX(Lists!F$22,$AL53))/($AM53-$AL53))))))))</f>
        <v>0</v>
      </c>
      <c r="Q53" s="53" t="n">
        <f aca="false">IF($H53=0,0,IF($AP53="X",0,IF($AP53="S",$H53/$AO53*(MIN($AO53,MAX(0,INT((Lists!G$21-N($J53))/7)+1))-MIN($AO53,MAX(0,INT((Lists!G$22-N($J53))/7)+1))),IF($AP53="D",$H53*MAX(0,MIN(Lists!G$21,N($J53)+$AO53)-MAX(Lists!G$22,N($J53)))/$AO53,IF($AP53="M",$H53/$AO53*(IF(Lists!G$21&lt;$J53,0,MIN($AO53,(((YEAR(Lists!G$21)-YEAR($J53))*12+MONTH(Lists!G$21)-MONTH($J53))-(EDATE($J53,((YEAR(Lists!G$21)-YEAR($J53))*12+MONTH(Lists!G$21)-MONTH($J53)))&gt;Lists!G$21)+1)))-IF(Lists!G$22&lt;$J53,0,MIN($AO53,(((YEAR(Lists!G$22)-YEAR($J53))*12+MONTH(Lists!G$22)-MONTH($J53))-(EDATE($J53,((YEAR(Lists!G$22)-YEAR($J53))*12+MONTH(Lists!G$22)-MONTH($J53)))&gt;Lists!G$22)+1)))),IF($AP53="F",IF(N($K53)&lt;=0,0,MIN(MAX(0,$H53),N($K53)*IF(Lists!G$21&lt;$J53,0,(((YEAR(Lists!G$21)-YEAR($J53))*12+MONTH(Lists!G$21)-MONTH($J53))-(EDATE($J53,((YEAR(Lists!G$21)-YEAR($J53))*12+MONTH(Lists!G$21)-MONTH($J53)))&gt;Lists!G$21)+1)))-MIN(MAX(0,$H53),N($K53)*IF(Lists!G$22&lt;$J53,0,(((YEAR(Lists!G$22)-YEAR($J53))*12+MONTH(Lists!G$22)-MONTH($J53))-(EDATE($J53,((YEAR(Lists!G$22)-YEAR($J53))*12+MONTH(Lists!G$22)-MONTH($J53)))&gt;Lists!G$22)+1)))),N($C53)*IF($AE53-$AD53&lt;1,($AD53&gt;Lists!G$22)*($AD53&lt;=Lists!G$21),MAX(0,MIN(Lists!G$21,$AE53)-MAX(Lists!G$22,$AD53))/($AE53-$AD53))+N($D53)*IF($AG53-$AF53&lt;1,($AF53&gt;Lists!G$22)*($AF53&lt;=Lists!G$21),MAX(0,MIN(Lists!G$21,$AG53)-MAX(Lists!G$22,$AF53))/($AG53-$AF53))+N($E53)*IF($AI53-$AH53&lt;1,($AH53&gt;Lists!G$22)*($AH53&lt;=Lists!G$21),MAX(0,MIN(Lists!G$21,$AI53)-MAX(Lists!G$22,$AH53))/($AI53-$AH53))+N($F53)*IF($AK53-$AJ53&lt;1,($AJ53&gt;Lists!G$22)*($AJ53&lt;=Lists!G$21),MAX(0,MIN(Lists!G$21,$AK53)-MAX(Lists!G$22,$AJ53))/($AK53-$AJ53))+N($G53)*IF($AM53-$AL53&lt;1,($AL53&gt;Lists!G$22)*($AL53&lt;=Lists!G$21),MAX(0,MIN(Lists!G$21,$AM53)-MAX(Lists!G$22,$AL53))/($AM53-$AL53))))))))</f>
        <v>0</v>
      </c>
      <c r="R53" s="53" t="n">
        <f aca="false">IF($H53=0,0,IF($AP53="X",0,IF($AP53="S",$H53/$AO53*(MIN($AO53,MAX(0,INT((Lists!H$21-N($J53))/7)+1))-MIN($AO53,MAX(0,INT((Lists!H$22-N($J53))/7)+1))),IF($AP53="D",$H53*MAX(0,MIN(Lists!H$21,N($J53)+$AO53)-MAX(Lists!H$22,N($J53)))/$AO53,IF($AP53="M",$H53/$AO53*(IF(Lists!H$21&lt;$J53,0,MIN($AO53,(((YEAR(Lists!H$21)-YEAR($J53))*12+MONTH(Lists!H$21)-MONTH($J53))-(EDATE($J53,((YEAR(Lists!H$21)-YEAR($J53))*12+MONTH(Lists!H$21)-MONTH($J53)))&gt;Lists!H$21)+1)))-IF(Lists!H$22&lt;$J53,0,MIN($AO53,(((YEAR(Lists!H$22)-YEAR($J53))*12+MONTH(Lists!H$22)-MONTH($J53))-(EDATE($J53,((YEAR(Lists!H$22)-YEAR($J53))*12+MONTH(Lists!H$22)-MONTH($J53)))&gt;Lists!H$22)+1)))),IF($AP53="F",IF(N($K53)&lt;=0,0,MIN(MAX(0,$H53),N($K53)*IF(Lists!H$21&lt;$J53,0,(((YEAR(Lists!H$21)-YEAR($J53))*12+MONTH(Lists!H$21)-MONTH($J53))-(EDATE($J53,((YEAR(Lists!H$21)-YEAR($J53))*12+MONTH(Lists!H$21)-MONTH($J53)))&gt;Lists!H$21)+1)))-MIN(MAX(0,$H53),N($K53)*IF(Lists!H$22&lt;$J53,0,(((YEAR(Lists!H$22)-YEAR($J53))*12+MONTH(Lists!H$22)-MONTH($J53))-(EDATE($J53,((YEAR(Lists!H$22)-YEAR($J53))*12+MONTH(Lists!H$22)-MONTH($J53)))&gt;Lists!H$22)+1)))),N($C53)*IF($AE53-$AD53&lt;1,($AD53&gt;Lists!H$22)*($AD53&lt;=Lists!H$21),MAX(0,MIN(Lists!H$21,$AE53)-MAX(Lists!H$22,$AD53))/($AE53-$AD53))+N($D53)*IF($AG53-$AF53&lt;1,($AF53&gt;Lists!H$22)*($AF53&lt;=Lists!H$21),MAX(0,MIN(Lists!H$21,$AG53)-MAX(Lists!H$22,$AF53))/($AG53-$AF53))+N($E53)*IF($AI53-$AH53&lt;1,($AH53&gt;Lists!H$22)*($AH53&lt;=Lists!H$21),MAX(0,MIN(Lists!H$21,$AI53)-MAX(Lists!H$22,$AH53))/($AI53-$AH53))+N($F53)*IF($AK53-$AJ53&lt;1,($AJ53&gt;Lists!H$22)*($AJ53&lt;=Lists!H$21),MAX(0,MIN(Lists!H$21,$AK53)-MAX(Lists!H$22,$AJ53))/($AK53-$AJ53))+N($G53)*IF($AM53-$AL53&lt;1,($AL53&gt;Lists!H$22)*($AL53&lt;=Lists!H$21),MAX(0,MIN(Lists!H$21,$AM53)-MAX(Lists!H$22,$AL53))/($AM53-$AL53))))))))</f>
        <v>0</v>
      </c>
      <c r="S53" s="53" t="n">
        <f aca="false">IF($H53=0,0,IF($AP53="X",0,IF($AP53="S",$H53/$AO53*(MIN($AO53,MAX(0,INT((Lists!I$21-N($J53))/7)+1))-MIN($AO53,MAX(0,INT((Lists!I$22-N($J53))/7)+1))),IF($AP53="D",$H53*MAX(0,MIN(Lists!I$21,N($J53)+$AO53)-MAX(Lists!I$22,N($J53)))/$AO53,IF($AP53="M",$H53/$AO53*(IF(Lists!I$21&lt;$J53,0,MIN($AO53,(((YEAR(Lists!I$21)-YEAR($J53))*12+MONTH(Lists!I$21)-MONTH($J53))-(EDATE($J53,((YEAR(Lists!I$21)-YEAR($J53))*12+MONTH(Lists!I$21)-MONTH($J53)))&gt;Lists!I$21)+1)))-IF(Lists!I$22&lt;$J53,0,MIN($AO53,(((YEAR(Lists!I$22)-YEAR($J53))*12+MONTH(Lists!I$22)-MONTH($J53))-(EDATE($J53,((YEAR(Lists!I$22)-YEAR($J53))*12+MONTH(Lists!I$22)-MONTH($J53)))&gt;Lists!I$22)+1)))),IF($AP53="F",IF(N($K53)&lt;=0,0,MIN(MAX(0,$H53),N($K53)*IF(Lists!I$21&lt;$J53,0,(((YEAR(Lists!I$21)-YEAR($J53))*12+MONTH(Lists!I$21)-MONTH($J53))-(EDATE($J53,((YEAR(Lists!I$21)-YEAR($J53))*12+MONTH(Lists!I$21)-MONTH($J53)))&gt;Lists!I$21)+1)))-MIN(MAX(0,$H53),N($K53)*IF(Lists!I$22&lt;$J53,0,(((YEAR(Lists!I$22)-YEAR($J53))*12+MONTH(Lists!I$22)-MONTH($J53))-(EDATE($J53,((YEAR(Lists!I$22)-YEAR($J53))*12+MONTH(Lists!I$22)-MONTH($J53)))&gt;Lists!I$22)+1)))),N($C53)*IF($AE53-$AD53&lt;1,($AD53&gt;Lists!I$22)*($AD53&lt;=Lists!I$21),MAX(0,MIN(Lists!I$21,$AE53)-MAX(Lists!I$22,$AD53))/($AE53-$AD53))+N($D53)*IF($AG53-$AF53&lt;1,($AF53&gt;Lists!I$22)*($AF53&lt;=Lists!I$21),MAX(0,MIN(Lists!I$21,$AG53)-MAX(Lists!I$22,$AF53))/($AG53-$AF53))+N($E53)*IF($AI53-$AH53&lt;1,($AH53&gt;Lists!I$22)*($AH53&lt;=Lists!I$21),MAX(0,MIN(Lists!I$21,$AI53)-MAX(Lists!I$22,$AH53))/($AI53-$AH53))+N($F53)*IF($AK53-$AJ53&lt;1,($AJ53&gt;Lists!I$22)*($AJ53&lt;=Lists!I$21),MAX(0,MIN(Lists!I$21,$AK53)-MAX(Lists!I$22,$AJ53))/($AK53-$AJ53))+N($G53)*IF($AM53-$AL53&lt;1,($AL53&gt;Lists!I$22)*($AL53&lt;=Lists!I$21),MAX(0,MIN(Lists!I$21,$AM53)-MAX(Lists!I$22,$AL53))/($AM53-$AL53))))))))</f>
        <v>0</v>
      </c>
      <c r="T53" s="53" t="n">
        <f aca="false">IF($H53=0,0,IF($AP53="X",0,IF($AP53="S",$H53/$AO53*(MIN($AO53,MAX(0,INT((Lists!J$21-N($J53))/7)+1))-MIN($AO53,MAX(0,INT((Lists!J$22-N($J53))/7)+1))),IF($AP53="D",$H53*MAX(0,MIN(Lists!J$21,N($J53)+$AO53)-MAX(Lists!J$22,N($J53)))/$AO53,IF($AP53="M",$H53/$AO53*(IF(Lists!J$21&lt;$J53,0,MIN($AO53,(((YEAR(Lists!J$21)-YEAR($J53))*12+MONTH(Lists!J$21)-MONTH($J53))-(EDATE($J53,((YEAR(Lists!J$21)-YEAR($J53))*12+MONTH(Lists!J$21)-MONTH($J53)))&gt;Lists!J$21)+1)))-IF(Lists!J$22&lt;$J53,0,MIN($AO53,(((YEAR(Lists!J$22)-YEAR($J53))*12+MONTH(Lists!J$22)-MONTH($J53))-(EDATE($J53,((YEAR(Lists!J$22)-YEAR($J53))*12+MONTH(Lists!J$22)-MONTH($J53)))&gt;Lists!J$22)+1)))),IF($AP53="F",IF(N($K53)&lt;=0,0,MIN(MAX(0,$H53),N($K53)*IF(Lists!J$21&lt;$J53,0,(((YEAR(Lists!J$21)-YEAR($J53))*12+MONTH(Lists!J$21)-MONTH($J53))-(EDATE($J53,((YEAR(Lists!J$21)-YEAR($J53))*12+MONTH(Lists!J$21)-MONTH($J53)))&gt;Lists!J$21)+1)))-MIN(MAX(0,$H53),N($K53)*IF(Lists!J$22&lt;$J53,0,(((YEAR(Lists!J$22)-YEAR($J53))*12+MONTH(Lists!J$22)-MONTH($J53))-(EDATE($J53,((YEAR(Lists!J$22)-YEAR($J53))*12+MONTH(Lists!J$22)-MONTH($J53)))&gt;Lists!J$22)+1)))),N($C53)*IF($AE53-$AD53&lt;1,($AD53&gt;Lists!J$22)*($AD53&lt;=Lists!J$21),MAX(0,MIN(Lists!J$21,$AE53)-MAX(Lists!J$22,$AD53))/($AE53-$AD53))+N($D53)*IF($AG53-$AF53&lt;1,($AF53&gt;Lists!J$22)*($AF53&lt;=Lists!J$21),MAX(0,MIN(Lists!J$21,$AG53)-MAX(Lists!J$22,$AF53))/($AG53-$AF53))+N($E53)*IF($AI53-$AH53&lt;1,($AH53&gt;Lists!J$22)*($AH53&lt;=Lists!J$21),MAX(0,MIN(Lists!J$21,$AI53)-MAX(Lists!J$22,$AH53))/($AI53-$AH53))+N($F53)*IF($AK53-$AJ53&lt;1,($AJ53&gt;Lists!J$22)*($AJ53&lt;=Lists!J$21),MAX(0,MIN(Lists!J$21,$AK53)-MAX(Lists!J$22,$AJ53))/($AK53-$AJ53))+N($G53)*IF($AM53-$AL53&lt;1,($AL53&gt;Lists!J$22)*($AL53&lt;=Lists!J$21),MAX(0,MIN(Lists!J$21,$AM53)-MAX(Lists!J$22,$AL53))/($AM53-$AL53))))))))</f>
        <v>0</v>
      </c>
      <c r="U53" s="53" t="n">
        <f aca="false">IF($H53=0,0,IF($AP53="X",0,IF($AP53="S",$H53/$AO53*(MIN($AO53,MAX(0,INT((Lists!K$21-N($J53))/7)+1))-MIN($AO53,MAX(0,INT((Lists!K$22-N($J53))/7)+1))),IF($AP53="D",$H53*MAX(0,MIN(Lists!K$21,N($J53)+$AO53)-MAX(Lists!K$22,N($J53)))/$AO53,IF($AP53="M",$H53/$AO53*(IF(Lists!K$21&lt;$J53,0,MIN($AO53,(((YEAR(Lists!K$21)-YEAR($J53))*12+MONTH(Lists!K$21)-MONTH($J53))-(EDATE($J53,((YEAR(Lists!K$21)-YEAR($J53))*12+MONTH(Lists!K$21)-MONTH($J53)))&gt;Lists!K$21)+1)))-IF(Lists!K$22&lt;$J53,0,MIN($AO53,(((YEAR(Lists!K$22)-YEAR($J53))*12+MONTH(Lists!K$22)-MONTH($J53))-(EDATE($J53,((YEAR(Lists!K$22)-YEAR($J53))*12+MONTH(Lists!K$22)-MONTH($J53)))&gt;Lists!K$22)+1)))),IF($AP53="F",IF(N($K53)&lt;=0,0,MIN(MAX(0,$H53),N($K53)*IF(Lists!K$21&lt;$J53,0,(((YEAR(Lists!K$21)-YEAR($J53))*12+MONTH(Lists!K$21)-MONTH($J53))-(EDATE($J53,((YEAR(Lists!K$21)-YEAR($J53))*12+MONTH(Lists!K$21)-MONTH($J53)))&gt;Lists!K$21)+1)))-MIN(MAX(0,$H53),N($K53)*IF(Lists!K$22&lt;$J53,0,(((YEAR(Lists!K$22)-YEAR($J53))*12+MONTH(Lists!K$22)-MONTH($J53))-(EDATE($J53,((YEAR(Lists!K$22)-YEAR($J53))*12+MONTH(Lists!K$22)-MONTH($J53)))&gt;Lists!K$22)+1)))),N($C53)*IF($AE53-$AD53&lt;1,($AD53&gt;Lists!K$22)*($AD53&lt;=Lists!K$21),MAX(0,MIN(Lists!K$21,$AE53)-MAX(Lists!K$22,$AD53))/($AE53-$AD53))+N($D53)*IF($AG53-$AF53&lt;1,($AF53&gt;Lists!K$22)*($AF53&lt;=Lists!K$21),MAX(0,MIN(Lists!K$21,$AG53)-MAX(Lists!K$22,$AF53))/($AG53-$AF53))+N($E53)*IF($AI53-$AH53&lt;1,($AH53&gt;Lists!K$22)*($AH53&lt;=Lists!K$21),MAX(0,MIN(Lists!K$21,$AI53)-MAX(Lists!K$22,$AH53))/($AI53-$AH53))+N($F53)*IF($AK53-$AJ53&lt;1,($AJ53&gt;Lists!K$22)*($AJ53&lt;=Lists!K$21),MAX(0,MIN(Lists!K$21,$AK53)-MAX(Lists!K$22,$AJ53))/($AK53-$AJ53))+N($G53)*IF($AM53-$AL53&lt;1,($AL53&gt;Lists!K$22)*($AL53&lt;=Lists!K$21),MAX(0,MIN(Lists!K$21,$AM53)-MAX(Lists!K$22,$AL53))/($AM53-$AL53))))))))</f>
        <v>0</v>
      </c>
      <c r="V53" s="53" t="n">
        <f aca="false">IF($H53=0,0,IF($AP53="X",0,IF($AP53="S",$H53/$AO53*(MIN($AO53,MAX(0,INT((Lists!L$21-N($J53))/7)+1))-MIN($AO53,MAX(0,INT((Lists!L$22-N($J53))/7)+1))),IF($AP53="D",$H53*MAX(0,MIN(Lists!L$21,N($J53)+$AO53)-MAX(Lists!L$22,N($J53)))/$AO53,IF($AP53="M",$H53/$AO53*(IF(Lists!L$21&lt;$J53,0,MIN($AO53,(((YEAR(Lists!L$21)-YEAR($J53))*12+MONTH(Lists!L$21)-MONTH($J53))-(EDATE($J53,((YEAR(Lists!L$21)-YEAR($J53))*12+MONTH(Lists!L$21)-MONTH($J53)))&gt;Lists!L$21)+1)))-IF(Lists!L$22&lt;$J53,0,MIN($AO53,(((YEAR(Lists!L$22)-YEAR($J53))*12+MONTH(Lists!L$22)-MONTH($J53))-(EDATE($J53,((YEAR(Lists!L$22)-YEAR($J53))*12+MONTH(Lists!L$22)-MONTH($J53)))&gt;Lists!L$22)+1)))),IF($AP53="F",IF(N($K53)&lt;=0,0,MIN(MAX(0,$H53),N($K53)*IF(Lists!L$21&lt;$J53,0,(((YEAR(Lists!L$21)-YEAR($J53))*12+MONTH(Lists!L$21)-MONTH($J53))-(EDATE($J53,((YEAR(Lists!L$21)-YEAR($J53))*12+MONTH(Lists!L$21)-MONTH($J53)))&gt;Lists!L$21)+1)))-MIN(MAX(0,$H53),N($K53)*IF(Lists!L$22&lt;$J53,0,(((YEAR(Lists!L$22)-YEAR($J53))*12+MONTH(Lists!L$22)-MONTH($J53))-(EDATE($J53,((YEAR(Lists!L$22)-YEAR($J53))*12+MONTH(Lists!L$22)-MONTH($J53)))&gt;Lists!L$22)+1)))),N($C53)*IF($AE53-$AD53&lt;1,($AD53&gt;Lists!L$22)*($AD53&lt;=Lists!L$21),MAX(0,MIN(Lists!L$21,$AE53)-MAX(Lists!L$22,$AD53))/($AE53-$AD53))+N($D53)*IF($AG53-$AF53&lt;1,($AF53&gt;Lists!L$22)*($AF53&lt;=Lists!L$21),MAX(0,MIN(Lists!L$21,$AG53)-MAX(Lists!L$22,$AF53))/($AG53-$AF53))+N($E53)*IF($AI53-$AH53&lt;1,($AH53&gt;Lists!L$22)*($AH53&lt;=Lists!L$21),MAX(0,MIN(Lists!L$21,$AI53)-MAX(Lists!L$22,$AH53))/($AI53-$AH53))+N($F53)*IF($AK53-$AJ53&lt;1,($AJ53&gt;Lists!L$22)*($AJ53&lt;=Lists!L$21),MAX(0,MIN(Lists!L$21,$AK53)-MAX(Lists!L$22,$AJ53))/($AK53-$AJ53))+N($G53)*IF($AM53-$AL53&lt;1,($AL53&gt;Lists!L$22)*($AL53&lt;=Lists!L$21),MAX(0,MIN(Lists!L$21,$AM53)-MAX(Lists!L$22,$AL53))/($AM53-$AL53))))))))</f>
        <v>0</v>
      </c>
      <c r="W53" s="53" t="n">
        <f aca="false">IF($H53=0,0,IF($AP53="X",0,IF($AP53="S",$H53/$AO53*(MIN($AO53,MAX(0,INT((Lists!M$21-N($J53))/7)+1))-MIN($AO53,MAX(0,INT((Lists!M$22-N($J53))/7)+1))),IF($AP53="D",$H53*MAX(0,MIN(Lists!M$21,N($J53)+$AO53)-MAX(Lists!M$22,N($J53)))/$AO53,IF($AP53="M",$H53/$AO53*(IF(Lists!M$21&lt;$J53,0,MIN($AO53,(((YEAR(Lists!M$21)-YEAR($J53))*12+MONTH(Lists!M$21)-MONTH($J53))-(EDATE($J53,((YEAR(Lists!M$21)-YEAR($J53))*12+MONTH(Lists!M$21)-MONTH($J53)))&gt;Lists!M$21)+1)))-IF(Lists!M$22&lt;$J53,0,MIN($AO53,(((YEAR(Lists!M$22)-YEAR($J53))*12+MONTH(Lists!M$22)-MONTH($J53))-(EDATE($J53,((YEAR(Lists!M$22)-YEAR($J53))*12+MONTH(Lists!M$22)-MONTH($J53)))&gt;Lists!M$22)+1)))),IF($AP53="F",IF(N($K53)&lt;=0,0,MIN(MAX(0,$H53),N($K53)*IF(Lists!M$21&lt;$J53,0,(((YEAR(Lists!M$21)-YEAR($J53))*12+MONTH(Lists!M$21)-MONTH($J53))-(EDATE($J53,((YEAR(Lists!M$21)-YEAR($J53))*12+MONTH(Lists!M$21)-MONTH($J53)))&gt;Lists!M$21)+1)))-MIN(MAX(0,$H53),N($K53)*IF(Lists!M$22&lt;$J53,0,(((YEAR(Lists!M$22)-YEAR($J53))*12+MONTH(Lists!M$22)-MONTH($J53))-(EDATE($J53,((YEAR(Lists!M$22)-YEAR($J53))*12+MONTH(Lists!M$22)-MONTH($J53)))&gt;Lists!M$22)+1)))),N($C53)*IF($AE53-$AD53&lt;1,($AD53&gt;Lists!M$22)*($AD53&lt;=Lists!M$21),MAX(0,MIN(Lists!M$21,$AE53)-MAX(Lists!M$22,$AD53))/($AE53-$AD53))+N($D53)*IF($AG53-$AF53&lt;1,($AF53&gt;Lists!M$22)*($AF53&lt;=Lists!M$21),MAX(0,MIN(Lists!M$21,$AG53)-MAX(Lists!M$22,$AF53))/($AG53-$AF53))+N($E53)*IF($AI53-$AH53&lt;1,($AH53&gt;Lists!M$22)*($AH53&lt;=Lists!M$21),MAX(0,MIN(Lists!M$21,$AI53)-MAX(Lists!M$22,$AH53))/($AI53-$AH53))+N($F53)*IF($AK53-$AJ53&lt;1,($AJ53&gt;Lists!M$22)*($AJ53&lt;=Lists!M$21),MAX(0,MIN(Lists!M$21,$AK53)-MAX(Lists!M$22,$AJ53))/($AK53-$AJ53))+N($G53)*IF($AM53-$AL53&lt;1,($AL53&gt;Lists!M$22)*($AL53&lt;=Lists!M$21),MAX(0,MIN(Lists!M$21,$AM53)-MAX(Lists!M$22,$AL53))/($AM53-$AL53))))))))</f>
        <v>0</v>
      </c>
      <c r="X53" s="53" t="n">
        <f aca="false">IF($H53=0,0,IF($AP53="X",0,IF($AP53="S",$H53/$AO53*(MIN($AO53,MAX(0,INT((Lists!N$21-N($J53))/7)+1))-MIN($AO53,MAX(0,INT((Lists!N$22-N($J53))/7)+1))),IF($AP53="D",$H53*MAX(0,MIN(Lists!N$21,N($J53)+$AO53)-MAX(Lists!N$22,N($J53)))/$AO53,IF($AP53="M",$H53/$AO53*(IF(Lists!N$21&lt;$J53,0,MIN($AO53,(((YEAR(Lists!N$21)-YEAR($J53))*12+MONTH(Lists!N$21)-MONTH($J53))-(EDATE($J53,((YEAR(Lists!N$21)-YEAR($J53))*12+MONTH(Lists!N$21)-MONTH($J53)))&gt;Lists!N$21)+1)))-IF(Lists!N$22&lt;$J53,0,MIN($AO53,(((YEAR(Lists!N$22)-YEAR($J53))*12+MONTH(Lists!N$22)-MONTH($J53))-(EDATE($J53,((YEAR(Lists!N$22)-YEAR($J53))*12+MONTH(Lists!N$22)-MONTH($J53)))&gt;Lists!N$22)+1)))),IF($AP53="F",IF(N($K53)&lt;=0,0,MIN(MAX(0,$H53),N($K53)*IF(Lists!N$21&lt;$J53,0,(((YEAR(Lists!N$21)-YEAR($J53))*12+MONTH(Lists!N$21)-MONTH($J53))-(EDATE($J53,((YEAR(Lists!N$21)-YEAR($J53))*12+MONTH(Lists!N$21)-MONTH($J53)))&gt;Lists!N$21)+1)))-MIN(MAX(0,$H53),N($K53)*IF(Lists!N$22&lt;$J53,0,(((YEAR(Lists!N$22)-YEAR($J53))*12+MONTH(Lists!N$22)-MONTH($J53))-(EDATE($J53,((YEAR(Lists!N$22)-YEAR($J53))*12+MONTH(Lists!N$22)-MONTH($J53)))&gt;Lists!N$22)+1)))),N($C53)*IF($AE53-$AD53&lt;1,($AD53&gt;Lists!N$22)*($AD53&lt;=Lists!N$21),MAX(0,MIN(Lists!N$21,$AE53)-MAX(Lists!N$22,$AD53))/($AE53-$AD53))+N($D53)*IF($AG53-$AF53&lt;1,($AF53&gt;Lists!N$22)*($AF53&lt;=Lists!N$21),MAX(0,MIN(Lists!N$21,$AG53)-MAX(Lists!N$22,$AF53))/($AG53-$AF53))+N($E53)*IF($AI53-$AH53&lt;1,($AH53&gt;Lists!N$22)*($AH53&lt;=Lists!N$21),MAX(0,MIN(Lists!N$21,$AI53)-MAX(Lists!N$22,$AH53))/($AI53-$AH53))+N($F53)*IF($AK53-$AJ53&lt;1,($AJ53&gt;Lists!N$22)*($AJ53&lt;=Lists!N$21),MAX(0,MIN(Lists!N$21,$AK53)-MAX(Lists!N$22,$AJ53))/($AK53-$AJ53))+N($G53)*IF($AM53-$AL53&lt;1,($AL53&gt;Lists!N$22)*($AL53&lt;=Lists!N$21),MAX(0,MIN(Lists!N$21,$AM53)-MAX(Lists!N$22,$AL53))/($AM53-$AL53))))))))</f>
        <v>0</v>
      </c>
      <c r="Y53" s="53" t="n">
        <f aca="false">IF($H53=0,0,IF($AP53="X",0,IF($AP53="S",$H53/$AO53*(MIN($AO53,MAX(0,INT((Lists!O$21-N($J53))/7)+1))-MIN($AO53,MAX(0,INT((Lists!O$22-N($J53))/7)+1))),IF($AP53="D",$H53*MAX(0,MIN(Lists!O$21,N($J53)+$AO53)-MAX(Lists!O$22,N($J53)))/$AO53,IF($AP53="M",$H53/$AO53*(IF(Lists!O$21&lt;$J53,0,MIN($AO53,(((YEAR(Lists!O$21)-YEAR($J53))*12+MONTH(Lists!O$21)-MONTH($J53))-(EDATE($J53,((YEAR(Lists!O$21)-YEAR($J53))*12+MONTH(Lists!O$21)-MONTH($J53)))&gt;Lists!O$21)+1)))-IF(Lists!O$22&lt;$J53,0,MIN($AO53,(((YEAR(Lists!O$22)-YEAR($J53))*12+MONTH(Lists!O$22)-MONTH($J53))-(EDATE($J53,((YEAR(Lists!O$22)-YEAR($J53))*12+MONTH(Lists!O$22)-MONTH($J53)))&gt;Lists!O$22)+1)))),IF($AP53="F",IF(N($K53)&lt;=0,0,MIN(MAX(0,$H53),N($K53)*IF(Lists!O$21&lt;$J53,0,(((YEAR(Lists!O$21)-YEAR($J53))*12+MONTH(Lists!O$21)-MONTH($J53))-(EDATE($J53,((YEAR(Lists!O$21)-YEAR($J53))*12+MONTH(Lists!O$21)-MONTH($J53)))&gt;Lists!O$21)+1)))-MIN(MAX(0,$H53),N($K53)*IF(Lists!O$22&lt;$J53,0,(((YEAR(Lists!O$22)-YEAR($J53))*12+MONTH(Lists!O$22)-MONTH($J53))-(EDATE($J53,((YEAR(Lists!O$22)-YEAR($J53))*12+MONTH(Lists!O$22)-MONTH($J53)))&gt;Lists!O$22)+1)))),N($C53)*IF($AE53-$AD53&lt;1,($AD53&gt;Lists!O$22)*($AD53&lt;=Lists!O$21),MAX(0,MIN(Lists!O$21,$AE53)-MAX(Lists!O$22,$AD53))/($AE53-$AD53))+N($D53)*IF($AG53-$AF53&lt;1,($AF53&gt;Lists!O$22)*($AF53&lt;=Lists!O$21),MAX(0,MIN(Lists!O$21,$AG53)-MAX(Lists!O$22,$AF53))/($AG53-$AF53))+N($E53)*IF($AI53-$AH53&lt;1,($AH53&gt;Lists!O$22)*($AH53&lt;=Lists!O$21),MAX(0,MIN(Lists!O$21,$AI53)-MAX(Lists!O$22,$AH53))/($AI53-$AH53))+N($F53)*IF($AK53-$AJ53&lt;1,($AJ53&gt;Lists!O$22)*($AJ53&lt;=Lists!O$21),MAX(0,MIN(Lists!O$21,$AK53)-MAX(Lists!O$22,$AJ53))/($AK53-$AJ53))+N($G53)*IF($AM53-$AL53&lt;1,($AL53&gt;Lists!O$22)*($AL53&lt;=Lists!O$21),MAX(0,MIN(Lists!O$21,$AM53)-MAX(Lists!O$22,$AL53))/($AM53-$AL53))))))))</f>
        <v>0</v>
      </c>
      <c r="Z53" s="46" t="n">
        <f aca="false">SUM(M53:Y53)</f>
        <v>0</v>
      </c>
      <c r="AA53" s="92" t="n">
        <f aca="false">H53-Z53</f>
        <v>0</v>
      </c>
      <c r="AB53" s="55"/>
      <c r="AC53" s="2"/>
      <c r="AD53" s="93" t="n">
        <f aca="false">Setup!$D$10+MAX(0,$AN53-30)</f>
        <v>46345</v>
      </c>
      <c r="AE53" s="93" t="n">
        <f aca="false">Setup!$D$10+IF($AN53-30&lt;0,MAX(Setup!$D$22,$AN53-0),$AN53-0)</f>
        <v>46375</v>
      </c>
      <c r="AF53" s="93" t="n">
        <f aca="false">Setup!$D$10+MAX(0,$AN53-60)</f>
        <v>46335</v>
      </c>
      <c r="AG53" s="93" t="n">
        <f aca="false">Setup!$D$10+IF($AN53-60&lt;0,MAX(Setup!$D$22,$AN53-31),$AN53-31)</f>
        <v>46363</v>
      </c>
      <c r="AH53" s="93" t="n">
        <f aca="false">Setup!$D$10+MAX(0,$AN53-90)</f>
        <v>46335</v>
      </c>
      <c r="AI53" s="93" t="n">
        <f aca="false">Setup!$D$10+IF($AN53-90&lt;0,MAX(Setup!$D$22,$AN53-61),$AN53-61)</f>
        <v>46363</v>
      </c>
      <c r="AJ53" s="93" t="n">
        <f aca="false">Setup!$D$10+MAX(0,$AN53-120)</f>
        <v>46335</v>
      </c>
      <c r="AK53" s="93" t="n">
        <f aca="false">Setup!$D$10+IF($AN53-120&lt;0,MAX(Setup!$D$22,$AN53-91),$AN53-91)</f>
        <v>46363</v>
      </c>
      <c r="AL53" s="93" t="n">
        <f aca="false">Setup!$D$10</f>
        <v>46335</v>
      </c>
      <c r="AM53" s="93" t="n">
        <f aca="false">IF(AL53=2958465,AL53,Setup!$D$10+Setup!$D$22)</f>
        <v>46363</v>
      </c>
      <c r="AN53" s="94" t="n">
        <f aca="false">IF(N(L53)=0,Setup!$D$21,L53)</f>
        <v>40</v>
      </c>
      <c r="AO53" s="94" t="n">
        <f aca="false">MAX(1,ROUND(N(K53),0))</f>
        <v>1</v>
      </c>
      <c r="AP53" s="95" t="str">
        <f aca="false">IF(I53="On hold","X",IF(N(J53)=0,"A",IF(I53="Specific date","S",IF(I53="Spread over days","D",IF(I53="Monthly on set day","M",IF(I53="Monthly fixed amount","F","A"))))))</f>
        <v>A</v>
      </c>
    </row>
    <row r="54" customFormat="false" ht="15" hidden="false" customHeight="false" outlineLevel="0" collapsed="false">
      <c r="A54" s="87" t="n">
        <v>46</v>
      </c>
      <c r="B54" s="55"/>
      <c r="C54" s="88"/>
      <c r="D54" s="88"/>
      <c r="E54" s="88"/>
      <c r="F54" s="88"/>
      <c r="G54" s="88"/>
      <c r="H54" s="89" t="n">
        <f aca="false">SUM(C54:G54)</f>
        <v>0</v>
      </c>
      <c r="I54" s="58"/>
      <c r="J54" s="90"/>
      <c r="K54" s="91"/>
      <c r="L54" s="80"/>
      <c r="M54" s="53" t="n">
        <f aca="false">IF($H54=0,0,IF($AP54="X",0,IF($AP54="S",$H54/$AO54*(MIN($AO54,MAX(0,INT((Lists!C$21-N($J54))/7)+1))-MIN($AO54,MAX(0,INT((Lists!C$22-N($J54))/7)+1))),IF($AP54="D",$H54*MAX(0,MIN(Lists!C$21,N($J54)+$AO54)-MAX(Lists!C$22,N($J54)))/$AO54,IF($AP54="M",$H54/$AO54*(IF(Lists!C$21&lt;$J54,0,MIN($AO54,(((YEAR(Lists!C$21)-YEAR($J54))*12+MONTH(Lists!C$21)-MONTH($J54))-(EDATE($J54,((YEAR(Lists!C$21)-YEAR($J54))*12+MONTH(Lists!C$21)-MONTH($J54)))&gt;Lists!C$21)+1)))-IF(Lists!C$22&lt;$J54,0,MIN($AO54,(((YEAR(Lists!C$22)-YEAR($J54))*12+MONTH(Lists!C$22)-MONTH($J54))-(EDATE($J54,((YEAR(Lists!C$22)-YEAR($J54))*12+MONTH(Lists!C$22)-MONTH($J54)))&gt;Lists!C$22)+1)))),IF($AP54="F",IF(N($K54)&lt;=0,0,MIN(MAX(0,$H54),N($K54)*IF(Lists!C$21&lt;$J54,0,(((YEAR(Lists!C$21)-YEAR($J54))*12+MONTH(Lists!C$21)-MONTH($J54))-(EDATE($J54,((YEAR(Lists!C$21)-YEAR($J54))*12+MONTH(Lists!C$21)-MONTH($J54)))&gt;Lists!C$21)+1)))-MIN(MAX(0,$H54),N($K54)*IF(Lists!C$22&lt;$J54,0,(((YEAR(Lists!C$22)-YEAR($J54))*12+MONTH(Lists!C$22)-MONTH($J54))-(EDATE($J54,((YEAR(Lists!C$22)-YEAR($J54))*12+MONTH(Lists!C$22)-MONTH($J54)))&gt;Lists!C$22)+1)))),N($C54)*IF($AE54-$AD54&lt;1,($AD54&gt;Lists!C$22)*($AD54&lt;=Lists!C$21),MAX(0,MIN(Lists!C$21,$AE54)-MAX(Lists!C$22,$AD54))/($AE54-$AD54))+N($D54)*IF($AG54-$AF54&lt;1,($AF54&gt;Lists!C$22)*($AF54&lt;=Lists!C$21),MAX(0,MIN(Lists!C$21,$AG54)-MAX(Lists!C$22,$AF54))/($AG54-$AF54))+N($E54)*IF($AI54-$AH54&lt;1,($AH54&gt;Lists!C$22)*($AH54&lt;=Lists!C$21),MAX(0,MIN(Lists!C$21,$AI54)-MAX(Lists!C$22,$AH54))/($AI54-$AH54))+N($F54)*IF($AK54-$AJ54&lt;1,($AJ54&gt;Lists!C$22)*($AJ54&lt;=Lists!C$21),MAX(0,MIN(Lists!C$21,$AK54)-MAX(Lists!C$22,$AJ54))/($AK54-$AJ54))+N($G54)*IF($AM54-$AL54&lt;1,($AL54&gt;Lists!C$22)*($AL54&lt;=Lists!C$21),MAX(0,MIN(Lists!C$21,$AM54)-MAX(Lists!C$22,$AL54))/($AM54-$AL54))))))))</f>
        <v>0</v>
      </c>
      <c r="N54" s="53" t="n">
        <f aca="false">IF($H54=0,0,IF($AP54="X",0,IF($AP54="S",$H54/$AO54*(MIN($AO54,MAX(0,INT((Lists!D$21-N($J54))/7)+1))-MIN($AO54,MAX(0,INT((Lists!D$22-N($J54))/7)+1))),IF($AP54="D",$H54*MAX(0,MIN(Lists!D$21,N($J54)+$AO54)-MAX(Lists!D$22,N($J54)))/$AO54,IF($AP54="M",$H54/$AO54*(IF(Lists!D$21&lt;$J54,0,MIN($AO54,(((YEAR(Lists!D$21)-YEAR($J54))*12+MONTH(Lists!D$21)-MONTH($J54))-(EDATE($J54,((YEAR(Lists!D$21)-YEAR($J54))*12+MONTH(Lists!D$21)-MONTH($J54)))&gt;Lists!D$21)+1)))-IF(Lists!D$22&lt;$J54,0,MIN($AO54,(((YEAR(Lists!D$22)-YEAR($J54))*12+MONTH(Lists!D$22)-MONTH($J54))-(EDATE($J54,((YEAR(Lists!D$22)-YEAR($J54))*12+MONTH(Lists!D$22)-MONTH($J54)))&gt;Lists!D$22)+1)))),IF($AP54="F",IF(N($K54)&lt;=0,0,MIN(MAX(0,$H54),N($K54)*IF(Lists!D$21&lt;$J54,0,(((YEAR(Lists!D$21)-YEAR($J54))*12+MONTH(Lists!D$21)-MONTH($J54))-(EDATE($J54,((YEAR(Lists!D$21)-YEAR($J54))*12+MONTH(Lists!D$21)-MONTH($J54)))&gt;Lists!D$21)+1)))-MIN(MAX(0,$H54),N($K54)*IF(Lists!D$22&lt;$J54,0,(((YEAR(Lists!D$22)-YEAR($J54))*12+MONTH(Lists!D$22)-MONTH($J54))-(EDATE($J54,((YEAR(Lists!D$22)-YEAR($J54))*12+MONTH(Lists!D$22)-MONTH($J54)))&gt;Lists!D$22)+1)))),N($C54)*IF($AE54-$AD54&lt;1,($AD54&gt;Lists!D$22)*($AD54&lt;=Lists!D$21),MAX(0,MIN(Lists!D$21,$AE54)-MAX(Lists!D$22,$AD54))/($AE54-$AD54))+N($D54)*IF($AG54-$AF54&lt;1,($AF54&gt;Lists!D$22)*($AF54&lt;=Lists!D$21),MAX(0,MIN(Lists!D$21,$AG54)-MAX(Lists!D$22,$AF54))/($AG54-$AF54))+N($E54)*IF($AI54-$AH54&lt;1,($AH54&gt;Lists!D$22)*($AH54&lt;=Lists!D$21),MAX(0,MIN(Lists!D$21,$AI54)-MAX(Lists!D$22,$AH54))/($AI54-$AH54))+N($F54)*IF($AK54-$AJ54&lt;1,($AJ54&gt;Lists!D$22)*($AJ54&lt;=Lists!D$21),MAX(0,MIN(Lists!D$21,$AK54)-MAX(Lists!D$22,$AJ54))/($AK54-$AJ54))+N($G54)*IF($AM54-$AL54&lt;1,($AL54&gt;Lists!D$22)*($AL54&lt;=Lists!D$21),MAX(0,MIN(Lists!D$21,$AM54)-MAX(Lists!D$22,$AL54))/($AM54-$AL54))))))))</f>
        <v>0</v>
      </c>
      <c r="O54" s="53" t="n">
        <f aca="false">IF($H54=0,0,IF($AP54="X",0,IF($AP54="S",$H54/$AO54*(MIN($AO54,MAX(0,INT((Lists!E$21-N($J54))/7)+1))-MIN($AO54,MAX(0,INT((Lists!E$22-N($J54))/7)+1))),IF($AP54="D",$H54*MAX(0,MIN(Lists!E$21,N($J54)+$AO54)-MAX(Lists!E$22,N($J54)))/$AO54,IF($AP54="M",$H54/$AO54*(IF(Lists!E$21&lt;$J54,0,MIN($AO54,(((YEAR(Lists!E$21)-YEAR($J54))*12+MONTH(Lists!E$21)-MONTH($J54))-(EDATE($J54,((YEAR(Lists!E$21)-YEAR($J54))*12+MONTH(Lists!E$21)-MONTH($J54)))&gt;Lists!E$21)+1)))-IF(Lists!E$22&lt;$J54,0,MIN($AO54,(((YEAR(Lists!E$22)-YEAR($J54))*12+MONTH(Lists!E$22)-MONTH($J54))-(EDATE($J54,((YEAR(Lists!E$22)-YEAR($J54))*12+MONTH(Lists!E$22)-MONTH($J54)))&gt;Lists!E$22)+1)))),IF($AP54="F",IF(N($K54)&lt;=0,0,MIN(MAX(0,$H54),N($K54)*IF(Lists!E$21&lt;$J54,0,(((YEAR(Lists!E$21)-YEAR($J54))*12+MONTH(Lists!E$21)-MONTH($J54))-(EDATE($J54,((YEAR(Lists!E$21)-YEAR($J54))*12+MONTH(Lists!E$21)-MONTH($J54)))&gt;Lists!E$21)+1)))-MIN(MAX(0,$H54),N($K54)*IF(Lists!E$22&lt;$J54,0,(((YEAR(Lists!E$22)-YEAR($J54))*12+MONTH(Lists!E$22)-MONTH($J54))-(EDATE($J54,((YEAR(Lists!E$22)-YEAR($J54))*12+MONTH(Lists!E$22)-MONTH($J54)))&gt;Lists!E$22)+1)))),N($C54)*IF($AE54-$AD54&lt;1,($AD54&gt;Lists!E$22)*($AD54&lt;=Lists!E$21),MAX(0,MIN(Lists!E$21,$AE54)-MAX(Lists!E$22,$AD54))/($AE54-$AD54))+N($D54)*IF($AG54-$AF54&lt;1,($AF54&gt;Lists!E$22)*($AF54&lt;=Lists!E$21),MAX(0,MIN(Lists!E$21,$AG54)-MAX(Lists!E$22,$AF54))/($AG54-$AF54))+N($E54)*IF($AI54-$AH54&lt;1,($AH54&gt;Lists!E$22)*($AH54&lt;=Lists!E$21),MAX(0,MIN(Lists!E$21,$AI54)-MAX(Lists!E$22,$AH54))/($AI54-$AH54))+N($F54)*IF($AK54-$AJ54&lt;1,($AJ54&gt;Lists!E$22)*($AJ54&lt;=Lists!E$21),MAX(0,MIN(Lists!E$21,$AK54)-MAX(Lists!E$22,$AJ54))/($AK54-$AJ54))+N($G54)*IF($AM54-$AL54&lt;1,($AL54&gt;Lists!E$22)*($AL54&lt;=Lists!E$21),MAX(0,MIN(Lists!E$21,$AM54)-MAX(Lists!E$22,$AL54))/($AM54-$AL54))))))))</f>
        <v>0</v>
      </c>
      <c r="P54" s="53" t="n">
        <f aca="false">IF($H54=0,0,IF($AP54="X",0,IF($AP54="S",$H54/$AO54*(MIN($AO54,MAX(0,INT((Lists!F$21-N($J54))/7)+1))-MIN($AO54,MAX(0,INT((Lists!F$22-N($J54))/7)+1))),IF($AP54="D",$H54*MAX(0,MIN(Lists!F$21,N($J54)+$AO54)-MAX(Lists!F$22,N($J54)))/$AO54,IF($AP54="M",$H54/$AO54*(IF(Lists!F$21&lt;$J54,0,MIN($AO54,(((YEAR(Lists!F$21)-YEAR($J54))*12+MONTH(Lists!F$21)-MONTH($J54))-(EDATE($J54,((YEAR(Lists!F$21)-YEAR($J54))*12+MONTH(Lists!F$21)-MONTH($J54)))&gt;Lists!F$21)+1)))-IF(Lists!F$22&lt;$J54,0,MIN($AO54,(((YEAR(Lists!F$22)-YEAR($J54))*12+MONTH(Lists!F$22)-MONTH($J54))-(EDATE($J54,((YEAR(Lists!F$22)-YEAR($J54))*12+MONTH(Lists!F$22)-MONTH($J54)))&gt;Lists!F$22)+1)))),IF($AP54="F",IF(N($K54)&lt;=0,0,MIN(MAX(0,$H54),N($K54)*IF(Lists!F$21&lt;$J54,0,(((YEAR(Lists!F$21)-YEAR($J54))*12+MONTH(Lists!F$21)-MONTH($J54))-(EDATE($J54,((YEAR(Lists!F$21)-YEAR($J54))*12+MONTH(Lists!F$21)-MONTH($J54)))&gt;Lists!F$21)+1)))-MIN(MAX(0,$H54),N($K54)*IF(Lists!F$22&lt;$J54,0,(((YEAR(Lists!F$22)-YEAR($J54))*12+MONTH(Lists!F$22)-MONTH($J54))-(EDATE($J54,((YEAR(Lists!F$22)-YEAR($J54))*12+MONTH(Lists!F$22)-MONTH($J54)))&gt;Lists!F$22)+1)))),N($C54)*IF($AE54-$AD54&lt;1,($AD54&gt;Lists!F$22)*($AD54&lt;=Lists!F$21),MAX(0,MIN(Lists!F$21,$AE54)-MAX(Lists!F$22,$AD54))/($AE54-$AD54))+N($D54)*IF($AG54-$AF54&lt;1,($AF54&gt;Lists!F$22)*($AF54&lt;=Lists!F$21),MAX(0,MIN(Lists!F$21,$AG54)-MAX(Lists!F$22,$AF54))/($AG54-$AF54))+N($E54)*IF($AI54-$AH54&lt;1,($AH54&gt;Lists!F$22)*($AH54&lt;=Lists!F$21),MAX(0,MIN(Lists!F$21,$AI54)-MAX(Lists!F$22,$AH54))/($AI54-$AH54))+N($F54)*IF($AK54-$AJ54&lt;1,($AJ54&gt;Lists!F$22)*($AJ54&lt;=Lists!F$21),MAX(0,MIN(Lists!F$21,$AK54)-MAX(Lists!F$22,$AJ54))/($AK54-$AJ54))+N($G54)*IF($AM54-$AL54&lt;1,($AL54&gt;Lists!F$22)*($AL54&lt;=Lists!F$21),MAX(0,MIN(Lists!F$21,$AM54)-MAX(Lists!F$22,$AL54))/($AM54-$AL54))))))))</f>
        <v>0</v>
      </c>
      <c r="Q54" s="53" t="n">
        <f aca="false">IF($H54=0,0,IF($AP54="X",0,IF($AP54="S",$H54/$AO54*(MIN($AO54,MAX(0,INT((Lists!G$21-N($J54))/7)+1))-MIN($AO54,MAX(0,INT((Lists!G$22-N($J54))/7)+1))),IF($AP54="D",$H54*MAX(0,MIN(Lists!G$21,N($J54)+$AO54)-MAX(Lists!G$22,N($J54)))/$AO54,IF($AP54="M",$H54/$AO54*(IF(Lists!G$21&lt;$J54,0,MIN($AO54,(((YEAR(Lists!G$21)-YEAR($J54))*12+MONTH(Lists!G$21)-MONTH($J54))-(EDATE($J54,((YEAR(Lists!G$21)-YEAR($J54))*12+MONTH(Lists!G$21)-MONTH($J54)))&gt;Lists!G$21)+1)))-IF(Lists!G$22&lt;$J54,0,MIN($AO54,(((YEAR(Lists!G$22)-YEAR($J54))*12+MONTH(Lists!G$22)-MONTH($J54))-(EDATE($J54,((YEAR(Lists!G$22)-YEAR($J54))*12+MONTH(Lists!G$22)-MONTH($J54)))&gt;Lists!G$22)+1)))),IF($AP54="F",IF(N($K54)&lt;=0,0,MIN(MAX(0,$H54),N($K54)*IF(Lists!G$21&lt;$J54,0,(((YEAR(Lists!G$21)-YEAR($J54))*12+MONTH(Lists!G$21)-MONTH($J54))-(EDATE($J54,((YEAR(Lists!G$21)-YEAR($J54))*12+MONTH(Lists!G$21)-MONTH($J54)))&gt;Lists!G$21)+1)))-MIN(MAX(0,$H54),N($K54)*IF(Lists!G$22&lt;$J54,0,(((YEAR(Lists!G$22)-YEAR($J54))*12+MONTH(Lists!G$22)-MONTH($J54))-(EDATE($J54,((YEAR(Lists!G$22)-YEAR($J54))*12+MONTH(Lists!G$22)-MONTH($J54)))&gt;Lists!G$22)+1)))),N($C54)*IF($AE54-$AD54&lt;1,($AD54&gt;Lists!G$22)*($AD54&lt;=Lists!G$21),MAX(0,MIN(Lists!G$21,$AE54)-MAX(Lists!G$22,$AD54))/($AE54-$AD54))+N($D54)*IF($AG54-$AF54&lt;1,($AF54&gt;Lists!G$22)*($AF54&lt;=Lists!G$21),MAX(0,MIN(Lists!G$21,$AG54)-MAX(Lists!G$22,$AF54))/($AG54-$AF54))+N($E54)*IF($AI54-$AH54&lt;1,($AH54&gt;Lists!G$22)*($AH54&lt;=Lists!G$21),MAX(0,MIN(Lists!G$21,$AI54)-MAX(Lists!G$22,$AH54))/($AI54-$AH54))+N($F54)*IF($AK54-$AJ54&lt;1,($AJ54&gt;Lists!G$22)*($AJ54&lt;=Lists!G$21),MAX(0,MIN(Lists!G$21,$AK54)-MAX(Lists!G$22,$AJ54))/($AK54-$AJ54))+N($G54)*IF($AM54-$AL54&lt;1,($AL54&gt;Lists!G$22)*($AL54&lt;=Lists!G$21),MAX(0,MIN(Lists!G$21,$AM54)-MAX(Lists!G$22,$AL54))/($AM54-$AL54))))))))</f>
        <v>0</v>
      </c>
      <c r="R54" s="53" t="n">
        <f aca="false">IF($H54=0,0,IF($AP54="X",0,IF($AP54="S",$H54/$AO54*(MIN($AO54,MAX(0,INT((Lists!H$21-N($J54))/7)+1))-MIN($AO54,MAX(0,INT((Lists!H$22-N($J54))/7)+1))),IF($AP54="D",$H54*MAX(0,MIN(Lists!H$21,N($J54)+$AO54)-MAX(Lists!H$22,N($J54)))/$AO54,IF($AP54="M",$H54/$AO54*(IF(Lists!H$21&lt;$J54,0,MIN($AO54,(((YEAR(Lists!H$21)-YEAR($J54))*12+MONTH(Lists!H$21)-MONTH($J54))-(EDATE($J54,((YEAR(Lists!H$21)-YEAR($J54))*12+MONTH(Lists!H$21)-MONTH($J54)))&gt;Lists!H$21)+1)))-IF(Lists!H$22&lt;$J54,0,MIN($AO54,(((YEAR(Lists!H$22)-YEAR($J54))*12+MONTH(Lists!H$22)-MONTH($J54))-(EDATE($J54,((YEAR(Lists!H$22)-YEAR($J54))*12+MONTH(Lists!H$22)-MONTH($J54)))&gt;Lists!H$22)+1)))),IF($AP54="F",IF(N($K54)&lt;=0,0,MIN(MAX(0,$H54),N($K54)*IF(Lists!H$21&lt;$J54,0,(((YEAR(Lists!H$21)-YEAR($J54))*12+MONTH(Lists!H$21)-MONTH($J54))-(EDATE($J54,((YEAR(Lists!H$21)-YEAR($J54))*12+MONTH(Lists!H$21)-MONTH($J54)))&gt;Lists!H$21)+1)))-MIN(MAX(0,$H54),N($K54)*IF(Lists!H$22&lt;$J54,0,(((YEAR(Lists!H$22)-YEAR($J54))*12+MONTH(Lists!H$22)-MONTH($J54))-(EDATE($J54,((YEAR(Lists!H$22)-YEAR($J54))*12+MONTH(Lists!H$22)-MONTH($J54)))&gt;Lists!H$22)+1)))),N($C54)*IF($AE54-$AD54&lt;1,($AD54&gt;Lists!H$22)*($AD54&lt;=Lists!H$21),MAX(0,MIN(Lists!H$21,$AE54)-MAX(Lists!H$22,$AD54))/($AE54-$AD54))+N($D54)*IF($AG54-$AF54&lt;1,($AF54&gt;Lists!H$22)*($AF54&lt;=Lists!H$21),MAX(0,MIN(Lists!H$21,$AG54)-MAX(Lists!H$22,$AF54))/($AG54-$AF54))+N($E54)*IF($AI54-$AH54&lt;1,($AH54&gt;Lists!H$22)*($AH54&lt;=Lists!H$21),MAX(0,MIN(Lists!H$21,$AI54)-MAX(Lists!H$22,$AH54))/($AI54-$AH54))+N($F54)*IF($AK54-$AJ54&lt;1,($AJ54&gt;Lists!H$22)*($AJ54&lt;=Lists!H$21),MAX(0,MIN(Lists!H$21,$AK54)-MAX(Lists!H$22,$AJ54))/($AK54-$AJ54))+N($G54)*IF($AM54-$AL54&lt;1,($AL54&gt;Lists!H$22)*($AL54&lt;=Lists!H$21),MAX(0,MIN(Lists!H$21,$AM54)-MAX(Lists!H$22,$AL54))/($AM54-$AL54))))))))</f>
        <v>0</v>
      </c>
      <c r="S54" s="53" t="n">
        <f aca="false">IF($H54=0,0,IF($AP54="X",0,IF($AP54="S",$H54/$AO54*(MIN($AO54,MAX(0,INT((Lists!I$21-N($J54))/7)+1))-MIN($AO54,MAX(0,INT((Lists!I$22-N($J54))/7)+1))),IF($AP54="D",$H54*MAX(0,MIN(Lists!I$21,N($J54)+$AO54)-MAX(Lists!I$22,N($J54)))/$AO54,IF($AP54="M",$H54/$AO54*(IF(Lists!I$21&lt;$J54,0,MIN($AO54,(((YEAR(Lists!I$21)-YEAR($J54))*12+MONTH(Lists!I$21)-MONTH($J54))-(EDATE($J54,((YEAR(Lists!I$21)-YEAR($J54))*12+MONTH(Lists!I$21)-MONTH($J54)))&gt;Lists!I$21)+1)))-IF(Lists!I$22&lt;$J54,0,MIN($AO54,(((YEAR(Lists!I$22)-YEAR($J54))*12+MONTH(Lists!I$22)-MONTH($J54))-(EDATE($J54,((YEAR(Lists!I$22)-YEAR($J54))*12+MONTH(Lists!I$22)-MONTH($J54)))&gt;Lists!I$22)+1)))),IF($AP54="F",IF(N($K54)&lt;=0,0,MIN(MAX(0,$H54),N($K54)*IF(Lists!I$21&lt;$J54,0,(((YEAR(Lists!I$21)-YEAR($J54))*12+MONTH(Lists!I$21)-MONTH($J54))-(EDATE($J54,((YEAR(Lists!I$21)-YEAR($J54))*12+MONTH(Lists!I$21)-MONTH($J54)))&gt;Lists!I$21)+1)))-MIN(MAX(0,$H54),N($K54)*IF(Lists!I$22&lt;$J54,0,(((YEAR(Lists!I$22)-YEAR($J54))*12+MONTH(Lists!I$22)-MONTH($J54))-(EDATE($J54,((YEAR(Lists!I$22)-YEAR($J54))*12+MONTH(Lists!I$22)-MONTH($J54)))&gt;Lists!I$22)+1)))),N($C54)*IF($AE54-$AD54&lt;1,($AD54&gt;Lists!I$22)*($AD54&lt;=Lists!I$21),MAX(0,MIN(Lists!I$21,$AE54)-MAX(Lists!I$22,$AD54))/($AE54-$AD54))+N($D54)*IF($AG54-$AF54&lt;1,($AF54&gt;Lists!I$22)*($AF54&lt;=Lists!I$21),MAX(0,MIN(Lists!I$21,$AG54)-MAX(Lists!I$22,$AF54))/($AG54-$AF54))+N($E54)*IF($AI54-$AH54&lt;1,($AH54&gt;Lists!I$22)*($AH54&lt;=Lists!I$21),MAX(0,MIN(Lists!I$21,$AI54)-MAX(Lists!I$22,$AH54))/($AI54-$AH54))+N($F54)*IF($AK54-$AJ54&lt;1,($AJ54&gt;Lists!I$22)*($AJ54&lt;=Lists!I$21),MAX(0,MIN(Lists!I$21,$AK54)-MAX(Lists!I$22,$AJ54))/($AK54-$AJ54))+N($G54)*IF($AM54-$AL54&lt;1,($AL54&gt;Lists!I$22)*($AL54&lt;=Lists!I$21),MAX(0,MIN(Lists!I$21,$AM54)-MAX(Lists!I$22,$AL54))/($AM54-$AL54))))))))</f>
        <v>0</v>
      </c>
      <c r="T54" s="53" t="n">
        <f aca="false">IF($H54=0,0,IF($AP54="X",0,IF($AP54="S",$H54/$AO54*(MIN($AO54,MAX(0,INT((Lists!J$21-N($J54))/7)+1))-MIN($AO54,MAX(0,INT((Lists!J$22-N($J54))/7)+1))),IF($AP54="D",$H54*MAX(0,MIN(Lists!J$21,N($J54)+$AO54)-MAX(Lists!J$22,N($J54)))/$AO54,IF($AP54="M",$H54/$AO54*(IF(Lists!J$21&lt;$J54,0,MIN($AO54,(((YEAR(Lists!J$21)-YEAR($J54))*12+MONTH(Lists!J$21)-MONTH($J54))-(EDATE($J54,((YEAR(Lists!J$21)-YEAR($J54))*12+MONTH(Lists!J$21)-MONTH($J54)))&gt;Lists!J$21)+1)))-IF(Lists!J$22&lt;$J54,0,MIN($AO54,(((YEAR(Lists!J$22)-YEAR($J54))*12+MONTH(Lists!J$22)-MONTH($J54))-(EDATE($J54,((YEAR(Lists!J$22)-YEAR($J54))*12+MONTH(Lists!J$22)-MONTH($J54)))&gt;Lists!J$22)+1)))),IF($AP54="F",IF(N($K54)&lt;=0,0,MIN(MAX(0,$H54),N($K54)*IF(Lists!J$21&lt;$J54,0,(((YEAR(Lists!J$21)-YEAR($J54))*12+MONTH(Lists!J$21)-MONTH($J54))-(EDATE($J54,((YEAR(Lists!J$21)-YEAR($J54))*12+MONTH(Lists!J$21)-MONTH($J54)))&gt;Lists!J$21)+1)))-MIN(MAX(0,$H54),N($K54)*IF(Lists!J$22&lt;$J54,0,(((YEAR(Lists!J$22)-YEAR($J54))*12+MONTH(Lists!J$22)-MONTH($J54))-(EDATE($J54,((YEAR(Lists!J$22)-YEAR($J54))*12+MONTH(Lists!J$22)-MONTH($J54)))&gt;Lists!J$22)+1)))),N($C54)*IF($AE54-$AD54&lt;1,($AD54&gt;Lists!J$22)*($AD54&lt;=Lists!J$21),MAX(0,MIN(Lists!J$21,$AE54)-MAX(Lists!J$22,$AD54))/($AE54-$AD54))+N($D54)*IF($AG54-$AF54&lt;1,($AF54&gt;Lists!J$22)*($AF54&lt;=Lists!J$21),MAX(0,MIN(Lists!J$21,$AG54)-MAX(Lists!J$22,$AF54))/($AG54-$AF54))+N($E54)*IF($AI54-$AH54&lt;1,($AH54&gt;Lists!J$22)*($AH54&lt;=Lists!J$21),MAX(0,MIN(Lists!J$21,$AI54)-MAX(Lists!J$22,$AH54))/($AI54-$AH54))+N($F54)*IF($AK54-$AJ54&lt;1,($AJ54&gt;Lists!J$22)*($AJ54&lt;=Lists!J$21),MAX(0,MIN(Lists!J$21,$AK54)-MAX(Lists!J$22,$AJ54))/($AK54-$AJ54))+N($G54)*IF($AM54-$AL54&lt;1,($AL54&gt;Lists!J$22)*($AL54&lt;=Lists!J$21),MAX(0,MIN(Lists!J$21,$AM54)-MAX(Lists!J$22,$AL54))/($AM54-$AL54))))))))</f>
        <v>0</v>
      </c>
      <c r="U54" s="53" t="n">
        <f aca="false">IF($H54=0,0,IF($AP54="X",0,IF($AP54="S",$H54/$AO54*(MIN($AO54,MAX(0,INT((Lists!K$21-N($J54))/7)+1))-MIN($AO54,MAX(0,INT((Lists!K$22-N($J54))/7)+1))),IF($AP54="D",$H54*MAX(0,MIN(Lists!K$21,N($J54)+$AO54)-MAX(Lists!K$22,N($J54)))/$AO54,IF($AP54="M",$H54/$AO54*(IF(Lists!K$21&lt;$J54,0,MIN($AO54,(((YEAR(Lists!K$21)-YEAR($J54))*12+MONTH(Lists!K$21)-MONTH($J54))-(EDATE($J54,((YEAR(Lists!K$21)-YEAR($J54))*12+MONTH(Lists!K$21)-MONTH($J54)))&gt;Lists!K$21)+1)))-IF(Lists!K$22&lt;$J54,0,MIN($AO54,(((YEAR(Lists!K$22)-YEAR($J54))*12+MONTH(Lists!K$22)-MONTH($J54))-(EDATE($J54,((YEAR(Lists!K$22)-YEAR($J54))*12+MONTH(Lists!K$22)-MONTH($J54)))&gt;Lists!K$22)+1)))),IF($AP54="F",IF(N($K54)&lt;=0,0,MIN(MAX(0,$H54),N($K54)*IF(Lists!K$21&lt;$J54,0,(((YEAR(Lists!K$21)-YEAR($J54))*12+MONTH(Lists!K$21)-MONTH($J54))-(EDATE($J54,((YEAR(Lists!K$21)-YEAR($J54))*12+MONTH(Lists!K$21)-MONTH($J54)))&gt;Lists!K$21)+1)))-MIN(MAX(0,$H54),N($K54)*IF(Lists!K$22&lt;$J54,0,(((YEAR(Lists!K$22)-YEAR($J54))*12+MONTH(Lists!K$22)-MONTH($J54))-(EDATE($J54,((YEAR(Lists!K$22)-YEAR($J54))*12+MONTH(Lists!K$22)-MONTH($J54)))&gt;Lists!K$22)+1)))),N($C54)*IF($AE54-$AD54&lt;1,($AD54&gt;Lists!K$22)*($AD54&lt;=Lists!K$21),MAX(0,MIN(Lists!K$21,$AE54)-MAX(Lists!K$22,$AD54))/($AE54-$AD54))+N($D54)*IF($AG54-$AF54&lt;1,($AF54&gt;Lists!K$22)*($AF54&lt;=Lists!K$21),MAX(0,MIN(Lists!K$21,$AG54)-MAX(Lists!K$22,$AF54))/($AG54-$AF54))+N($E54)*IF($AI54-$AH54&lt;1,($AH54&gt;Lists!K$22)*($AH54&lt;=Lists!K$21),MAX(0,MIN(Lists!K$21,$AI54)-MAX(Lists!K$22,$AH54))/($AI54-$AH54))+N($F54)*IF($AK54-$AJ54&lt;1,($AJ54&gt;Lists!K$22)*($AJ54&lt;=Lists!K$21),MAX(0,MIN(Lists!K$21,$AK54)-MAX(Lists!K$22,$AJ54))/($AK54-$AJ54))+N($G54)*IF($AM54-$AL54&lt;1,($AL54&gt;Lists!K$22)*($AL54&lt;=Lists!K$21),MAX(0,MIN(Lists!K$21,$AM54)-MAX(Lists!K$22,$AL54))/($AM54-$AL54))))))))</f>
        <v>0</v>
      </c>
      <c r="V54" s="53" t="n">
        <f aca="false">IF($H54=0,0,IF($AP54="X",0,IF($AP54="S",$H54/$AO54*(MIN($AO54,MAX(0,INT((Lists!L$21-N($J54))/7)+1))-MIN($AO54,MAX(0,INT((Lists!L$22-N($J54))/7)+1))),IF($AP54="D",$H54*MAX(0,MIN(Lists!L$21,N($J54)+$AO54)-MAX(Lists!L$22,N($J54)))/$AO54,IF($AP54="M",$H54/$AO54*(IF(Lists!L$21&lt;$J54,0,MIN($AO54,(((YEAR(Lists!L$21)-YEAR($J54))*12+MONTH(Lists!L$21)-MONTH($J54))-(EDATE($J54,((YEAR(Lists!L$21)-YEAR($J54))*12+MONTH(Lists!L$21)-MONTH($J54)))&gt;Lists!L$21)+1)))-IF(Lists!L$22&lt;$J54,0,MIN($AO54,(((YEAR(Lists!L$22)-YEAR($J54))*12+MONTH(Lists!L$22)-MONTH($J54))-(EDATE($J54,((YEAR(Lists!L$22)-YEAR($J54))*12+MONTH(Lists!L$22)-MONTH($J54)))&gt;Lists!L$22)+1)))),IF($AP54="F",IF(N($K54)&lt;=0,0,MIN(MAX(0,$H54),N($K54)*IF(Lists!L$21&lt;$J54,0,(((YEAR(Lists!L$21)-YEAR($J54))*12+MONTH(Lists!L$21)-MONTH($J54))-(EDATE($J54,((YEAR(Lists!L$21)-YEAR($J54))*12+MONTH(Lists!L$21)-MONTH($J54)))&gt;Lists!L$21)+1)))-MIN(MAX(0,$H54),N($K54)*IF(Lists!L$22&lt;$J54,0,(((YEAR(Lists!L$22)-YEAR($J54))*12+MONTH(Lists!L$22)-MONTH($J54))-(EDATE($J54,((YEAR(Lists!L$22)-YEAR($J54))*12+MONTH(Lists!L$22)-MONTH($J54)))&gt;Lists!L$22)+1)))),N($C54)*IF($AE54-$AD54&lt;1,($AD54&gt;Lists!L$22)*($AD54&lt;=Lists!L$21),MAX(0,MIN(Lists!L$21,$AE54)-MAX(Lists!L$22,$AD54))/($AE54-$AD54))+N($D54)*IF($AG54-$AF54&lt;1,($AF54&gt;Lists!L$22)*($AF54&lt;=Lists!L$21),MAX(0,MIN(Lists!L$21,$AG54)-MAX(Lists!L$22,$AF54))/($AG54-$AF54))+N($E54)*IF($AI54-$AH54&lt;1,($AH54&gt;Lists!L$22)*($AH54&lt;=Lists!L$21),MAX(0,MIN(Lists!L$21,$AI54)-MAX(Lists!L$22,$AH54))/($AI54-$AH54))+N($F54)*IF($AK54-$AJ54&lt;1,($AJ54&gt;Lists!L$22)*($AJ54&lt;=Lists!L$21),MAX(0,MIN(Lists!L$21,$AK54)-MAX(Lists!L$22,$AJ54))/($AK54-$AJ54))+N($G54)*IF($AM54-$AL54&lt;1,($AL54&gt;Lists!L$22)*($AL54&lt;=Lists!L$21),MAX(0,MIN(Lists!L$21,$AM54)-MAX(Lists!L$22,$AL54))/($AM54-$AL54))))))))</f>
        <v>0</v>
      </c>
      <c r="W54" s="53" t="n">
        <f aca="false">IF($H54=0,0,IF($AP54="X",0,IF($AP54="S",$H54/$AO54*(MIN($AO54,MAX(0,INT((Lists!M$21-N($J54))/7)+1))-MIN($AO54,MAX(0,INT((Lists!M$22-N($J54))/7)+1))),IF($AP54="D",$H54*MAX(0,MIN(Lists!M$21,N($J54)+$AO54)-MAX(Lists!M$22,N($J54)))/$AO54,IF($AP54="M",$H54/$AO54*(IF(Lists!M$21&lt;$J54,0,MIN($AO54,(((YEAR(Lists!M$21)-YEAR($J54))*12+MONTH(Lists!M$21)-MONTH($J54))-(EDATE($J54,((YEAR(Lists!M$21)-YEAR($J54))*12+MONTH(Lists!M$21)-MONTH($J54)))&gt;Lists!M$21)+1)))-IF(Lists!M$22&lt;$J54,0,MIN($AO54,(((YEAR(Lists!M$22)-YEAR($J54))*12+MONTH(Lists!M$22)-MONTH($J54))-(EDATE($J54,((YEAR(Lists!M$22)-YEAR($J54))*12+MONTH(Lists!M$22)-MONTH($J54)))&gt;Lists!M$22)+1)))),IF($AP54="F",IF(N($K54)&lt;=0,0,MIN(MAX(0,$H54),N($K54)*IF(Lists!M$21&lt;$J54,0,(((YEAR(Lists!M$21)-YEAR($J54))*12+MONTH(Lists!M$21)-MONTH($J54))-(EDATE($J54,((YEAR(Lists!M$21)-YEAR($J54))*12+MONTH(Lists!M$21)-MONTH($J54)))&gt;Lists!M$21)+1)))-MIN(MAX(0,$H54),N($K54)*IF(Lists!M$22&lt;$J54,0,(((YEAR(Lists!M$22)-YEAR($J54))*12+MONTH(Lists!M$22)-MONTH($J54))-(EDATE($J54,((YEAR(Lists!M$22)-YEAR($J54))*12+MONTH(Lists!M$22)-MONTH($J54)))&gt;Lists!M$22)+1)))),N($C54)*IF($AE54-$AD54&lt;1,($AD54&gt;Lists!M$22)*($AD54&lt;=Lists!M$21),MAX(0,MIN(Lists!M$21,$AE54)-MAX(Lists!M$22,$AD54))/($AE54-$AD54))+N($D54)*IF($AG54-$AF54&lt;1,($AF54&gt;Lists!M$22)*($AF54&lt;=Lists!M$21),MAX(0,MIN(Lists!M$21,$AG54)-MAX(Lists!M$22,$AF54))/($AG54-$AF54))+N($E54)*IF($AI54-$AH54&lt;1,($AH54&gt;Lists!M$22)*($AH54&lt;=Lists!M$21),MAX(0,MIN(Lists!M$21,$AI54)-MAX(Lists!M$22,$AH54))/($AI54-$AH54))+N($F54)*IF($AK54-$AJ54&lt;1,($AJ54&gt;Lists!M$22)*($AJ54&lt;=Lists!M$21),MAX(0,MIN(Lists!M$21,$AK54)-MAX(Lists!M$22,$AJ54))/($AK54-$AJ54))+N($G54)*IF($AM54-$AL54&lt;1,($AL54&gt;Lists!M$22)*($AL54&lt;=Lists!M$21),MAX(0,MIN(Lists!M$21,$AM54)-MAX(Lists!M$22,$AL54))/($AM54-$AL54))))))))</f>
        <v>0</v>
      </c>
      <c r="X54" s="53" t="n">
        <f aca="false">IF($H54=0,0,IF($AP54="X",0,IF($AP54="S",$H54/$AO54*(MIN($AO54,MAX(0,INT((Lists!N$21-N($J54))/7)+1))-MIN($AO54,MAX(0,INT((Lists!N$22-N($J54))/7)+1))),IF($AP54="D",$H54*MAX(0,MIN(Lists!N$21,N($J54)+$AO54)-MAX(Lists!N$22,N($J54)))/$AO54,IF($AP54="M",$H54/$AO54*(IF(Lists!N$21&lt;$J54,0,MIN($AO54,(((YEAR(Lists!N$21)-YEAR($J54))*12+MONTH(Lists!N$21)-MONTH($J54))-(EDATE($J54,((YEAR(Lists!N$21)-YEAR($J54))*12+MONTH(Lists!N$21)-MONTH($J54)))&gt;Lists!N$21)+1)))-IF(Lists!N$22&lt;$J54,0,MIN($AO54,(((YEAR(Lists!N$22)-YEAR($J54))*12+MONTH(Lists!N$22)-MONTH($J54))-(EDATE($J54,((YEAR(Lists!N$22)-YEAR($J54))*12+MONTH(Lists!N$22)-MONTH($J54)))&gt;Lists!N$22)+1)))),IF($AP54="F",IF(N($K54)&lt;=0,0,MIN(MAX(0,$H54),N($K54)*IF(Lists!N$21&lt;$J54,0,(((YEAR(Lists!N$21)-YEAR($J54))*12+MONTH(Lists!N$21)-MONTH($J54))-(EDATE($J54,((YEAR(Lists!N$21)-YEAR($J54))*12+MONTH(Lists!N$21)-MONTH($J54)))&gt;Lists!N$21)+1)))-MIN(MAX(0,$H54),N($K54)*IF(Lists!N$22&lt;$J54,0,(((YEAR(Lists!N$22)-YEAR($J54))*12+MONTH(Lists!N$22)-MONTH($J54))-(EDATE($J54,((YEAR(Lists!N$22)-YEAR($J54))*12+MONTH(Lists!N$22)-MONTH($J54)))&gt;Lists!N$22)+1)))),N($C54)*IF($AE54-$AD54&lt;1,($AD54&gt;Lists!N$22)*($AD54&lt;=Lists!N$21),MAX(0,MIN(Lists!N$21,$AE54)-MAX(Lists!N$22,$AD54))/($AE54-$AD54))+N($D54)*IF($AG54-$AF54&lt;1,($AF54&gt;Lists!N$22)*($AF54&lt;=Lists!N$21),MAX(0,MIN(Lists!N$21,$AG54)-MAX(Lists!N$22,$AF54))/($AG54-$AF54))+N($E54)*IF($AI54-$AH54&lt;1,($AH54&gt;Lists!N$22)*($AH54&lt;=Lists!N$21),MAX(0,MIN(Lists!N$21,$AI54)-MAX(Lists!N$22,$AH54))/($AI54-$AH54))+N($F54)*IF($AK54-$AJ54&lt;1,($AJ54&gt;Lists!N$22)*($AJ54&lt;=Lists!N$21),MAX(0,MIN(Lists!N$21,$AK54)-MAX(Lists!N$22,$AJ54))/($AK54-$AJ54))+N($G54)*IF($AM54-$AL54&lt;1,($AL54&gt;Lists!N$22)*($AL54&lt;=Lists!N$21),MAX(0,MIN(Lists!N$21,$AM54)-MAX(Lists!N$22,$AL54))/($AM54-$AL54))))))))</f>
        <v>0</v>
      </c>
      <c r="Y54" s="53" t="n">
        <f aca="false">IF($H54=0,0,IF($AP54="X",0,IF($AP54="S",$H54/$AO54*(MIN($AO54,MAX(0,INT((Lists!O$21-N($J54))/7)+1))-MIN($AO54,MAX(0,INT((Lists!O$22-N($J54))/7)+1))),IF($AP54="D",$H54*MAX(0,MIN(Lists!O$21,N($J54)+$AO54)-MAX(Lists!O$22,N($J54)))/$AO54,IF($AP54="M",$H54/$AO54*(IF(Lists!O$21&lt;$J54,0,MIN($AO54,(((YEAR(Lists!O$21)-YEAR($J54))*12+MONTH(Lists!O$21)-MONTH($J54))-(EDATE($J54,((YEAR(Lists!O$21)-YEAR($J54))*12+MONTH(Lists!O$21)-MONTH($J54)))&gt;Lists!O$21)+1)))-IF(Lists!O$22&lt;$J54,0,MIN($AO54,(((YEAR(Lists!O$22)-YEAR($J54))*12+MONTH(Lists!O$22)-MONTH($J54))-(EDATE($J54,((YEAR(Lists!O$22)-YEAR($J54))*12+MONTH(Lists!O$22)-MONTH($J54)))&gt;Lists!O$22)+1)))),IF($AP54="F",IF(N($K54)&lt;=0,0,MIN(MAX(0,$H54),N($K54)*IF(Lists!O$21&lt;$J54,0,(((YEAR(Lists!O$21)-YEAR($J54))*12+MONTH(Lists!O$21)-MONTH($J54))-(EDATE($J54,((YEAR(Lists!O$21)-YEAR($J54))*12+MONTH(Lists!O$21)-MONTH($J54)))&gt;Lists!O$21)+1)))-MIN(MAX(0,$H54),N($K54)*IF(Lists!O$22&lt;$J54,0,(((YEAR(Lists!O$22)-YEAR($J54))*12+MONTH(Lists!O$22)-MONTH($J54))-(EDATE($J54,((YEAR(Lists!O$22)-YEAR($J54))*12+MONTH(Lists!O$22)-MONTH($J54)))&gt;Lists!O$22)+1)))),N($C54)*IF($AE54-$AD54&lt;1,($AD54&gt;Lists!O$22)*($AD54&lt;=Lists!O$21),MAX(0,MIN(Lists!O$21,$AE54)-MAX(Lists!O$22,$AD54))/($AE54-$AD54))+N($D54)*IF($AG54-$AF54&lt;1,($AF54&gt;Lists!O$22)*($AF54&lt;=Lists!O$21),MAX(0,MIN(Lists!O$21,$AG54)-MAX(Lists!O$22,$AF54))/($AG54-$AF54))+N($E54)*IF($AI54-$AH54&lt;1,($AH54&gt;Lists!O$22)*($AH54&lt;=Lists!O$21),MAX(0,MIN(Lists!O$21,$AI54)-MAX(Lists!O$22,$AH54))/($AI54-$AH54))+N($F54)*IF($AK54-$AJ54&lt;1,($AJ54&gt;Lists!O$22)*($AJ54&lt;=Lists!O$21),MAX(0,MIN(Lists!O$21,$AK54)-MAX(Lists!O$22,$AJ54))/($AK54-$AJ54))+N($G54)*IF($AM54-$AL54&lt;1,($AL54&gt;Lists!O$22)*($AL54&lt;=Lists!O$21),MAX(0,MIN(Lists!O$21,$AM54)-MAX(Lists!O$22,$AL54))/($AM54-$AL54))))))))</f>
        <v>0</v>
      </c>
      <c r="Z54" s="46" t="n">
        <f aca="false">SUM(M54:Y54)</f>
        <v>0</v>
      </c>
      <c r="AA54" s="92" t="n">
        <f aca="false">H54-Z54</f>
        <v>0</v>
      </c>
      <c r="AB54" s="55"/>
      <c r="AC54" s="2"/>
      <c r="AD54" s="93" t="n">
        <f aca="false">Setup!$D$10+MAX(0,$AN54-30)</f>
        <v>46345</v>
      </c>
      <c r="AE54" s="93" t="n">
        <f aca="false">Setup!$D$10+IF($AN54-30&lt;0,MAX(Setup!$D$22,$AN54-0),$AN54-0)</f>
        <v>46375</v>
      </c>
      <c r="AF54" s="93" t="n">
        <f aca="false">Setup!$D$10+MAX(0,$AN54-60)</f>
        <v>46335</v>
      </c>
      <c r="AG54" s="93" t="n">
        <f aca="false">Setup!$D$10+IF($AN54-60&lt;0,MAX(Setup!$D$22,$AN54-31),$AN54-31)</f>
        <v>46363</v>
      </c>
      <c r="AH54" s="93" t="n">
        <f aca="false">Setup!$D$10+MAX(0,$AN54-90)</f>
        <v>46335</v>
      </c>
      <c r="AI54" s="93" t="n">
        <f aca="false">Setup!$D$10+IF($AN54-90&lt;0,MAX(Setup!$D$22,$AN54-61),$AN54-61)</f>
        <v>46363</v>
      </c>
      <c r="AJ54" s="93" t="n">
        <f aca="false">Setup!$D$10+MAX(0,$AN54-120)</f>
        <v>46335</v>
      </c>
      <c r="AK54" s="93" t="n">
        <f aca="false">Setup!$D$10+IF($AN54-120&lt;0,MAX(Setup!$D$22,$AN54-91),$AN54-91)</f>
        <v>46363</v>
      </c>
      <c r="AL54" s="93" t="n">
        <f aca="false">Setup!$D$10</f>
        <v>46335</v>
      </c>
      <c r="AM54" s="93" t="n">
        <f aca="false">IF(AL54=2958465,AL54,Setup!$D$10+Setup!$D$22)</f>
        <v>46363</v>
      </c>
      <c r="AN54" s="94" t="n">
        <f aca="false">IF(N(L54)=0,Setup!$D$21,L54)</f>
        <v>40</v>
      </c>
      <c r="AO54" s="94" t="n">
        <f aca="false">MAX(1,ROUND(N(K54),0))</f>
        <v>1</v>
      </c>
      <c r="AP54" s="95" t="str">
        <f aca="false">IF(I54="On hold","X",IF(N(J54)=0,"A",IF(I54="Specific date","S",IF(I54="Spread over days","D",IF(I54="Monthly on set day","M",IF(I54="Monthly fixed amount","F","A"))))))</f>
        <v>A</v>
      </c>
    </row>
    <row r="55" customFormat="false" ht="15" hidden="false" customHeight="false" outlineLevel="0" collapsed="false">
      <c r="A55" s="87" t="n">
        <v>47</v>
      </c>
      <c r="B55" s="55"/>
      <c r="C55" s="88"/>
      <c r="D55" s="88"/>
      <c r="E55" s="88"/>
      <c r="F55" s="88"/>
      <c r="G55" s="88"/>
      <c r="H55" s="89" t="n">
        <f aca="false">SUM(C55:G55)</f>
        <v>0</v>
      </c>
      <c r="I55" s="58"/>
      <c r="J55" s="90"/>
      <c r="K55" s="91"/>
      <c r="L55" s="80"/>
      <c r="M55" s="53" t="n">
        <f aca="false">IF($H55=0,0,IF($AP55="X",0,IF($AP55="S",$H55/$AO55*(MIN($AO55,MAX(0,INT((Lists!C$21-N($J55))/7)+1))-MIN($AO55,MAX(0,INT((Lists!C$22-N($J55))/7)+1))),IF($AP55="D",$H55*MAX(0,MIN(Lists!C$21,N($J55)+$AO55)-MAX(Lists!C$22,N($J55)))/$AO55,IF($AP55="M",$H55/$AO55*(IF(Lists!C$21&lt;$J55,0,MIN($AO55,(((YEAR(Lists!C$21)-YEAR($J55))*12+MONTH(Lists!C$21)-MONTH($J55))-(EDATE($J55,((YEAR(Lists!C$21)-YEAR($J55))*12+MONTH(Lists!C$21)-MONTH($J55)))&gt;Lists!C$21)+1)))-IF(Lists!C$22&lt;$J55,0,MIN($AO55,(((YEAR(Lists!C$22)-YEAR($J55))*12+MONTH(Lists!C$22)-MONTH($J55))-(EDATE($J55,((YEAR(Lists!C$22)-YEAR($J55))*12+MONTH(Lists!C$22)-MONTH($J55)))&gt;Lists!C$22)+1)))),IF($AP55="F",IF(N($K55)&lt;=0,0,MIN(MAX(0,$H55),N($K55)*IF(Lists!C$21&lt;$J55,0,(((YEAR(Lists!C$21)-YEAR($J55))*12+MONTH(Lists!C$21)-MONTH($J55))-(EDATE($J55,((YEAR(Lists!C$21)-YEAR($J55))*12+MONTH(Lists!C$21)-MONTH($J55)))&gt;Lists!C$21)+1)))-MIN(MAX(0,$H55),N($K55)*IF(Lists!C$22&lt;$J55,0,(((YEAR(Lists!C$22)-YEAR($J55))*12+MONTH(Lists!C$22)-MONTH($J55))-(EDATE($J55,((YEAR(Lists!C$22)-YEAR($J55))*12+MONTH(Lists!C$22)-MONTH($J55)))&gt;Lists!C$22)+1)))),N($C55)*IF($AE55-$AD55&lt;1,($AD55&gt;Lists!C$22)*($AD55&lt;=Lists!C$21),MAX(0,MIN(Lists!C$21,$AE55)-MAX(Lists!C$22,$AD55))/($AE55-$AD55))+N($D55)*IF($AG55-$AF55&lt;1,($AF55&gt;Lists!C$22)*($AF55&lt;=Lists!C$21),MAX(0,MIN(Lists!C$21,$AG55)-MAX(Lists!C$22,$AF55))/($AG55-$AF55))+N($E55)*IF($AI55-$AH55&lt;1,($AH55&gt;Lists!C$22)*($AH55&lt;=Lists!C$21),MAX(0,MIN(Lists!C$21,$AI55)-MAX(Lists!C$22,$AH55))/($AI55-$AH55))+N($F55)*IF($AK55-$AJ55&lt;1,($AJ55&gt;Lists!C$22)*($AJ55&lt;=Lists!C$21),MAX(0,MIN(Lists!C$21,$AK55)-MAX(Lists!C$22,$AJ55))/($AK55-$AJ55))+N($G55)*IF($AM55-$AL55&lt;1,($AL55&gt;Lists!C$22)*($AL55&lt;=Lists!C$21),MAX(0,MIN(Lists!C$21,$AM55)-MAX(Lists!C$22,$AL55))/($AM55-$AL55))))))))</f>
        <v>0</v>
      </c>
      <c r="N55" s="53" t="n">
        <f aca="false">IF($H55=0,0,IF($AP55="X",0,IF($AP55="S",$H55/$AO55*(MIN($AO55,MAX(0,INT((Lists!D$21-N($J55))/7)+1))-MIN($AO55,MAX(0,INT((Lists!D$22-N($J55))/7)+1))),IF($AP55="D",$H55*MAX(0,MIN(Lists!D$21,N($J55)+$AO55)-MAX(Lists!D$22,N($J55)))/$AO55,IF($AP55="M",$H55/$AO55*(IF(Lists!D$21&lt;$J55,0,MIN($AO55,(((YEAR(Lists!D$21)-YEAR($J55))*12+MONTH(Lists!D$21)-MONTH($J55))-(EDATE($J55,((YEAR(Lists!D$21)-YEAR($J55))*12+MONTH(Lists!D$21)-MONTH($J55)))&gt;Lists!D$21)+1)))-IF(Lists!D$22&lt;$J55,0,MIN($AO55,(((YEAR(Lists!D$22)-YEAR($J55))*12+MONTH(Lists!D$22)-MONTH($J55))-(EDATE($J55,((YEAR(Lists!D$22)-YEAR($J55))*12+MONTH(Lists!D$22)-MONTH($J55)))&gt;Lists!D$22)+1)))),IF($AP55="F",IF(N($K55)&lt;=0,0,MIN(MAX(0,$H55),N($K55)*IF(Lists!D$21&lt;$J55,0,(((YEAR(Lists!D$21)-YEAR($J55))*12+MONTH(Lists!D$21)-MONTH($J55))-(EDATE($J55,((YEAR(Lists!D$21)-YEAR($J55))*12+MONTH(Lists!D$21)-MONTH($J55)))&gt;Lists!D$21)+1)))-MIN(MAX(0,$H55),N($K55)*IF(Lists!D$22&lt;$J55,0,(((YEAR(Lists!D$22)-YEAR($J55))*12+MONTH(Lists!D$22)-MONTH($J55))-(EDATE($J55,((YEAR(Lists!D$22)-YEAR($J55))*12+MONTH(Lists!D$22)-MONTH($J55)))&gt;Lists!D$22)+1)))),N($C55)*IF($AE55-$AD55&lt;1,($AD55&gt;Lists!D$22)*($AD55&lt;=Lists!D$21),MAX(0,MIN(Lists!D$21,$AE55)-MAX(Lists!D$22,$AD55))/($AE55-$AD55))+N($D55)*IF($AG55-$AF55&lt;1,($AF55&gt;Lists!D$22)*($AF55&lt;=Lists!D$21),MAX(0,MIN(Lists!D$21,$AG55)-MAX(Lists!D$22,$AF55))/($AG55-$AF55))+N($E55)*IF($AI55-$AH55&lt;1,($AH55&gt;Lists!D$22)*($AH55&lt;=Lists!D$21),MAX(0,MIN(Lists!D$21,$AI55)-MAX(Lists!D$22,$AH55))/($AI55-$AH55))+N($F55)*IF($AK55-$AJ55&lt;1,($AJ55&gt;Lists!D$22)*($AJ55&lt;=Lists!D$21),MAX(0,MIN(Lists!D$21,$AK55)-MAX(Lists!D$22,$AJ55))/($AK55-$AJ55))+N($G55)*IF($AM55-$AL55&lt;1,($AL55&gt;Lists!D$22)*($AL55&lt;=Lists!D$21),MAX(0,MIN(Lists!D$21,$AM55)-MAX(Lists!D$22,$AL55))/($AM55-$AL55))))))))</f>
        <v>0</v>
      </c>
      <c r="O55" s="53" t="n">
        <f aca="false">IF($H55=0,0,IF($AP55="X",0,IF($AP55="S",$H55/$AO55*(MIN($AO55,MAX(0,INT((Lists!E$21-N($J55))/7)+1))-MIN($AO55,MAX(0,INT((Lists!E$22-N($J55))/7)+1))),IF($AP55="D",$H55*MAX(0,MIN(Lists!E$21,N($J55)+$AO55)-MAX(Lists!E$22,N($J55)))/$AO55,IF($AP55="M",$H55/$AO55*(IF(Lists!E$21&lt;$J55,0,MIN($AO55,(((YEAR(Lists!E$21)-YEAR($J55))*12+MONTH(Lists!E$21)-MONTH($J55))-(EDATE($J55,((YEAR(Lists!E$21)-YEAR($J55))*12+MONTH(Lists!E$21)-MONTH($J55)))&gt;Lists!E$21)+1)))-IF(Lists!E$22&lt;$J55,0,MIN($AO55,(((YEAR(Lists!E$22)-YEAR($J55))*12+MONTH(Lists!E$22)-MONTH($J55))-(EDATE($J55,((YEAR(Lists!E$22)-YEAR($J55))*12+MONTH(Lists!E$22)-MONTH($J55)))&gt;Lists!E$22)+1)))),IF($AP55="F",IF(N($K55)&lt;=0,0,MIN(MAX(0,$H55),N($K55)*IF(Lists!E$21&lt;$J55,0,(((YEAR(Lists!E$21)-YEAR($J55))*12+MONTH(Lists!E$21)-MONTH($J55))-(EDATE($J55,((YEAR(Lists!E$21)-YEAR($J55))*12+MONTH(Lists!E$21)-MONTH($J55)))&gt;Lists!E$21)+1)))-MIN(MAX(0,$H55),N($K55)*IF(Lists!E$22&lt;$J55,0,(((YEAR(Lists!E$22)-YEAR($J55))*12+MONTH(Lists!E$22)-MONTH($J55))-(EDATE($J55,((YEAR(Lists!E$22)-YEAR($J55))*12+MONTH(Lists!E$22)-MONTH($J55)))&gt;Lists!E$22)+1)))),N($C55)*IF($AE55-$AD55&lt;1,($AD55&gt;Lists!E$22)*($AD55&lt;=Lists!E$21),MAX(0,MIN(Lists!E$21,$AE55)-MAX(Lists!E$22,$AD55))/($AE55-$AD55))+N($D55)*IF($AG55-$AF55&lt;1,($AF55&gt;Lists!E$22)*($AF55&lt;=Lists!E$21),MAX(0,MIN(Lists!E$21,$AG55)-MAX(Lists!E$22,$AF55))/($AG55-$AF55))+N($E55)*IF($AI55-$AH55&lt;1,($AH55&gt;Lists!E$22)*($AH55&lt;=Lists!E$21),MAX(0,MIN(Lists!E$21,$AI55)-MAX(Lists!E$22,$AH55))/($AI55-$AH55))+N($F55)*IF($AK55-$AJ55&lt;1,($AJ55&gt;Lists!E$22)*($AJ55&lt;=Lists!E$21),MAX(0,MIN(Lists!E$21,$AK55)-MAX(Lists!E$22,$AJ55))/($AK55-$AJ55))+N($G55)*IF($AM55-$AL55&lt;1,($AL55&gt;Lists!E$22)*($AL55&lt;=Lists!E$21),MAX(0,MIN(Lists!E$21,$AM55)-MAX(Lists!E$22,$AL55))/($AM55-$AL55))))))))</f>
        <v>0</v>
      </c>
      <c r="P55" s="53" t="n">
        <f aca="false">IF($H55=0,0,IF($AP55="X",0,IF($AP55="S",$H55/$AO55*(MIN($AO55,MAX(0,INT((Lists!F$21-N($J55))/7)+1))-MIN($AO55,MAX(0,INT((Lists!F$22-N($J55))/7)+1))),IF($AP55="D",$H55*MAX(0,MIN(Lists!F$21,N($J55)+$AO55)-MAX(Lists!F$22,N($J55)))/$AO55,IF($AP55="M",$H55/$AO55*(IF(Lists!F$21&lt;$J55,0,MIN($AO55,(((YEAR(Lists!F$21)-YEAR($J55))*12+MONTH(Lists!F$21)-MONTH($J55))-(EDATE($J55,((YEAR(Lists!F$21)-YEAR($J55))*12+MONTH(Lists!F$21)-MONTH($J55)))&gt;Lists!F$21)+1)))-IF(Lists!F$22&lt;$J55,0,MIN($AO55,(((YEAR(Lists!F$22)-YEAR($J55))*12+MONTH(Lists!F$22)-MONTH($J55))-(EDATE($J55,((YEAR(Lists!F$22)-YEAR($J55))*12+MONTH(Lists!F$22)-MONTH($J55)))&gt;Lists!F$22)+1)))),IF($AP55="F",IF(N($K55)&lt;=0,0,MIN(MAX(0,$H55),N($K55)*IF(Lists!F$21&lt;$J55,0,(((YEAR(Lists!F$21)-YEAR($J55))*12+MONTH(Lists!F$21)-MONTH($J55))-(EDATE($J55,((YEAR(Lists!F$21)-YEAR($J55))*12+MONTH(Lists!F$21)-MONTH($J55)))&gt;Lists!F$21)+1)))-MIN(MAX(0,$H55),N($K55)*IF(Lists!F$22&lt;$J55,0,(((YEAR(Lists!F$22)-YEAR($J55))*12+MONTH(Lists!F$22)-MONTH($J55))-(EDATE($J55,((YEAR(Lists!F$22)-YEAR($J55))*12+MONTH(Lists!F$22)-MONTH($J55)))&gt;Lists!F$22)+1)))),N($C55)*IF($AE55-$AD55&lt;1,($AD55&gt;Lists!F$22)*($AD55&lt;=Lists!F$21),MAX(0,MIN(Lists!F$21,$AE55)-MAX(Lists!F$22,$AD55))/($AE55-$AD55))+N($D55)*IF($AG55-$AF55&lt;1,($AF55&gt;Lists!F$22)*($AF55&lt;=Lists!F$21),MAX(0,MIN(Lists!F$21,$AG55)-MAX(Lists!F$22,$AF55))/($AG55-$AF55))+N($E55)*IF($AI55-$AH55&lt;1,($AH55&gt;Lists!F$22)*($AH55&lt;=Lists!F$21),MAX(0,MIN(Lists!F$21,$AI55)-MAX(Lists!F$22,$AH55))/($AI55-$AH55))+N($F55)*IF($AK55-$AJ55&lt;1,($AJ55&gt;Lists!F$22)*($AJ55&lt;=Lists!F$21),MAX(0,MIN(Lists!F$21,$AK55)-MAX(Lists!F$22,$AJ55))/($AK55-$AJ55))+N($G55)*IF($AM55-$AL55&lt;1,($AL55&gt;Lists!F$22)*($AL55&lt;=Lists!F$21),MAX(0,MIN(Lists!F$21,$AM55)-MAX(Lists!F$22,$AL55))/($AM55-$AL55))))))))</f>
        <v>0</v>
      </c>
      <c r="Q55" s="53" t="n">
        <f aca="false">IF($H55=0,0,IF($AP55="X",0,IF($AP55="S",$H55/$AO55*(MIN($AO55,MAX(0,INT((Lists!G$21-N($J55))/7)+1))-MIN($AO55,MAX(0,INT((Lists!G$22-N($J55))/7)+1))),IF($AP55="D",$H55*MAX(0,MIN(Lists!G$21,N($J55)+$AO55)-MAX(Lists!G$22,N($J55)))/$AO55,IF($AP55="M",$H55/$AO55*(IF(Lists!G$21&lt;$J55,0,MIN($AO55,(((YEAR(Lists!G$21)-YEAR($J55))*12+MONTH(Lists!G$21)-MONTH($J55))-(EDATE($J55,((YEAR(Lists!G$21)-YEAR($J55))*12+MONTH(Lists!G$21)-MONTH($J55)))&gt;Lists!G$21)+1)))-IF(Lists!G$22&lt;$J55,0,MIN($AO55,(((YEAR(Lists!G$22)-YEAR($J55))*12+MONTH(Lists!G$22)-MONTH($J55))-(EDATE($J55,((YEAR(Lists!G$22)-YEAR($J55))*12+MONTH(Lists!G$22)-MONTH($J55)))&gt;Lists!G$22)+1)))),IF($AP55="F",IF(N($K55)&lt;=0,0,MIN(MAX(0,$H55),N($K55)*IF(Lists!G$21&lt;$J55,0,(((YEAR(Lists!G$21)-YEAR($J55))*12+MONTH(Lists!G$21)-MONTH($J55))-(EDATE($J55,((YEAR(Lists!G$21)-YEAR($J55))*12+MONTH(Lists!G$21)-MONTH($J55)))&gt;Lists!G$21)+1)))-MIN(MAX(0,$H55),N($K55)*IF(Lists!G$22&lt;$J55,0,(((YEAR(Lists!G$22)-YEAR($J55))*12+MONTH(Lists!G$22)-MONTH($J55))-(EDATE($J55,((YEAR(Lists!G$22)-YEAR($J55))*12+MONTH(Lists!G$22)-MONTH($J55)))&gt;Lists!G$22)+1)))),N($C55)*IF($AE55-$AD55&lt;1,($AD55&gt;Lists!G$22)*($AD55&lt;=Lists!G$21),MAX(0,MIN(Lists!G$21,$AE55)-MAX(Lists!G$22,$AD55))/($AE55-$AD55))+N($D55)*IF($AG55-$AF55&lt;1,($AF55&gt;Lists!G$22)*($AF55&lt;=Lists!G$21),MAX(0,MIN(Lists!G$21,$AG55)-MAX(Lists!G$22,$AF55))/($AG55-$AF55))+N($E55)*IF($AI55-$AH55&lt;1,($AH55&gt;Lists!G$22)*($AH55&lt;=Lists!G$21),MAX(0,MIN(Lists!G$21,$AI55)-MAX(Lists!G$22,$AH55))/($AI55-$AH55))+N($F55)*IF($AK55-$AJ55&lt;1,($AJ55&gt;Lists!G$22)*($AJ55&lt;=Lists!G$21),MAX(0,MIN(Lists!G$21,$AK55)-MAX(Lists!G$22,$AJ55))/($AK55-$AJ55))+N($G55)*IF($AM55-$AL55&lt;1,($AL55&gt;Lists!G$22)*($AL55&lt;=Lists!G$21),MAX(0,MIN(Lists!G$21,$AM55)-MAX(Lists!G$22,$AL55))/($AM55-$AL55))))))))</f>
        <v>0</v>
      </c>
      <c r="R55" s="53" t="n">
        <f aca="false">IF($H55=0,0,IF($AP55="X",0,IF($AP55="S",$H55/$AO55*(MIN($AO55,MAX(0,INT((Lists!H$21-N($J55))/7)+1))-MIN($AO55,MAX(0,INT((Lists!H$22-N($J55))/7)+1))),IF($AP55="D",$H55*MAX(0,MIN(Lists!H$21,N($J55)+$AO55)-MAX(Lists!H$22,N($J55)))/$AO55,IF($AP55="M",$H55/$AO55*(IF(Lists!H$21&lt;$J55,0,MIN($AO55,(((YEAR(Lists!H$21)-YEAR($J55))*12+MONTH(Lists!H$21)-MONTH($J55))-(EDATE($J55,((YEAR(Lists!H$21)-YEAR($J55))*12+MONTH(Lists!H$21)-MONTH($J55)))&gt;Lists!H$21)+1)))-IF(Lists!H$22&lt;$J55,0,MIN($AO55,(((YEAR(Lists!H$22)-YEAR($J55))*12+MONTH(Lists!H$22)-MONTH($J55))-(EDATE($J55,((YEAR(Lists!H$22)-YEAR($J55))*12+MONTH(Lists!H$22)-MONTH($J55)))&gt;Lists!H$22)+1)))),IF($AP55="F",IF(N($K55)&lt;=0,0,MIN(MAX(0,$H55),N($K55)*IF(Lists!H$21&lt;$J55,0,(((YEAR(Lists!H$21)-YEAR($J55))*12+MONTH(Lists!H$21)-MONTH($J55))-(EDATE($J55,((YEAR(Lists!H$21)-YEAR($J55))*12+MONTH(Lists!H$21)-MONTH($J55)))&gt;Lists!H$21)+1)))-MIN(MAX(0,$H55),N($K55)*IF(Lists!H$22&lt;$J55,0,(((YEAR(Lists!H$22)-YEAR($J55))*12+MONTH(Lists!H$22)-MONTH($J55))-(EDATE($J55,((YEAR(Lists!H$22)-YEAR($J55))*12+MONTH(Lists!H$22)-MONTH($J55)))&gt;Lists!H$22)+1)))),N($C55)*IF($AE55-$AD55&lt;1,($AD55&gt;Lists!H$22)*($AD55&lt;=Lists!H$21),MAX(0,MIN(Lists!H$21,$AE55)-MAX(Lists!H$22,$AD55))/($AE55-$AD55))+N($D55)*IF($AG55-$AF55&lt;1,($AF55&gt;Lists!H$22)*($AF55&lt;=Lists!H$21),MAX(0,MIN(Lists!H$21,$AG55)-MAX(Lists!H$22,$AF55))/($AG55-$AF55))+N($E55)*IF($AI55-$AH55&lt;1,($AH55&gt;Lists!H$22)*($AH55&lt;=Lists!H$21),MAX(0,MIN(Lists!H$21,$AI55)-MAX(Lists!H$22,$AH55))/($AI55-$AH55))+N($F55)*IF($AK55-$AJ55&lt;1,($AJ55&gt;Lists!H$22)*($AJ55&lt;=Lists!H$21),MAX(0,MIN(Lists!H$21,$AK55)-MAX(Lists!H$22,$AJ55))/($AK55-$AJ55))+N($G55)*IF($AM55-$AL55&lt;1,($AL55&gt;Lists!H$22)*($AL55&lt;=Lists!H$21),MAX(0,MIN(Lists!H$21,$AM55)-MAX(Lists!H$22,$AL55))/($AM55-$AL55))))))))</f>
        <v>0</v>
      </c>
      <c r="S55" s="53" t="n">
        <f aca="false">IF($H55=0,0,IF($AP55="X",0,IF($AP55="S",$H55/$AO55*(MIN($AO55,MAX(0,INT((Lists!I$21-N($J55))/7)+1))-MIN($AO55,MAX(0,INT((Lists!I$22-N($J55))/7)+1))),IF($AP55="D",$H55*MAX(0,MIN(Lists!I$21,N($J55)+$AO55)-MAX(Lists!I$22,N($J55)))/$AO55,IF($AP55="M",$H55/$AO55*(IF(Lists!I$21&lt;$J55,0,MIN($AO55,(((YEAR(Lists!I$21)-YEAR($J55))*12+MONTH(Lists!I$21)-MONTH($J55))-(EDATE($J55,((YEAR(Lists!I$21)-YEAR($J55))*12+MONTH(Lists!I$21)-MONTH($J55)))&gt;Lists!I$21)+1)))-IF(Lists!I$22&lt;$J55,0,MIN($AO55,(((YEAR(Lists!I$22)-YEAR($J55))*12+MONTH(Lists!I$22)-MONTH($J55))-(EDATE($J55,((YEAR(Lists!I$22)-YEAR($J55))*12+MONTH(Lists!I$22)-MONTH($J55)))&gt;Lists!I$22)+1)))),IF($AP55="F",IF(N($K55)&lt;=0,0,MIN(MAX(0,$H55),N($K55)*IF(Lists!I$21&lt;$J55,0,(((YEAR(Lists!I$21)-YEAR($J55))*12+MONTH(Lists!I$21)-MONTH($J55))-(EDATE($J55,((YEAR(Lists!I$21)-YEAR($J55))*12+MONTH(Lists!I$21)-MONTH($J55)))&gt;Lists!I$21)+1)))-MIN(MAX(0,$H55),N($K55)*IF(Lists!I$22&lt;$J55,0,(((YEAR(Lists!I$22)-YEAR($J55))*12+MONTH(Lists!I$22)-MONTH($J55))-(EDATE($J55,((YEAR(Lists!I$22)-YEAR($J55))*12+MONTH(Lists!I$22)-MONTH($J55)))&gt;Lists!I$22)+1)))),N($C55)*IF($AE55-$AD55&lt;1,($AD55&gt;Lists!I$22)*($AD55&lt;=Lists!I$21),MAX(0,MIN(Lists!I$21,$AE55)-MAX(Lists!I$22,$AD55))/($AE55-$AD55))+N($D55)*IF($AG55-$AF55&lt;1,($AF55&gt;Lists!I$22)*($AF55&lt;=Lists!I$21),MAX(0,MIN(Lists!I$21,$AG55)-MAX(Lists!I$22,$AF55))/($AG55-$AF55))+N($E55)*IF($AI55-$AH55&lt;1,($AH55&gt;Lists!I$22)*($AH55&lt;=Lists!I$21),MAX(0,MIN(Lists!I$21,$AI55)-MAX(Lists!I$22,$AH55))/($AI55-$AH55))+N($F55)*IF($AK55-$AJ55&lt;1,($AJ55&gt;Lists!I$22)*($AJ55&lt;=Lists!I$21),MAX(0,MIN(Lists!I$21,$AK55)-MAX(Lists!I$22,$AJ55))/($AK55-$AJ55))+N($G55)*IF($AM55-$AL55&lt;1,($AL55&gt;Lists!I$22)*($AL55&lt;=Lists!I$21),MAX(0,MIN(Lists!I$21,$AM55)-MAX(Lists!I$22,$AL55))/($AM55-$AL55))))))))</f>
        <v>0</v>
      </c>
      <c r="T55" s="53" t="n">
        <f aca="false">IF($H55=0,0,IF($AP55="X",0,IF($AP55="S",$H55/$AO55*(MIN($AO55,MAX(0,INT((Lists!J$21-N($J55))/7)+1))-MIN($AO55,MAX(0,INT((Lists!J$22-N($J55))/7)+1))),IF($AP55="D",$H55*MAX(0,MIN(Lists!J$21,N($J55)+$AO55)-MAX(Lists!J$22,N($J55)))/$AO55,IF($AP55="M",$H55/$AO55*(IF(Lists!J$21&lt;$J55,0,MIN($AO55,(((YEAR(Lists!J$21)-YEAR($J55))*12+MONTH(Lists!J$21)-MONTH($J55))-(EDATE($J55,((YEAR(Lists!J$21)-YEAR($J55))*12+MONTH(Lists!J$21)-MONTH($J55)))&gt;Lists!J$21)+1)))-IF(Lists!J$22&lt;$J55,0,MIN($AO55,(((YEAR(Lists!J$22)-YEAR($J55))*12+MONTH(Lists!J$22)-MONTH($J55))-(EDATE($J55,((YEAR(Lists!J$22)-YEAR($J55))*12+MONTH(Lists!J$22)-MONTH($J55)))&gt;Lists!J$22)+1)))),IF($AP55="F",IF(N($K55)&lt;=0,0,MIN(MAX(0,$H55),N($K55)*IF(Lists!J$21&lt;$J55,0,(((YEAR(Lists!J$21)-YEAR($J55))*12+MONTH(Lists!J$21)-MONTH($J55))-(EDATE($J55,((YEAR(Lists!J$21)-YEAR($J55))*12+MONTH(Lists!J$21)-MONTH($J55)))&gt;Lists!J$21)+1)))-MIN(MAX(0,$H55),N($K55)*IF(Lists!J$22&lt;$J55,0,(((YEAR(Lists!J$22)-YEAR($J55))*12+MONTH(Lists!J$22)-MONTH($J55))-(EDATE($J55,((YEAR(Lists!J$22)-YEAR($J55))*12+MONTH(Lists!J$22)-MONTH($J55)))&gt;Lists!J$22)+1)))),N($C55)*IF($AE55-$AD55&lt;1,($AD55&gt;Lists!J$22)*($AD55&lt;=Lists!J$21),MAX(0,MIN(Lists!J$21,$AE55)-MAX(Lists!J$22,$AD55))/($AE55-$AD55))+N($D55)*IF($AG55-$AF55&lt;1,($AF55&gt;Lists!J$22)*($AF55&lt;=Lists!J$21),MAX(0,MIN(Lists!J$21,$AG55)-MAX(Lists!J$22,$AF55))/($AG55-$AF55))+N($E55)*IF($AI55-$AH55&lt;1,($AH55&gt;Lists!J$22)*($AH55&lt;=Lists!J$21),MAX(0,MIN(Lists!J$21,$AI55)-MAX(Lists!J$22,$AH55))/($AI55-$AH55))+N($F55)*IF($AK55-$AJ55&lt;1,($AJ55&gt;Lists!J$22)*($AJ55&lt;=Lists!J$21),MAX(0,MIN(Lists!J$21,$AK55)-MAX(Lists!J$22,$AJ55))/($AK55-$AJ55))+N($G55)*IF($AM55-$AL55&lt;1,($AL55&gt;Lists!J$22)*($AL55&lt;=Lists!J$21),MAX(0,MIN(Lists!J$21,$AM55)-MAX(Lists!J$22,$AL55))/($AM55-$AL55))))))))</f>
        <v>0</v>
      </c>
      <c r="U55" s="53" t="n">
        <f aca="false">IF($H55=0,0,IF($AP55="X",0,IF($AP55="S",$H55/$AO55*(MIN($AO55,MAX(0,INT((Lists!K$21-N($J55))/7)+1))-MIN($AO55,MAX(0,INT((Lists!K$22-N($J55))/7)+1))),IF($AP55="D",$H55*MAX(0,MIN(Lists!K$21,N($J55)+$AO55)-MAX(Lists!K$22,N($J55)))/$AO55,IF($AP55="M",$H55/$AO55*(IF(Lists!K$21&lt;$J55,0,MIN($AO55,(((YEAR(Lists!K$21)-YEAR($J55))*12+MONTH(Lists!K$21)-MONTH($J55))-(EDATE($J55,((YEAR(Lists!K$21)-YEAR($J55))*12+MONTH(Lists!K$21)-MONTH($J55)))&gt;Lists!K$21)+1)))-IF(Lists!K$22&lt;$J55,0,MIN($AO55,(((YEAR(Lists!K$22)-YEAR($J55))*12+MONTH(Lists!K$22)-MONTH($J55))-(EDATE($J55,((YEAR(Lists!K$22)-YEAR($J55))*12+MONTH(Lists!K$22)-MONTH($J55)))&gt;Lists!K$22)+1)))),IF($AP55="F",IF(N($K55)&lt;=0,0,MIN(MAX(0,$H55),N($K55)*IF(Lists!K$21&lt;$J55,0,(((YEAR(Lists!K$21)-YEAR($J55))*12+MONTH(Lists!K$21)-MONTH($J55))-(EDATE($J55,((YEAR(Lists!K$21)-YEAR($J55))*12+MONTH(Lists!K$21)-MONTH($J55)))&gt;Lists!K$21)+1)))-MIN(MAX(0,$H55),N($K55)*IF(Lists!K$22&lt;$J55,0,(((YEAR(Lists!K$22)-YEAR($J55))*12+MONTH(Lists!K$22)-MONTH($J55))-(EDATE($J55,((YEAR(Lists!K$22)-YEAR($J55))*12+MONTH(Lists!K$22)-MONTH($J55)))&gt;Lists!K$22)+1)))),N($C55)*IF($AE55-$AD55&lt;1,($AD55&gt;Lists!K$22)*($AD55&lt;=Lists!K$21),MAX(0,MIN(Lists!K$21,$AE55)-MAX(Lists!K$22,$AD55))/($AE55-$AD55))+N($D55)*IF($AG55-$AF55&lt;1,($AF55&gt;Lists!K$22)*($AF55&lt;=Lists!K$21),MAX(0,MIN(Lists!K$21,$AG55)-MAX(Lists!K$22,$AF55))/($AG55-$AF55))+N($E55)*IF($AI55-$AH55&lt;1,($AH55&gt;Lists!K$22)*($AH55&lt;=Lists!K$21),MAX(0,MIN(Lists!K$21,$AI55)-MAX(Lists!K$22,$AH55))/($AI55-$AH55))+N($F55)*IF($AK55-$AJ55&lt;1,($AJ55&gt;Lists!K$22)*($AJ55&lt;=Lists!K$21),MAX(0,MIN(Lists!K$21,$AK55)-MAX(Lists!K$22,$AJ55))/($AK55-$AJ55))+N($G55)*IF($AM55-$AL55&lt;1,($AL55&gt;Lists!K$22)*($AL55&lt;=Lists!K$21),MAX(0,MIN(Lists!K$21,$AM55)-MAX(Lists!K$22,$AL55))/($AM55-$AL55))))))))</f>
        <v>0</v>
      </c>
      <c r="V55" s="53" t="n">
        <f aca="false">IF($H55=0,0,IF($AP55="X",0,IF($AP55="S",$H55/$AO55*(MIN($AO55,MAX(0,INT((Lists!L$21-N($J55))/7)+1))-MIN($AO55,MAX(0,INT((Lists!L$22-N($J55))/7)+1))),IF($AP55="D",$H55*MAX(0,MIN(Lists!L$21,N($J55)+$AO55)-MAX(Lists!L$22,N($J55)))/$AO55,IF($AP55="M",$H55/$AO55*(IF(Lists!L$21&lt;$J55,0,MIN($AO55,(((YEAR(Lists!L$21)-YEAR($J55))*12+MONTH(Lists!L$21)-MONTH($J55))-(EDATE($J55,((YEAR(Lists!L$21)-YEAR($J55))*12+MONTH(Lists!L$21)-MONTH($J55)))&gt;Lists!L$21)+1)))-IF(Lists!L$22&lt;$J55,0,MIN($AO55,(((YEAR(Lists!L$22)-YEAR($J55))*12+MONTH(Lists!L$22)-MONTH($J55))-(EDATE($J55,((YEAR(Lists!L$22)-YEAR($J55))*12+MONTH(Lists!L$22)-MONTH($J55)))&gt;Lists!L$22)+1)))),IF($AP55="F",IF(N($K55)&lt;=0,0,MIN(MAX(0,$H55),N($K55)*IF(Lists!L$21&lt;$J55,0,(((YEAR(Lists!L$21)-YEAR($J55))*12+MONTH(Lists!L$21)-MONTH($J55))-(EDATE($J55,((YEAR(Lists!L$21)-YEAR($J55))*12+MONTH(Lists!L$21)-MONTH($J55)))&gt;Lists!L$21)+1)))-MIN(MAX(0,$H55),N($K55)*IF(Lists!L$22&lt;$J55,0,(((YEAR(Lists!L$22)-YEAR($J55))*12+MONTH(Lists!L$22)-MONTH($J55))-(EDATE($J55,((YEAR(Lists!L$22)-YEAR($J55))*12+MONTH(Lists!L$22)-MONTH($J55)))&gt;Lists!L$22)+1)))),N($C55)*IF($AE55-$AD55&lt;1,($AD55&gt;Lists!L$22)*($AD55&lt;=Lists!L$21),MAX(0,MIN(Lists!L$21,$AE55)-MAX(Lists!L$22,$AD55))/($AE55-$AD55))+N($D55)*IF($AG55-$AF55&lt;1,($AF55&gt;Lists!L$22)*($AF55&lt;=Lists!L$21),MAX(0,MIN(Lists!L$21,$AG55)-MAX(Lists!L$22,$AF55))/($AG55-$AF55))+N($E55)*IF($AI55-$AH55&lt;1,($AH55&gt;Lists!L$22)*($AH55&lt;=Lists!L$21),MAX(0,MIN(Lists!L$21,$AI55)-MAX(Lists!L$22,$AH55))/($AI55-$AH55))+N($F55)*IF($AK55-$AJ55&lt;1,($AJ55&gt;Lists!L$22)*($AJ55&lt;=Lists!L$21),MAX(0,MIN(Lists!L$21,$AK55)-MAX(Lists!L$22,$AJ55))/($AK55-$AJ55))+N($G55)*IF($AM55-$AL55&lt;1,($AL55&gt;Lists!L$22)*($AL55&lt;=Lists!L$21),MAX(0,MIN(Lists!L$21,$AM55)-MAX(Lists!L$22,$AL55))/($AM55-$AL55))))))))</f>
        <v>0</v>
      </c>
      <c r="W55" s="53" t="n">
        <f aca="false">IF($H55=0,0,IF($AP55="X",0,IF($AP55="S",$H55/$AO55*(MIN($AO55,MAX(0,INT((Lists!M$21-N($J55))/7)+1))-MIN($AO55,MAX(0,INT((Lists!M$22-N($J55))/7)+1))),IF($AP55="D",$H55*MAX(0,MIN(Lists!M$21,N($J55)+$AO55)-MAX(Lists!M$22,N($J55)))/$AO55,IF($AP55="M",$H55/$AO55*(IF(Lists!M$21&lt;$J55,0,MIN($AO55,(((YEAR(Lists!M$21)-YEAR($J55))*12+MONTH(Lists!M$21)-MONTH($J55))-(EDATE($J55,((YEAR(Lists!M$21)-YEAR($J55))*12+MONTH(Lists!M$21)-MONTH($J55)))&gt;Lists!M$21)+1)))-IF(Lists!M$22&lt;$J55,0,MIN($AO55,(((YEAR(Lists!M$22)-YEAR($J55))*12+MONTH(Lists!M$22)-MONTH($J55))-(EDATE($J55,((YEAR(Lists!M$22)-YEAR($J55))*12+MONTH(Lists!M$22)-MONTH($J55)))&gt;Lists!M$22)+1)))),IF($AP55="F",IF(N($K55)&lt;=0,0,MIN(MAX(0,$H55),N($K55)*IF(Lists!M$21&lt;$J55,0,(((YEAR(Lists!M$21)-YEAR($J55))*12+MONTH(Lists!M$21)-MONTH($J55))-(EDATE($J55,((YEAR(Lists!M$21)-YEAR($J55))*12+MONTH(Lists!M$21)-MONTH($J55)))&gt;Lists!M$21)+1)))-MIN(MAX(0,$H55),N($K55)*IF(Lists!M$22&lt;$J55,0,(((YEAR(Lists!M$22)-YEAR($J55))*12+MONTH(Lists!M$22)-MONTH($J55))-(EDATE($J55,((YEAR(Lists!M$22)-YEAR($J55))*12+MONTH(Lists!M$22)-MONTH($J55)))&gt;Lists!M$22)+1)))),N($C55)*IF($AE55-$AD55&lt;1,($AD55&gt;Lists!M$22)*($AD55&lt;=Lists!M$21),MAX(0,MIN(Lists!M$21,$AE55)-MAX(Lists!M$22,$AD55))/($AE55-$AD55))+N($D55)*IF($AG55-$AF55&lt;1,($AF55&gt;Lists!M$22)*($AF55&lt;=Lists!M$21),MAX(0,MIN(Lists!M$21,$AG55)-MAX(Lists!M$22,$AF55))/($AG55-$AF55))+N($E55)*IF($AI55-$AH55&lt;1,($AH55&gt;Lists!M$22)*($AH55&lt;=Lists!M$21),MAX(0,MIN(Lists!M$21,$AI55)-MAX(Lists!M$22,$AH55))/($AI55-$AH55))+N($F55)*IF($AK55-$AJ55&lt;1,($AJ55&gt;Lists!M$22)*($AJ55&lt;=Lists!M$21),MAX(0,MIN(Lists!M$21,$AK55)-MAX(Lists!M$22,$AJ55))/($AK55-$AJ55))+N($G55)*IF($AM55-$AL55&lt;1,($AL55&gt;Lists!M$22)*($AL55&lt;=Lists!M$21),MAX(0,MIN(Lists!M$21,$AM55)-MAX(Lists!M$22,$AL55))/($AM55-$AL55))))))))</f>
        <v>0</v>
      </c>
      <c r="X55" s="53" t="n">
        <f aca="false">IF($H55=0,0,IF($AP55="X",0,IF($AP55="S",$H55/$AO55*(MIN($AO55,MAX(0,INT((Lists!N$21-N($J55))/7)+1))-MIN($AO55,MAX(0,INT((Lists!N$22-N($J55))/7)+1))),IF($AP55="D",$H55*MAX(0,MIN(Lists!N$21,N($J55)+$AO55)-MAX(Lists!N$22,N($J55)))/$AO55,IF($AP55="M",$H55/$AO55*(IF(Lists!N$21&lt;$J55,0,MIN($AO55,(((YEAR(Lists!N$21)-YEAR($J55))*12+MONTH(Lists!N$21)-MONTH($J55))-(EDATE($J55,((YEAR(Lists!N$21)-YEAR($J55))*12+MONTH(Lists!N$21)-MONTH($J55)))&gt;Lists!N$21)+1)))-IF(Lists!N$22&lt;$J55,0,MIN($AO55,(((YEAR(Lists!N$22)-YEAR($J55))*12+MONTH(Lists!N$22)-MONTH($J55))-(EDATE($J55,((YEAR(Lists!N$22)-YEAR($J55))*12+MONTH(Lists!N$22)-MONTH($J55)))&gt;Lists!N$22)+1)))),IF($AP55="F",IF(N($K55)&lt;=0,0,MIN(MAX(0,$H55),N($K55)*IF(Lists!N$21&lt;$J55,0,(((YEAR(Lists!N$21)-YEAR($J55))*12+MONTH(Lists!N$21)-MONTH($J55))-(EDATE($J55,((YEAR(Lists!N$21)-YEAR($J55))*12+MONTH(Lists!N$21)-MONTH($J55)))&gt;Lists!N$21)+1)))-MIN(MAX(0,$H55),N($K55)*IF(Lists!N$22&lt;$J55,0,(((YEAR(Lists!N$22)-YEAR($J55))*12+MONTH(Lists!N$22)-MONTH($J55))-(EDATE($J55,((YEAR(Lists!N$22)-YEAR($J55))*12+MONTH(Lists!N$22)-MONTH($J55)))&gt;Lists!N$22)+1)))),N($C55)*IF($AE55-$AD55&lt;1,($AD55&gt;Lists!N$22)*($AD55&lt;=Lists!N$21),MAX(0,MIN(Lists!N$21,$AE55)-MAX(Lists!N$22,$AD55))/($AE55-$AD55))+N($D55)*IF($AG55-$AF55&lt;1,($AF55&gt;Lists!N$22)*($AF55&lt;=Lists!N$21),MAX(0,MIN(Lists!N$21,$AG55)-MAX(Lists!N$22,$AF55))/($AG55-$AF55))+N($E55)*IF($AI55-$AH55&lt;1,($AH55&gt;Lists!N$22)*($AH55&lt;=Lists!N$21),MAX(0,MIN(Lists!N$21,$AI55)-MAX(Lists!N$22,$AH55))/($AI55-$AH55))+N($F55)*IF($AK55-$AJ55&lt;1,($AJ55&gt;Lists!N$22)*($AJ55&lt;=Lists!N$21),MAX(0,MIN(Lists!N$21,$AK55)-MAX(Lists!N$22,$AJ55))/($AK55-$AJ55))+N($G55)*IF($AM55-$AL55&lt;1,($AL55&gt;Lists!N$22)*($AL55&lt;=Lists!N$21),MAX(0,MIN(Lists!N$21,$AM55)-MAX(Lists!N$22,$AL55))/($AM55-$AL55))))))))</f>
        <v>0</v>
      </c>
      <c r="Y55" s="53" t="n">
        <f aca="false">IF($H55=0,0,IF($AP55="X",0,IF($AP55="S",$H55/$AO55*(MIN($AO55,MAX(0,INT((Lists!O$21-N($J55))/7)+1))-MIN($AO55,MAX(0,INT((Lists!O$22-N($J55))/7)+1))),IF($AP55="D",$H55*MAX(0,MIN(Lists!O$21,N($J55)+$AO55)-MAX(Lists!O$22,N($J55)))/$AO55,IF($AP55="M",$H55/$AO55*(IF(Lists!O$21&lt;$J55,0,MIN($AO55,(((YEAR(Lists!O$21)-YEAR($J55))*12+MONTH(Lists!O$21)-MONTH($J55))-(EDATE($J55,((YEAR(Lists!O$21)-YEAR($J55))*12+MONTH(Lists!O$21)-MONTH($J55)))&gt;Lists!O$21)+1)))-IF(Lists!O$22&lt;$J55,0,MIN($AO55,(((YEAR(Lists!O$22)-YEAR($J55))*12+MONTH(Lists!O$22)-MONTH($J55))-(EDATE($J55,((YEAR(Lists!O$22)-YEAR($J55))*12+MONTH(Lists!O$22)-MONTH($J55)))&gt;Lists!O$22)+1)))),IF($AP55="F",IF(N($K55)&lt;=0,0,MIN(MAX(0,$H55),N($K55)*IF(Lists!O$21&lt;$J55,0,(((YEAR(Lists!O$21)-YEAR($J55))*12+MONTH(Lists!O$21)-MONTH($J55))-(EDATE($J55,((YEAR(Lists!O$21)-YEAR($J55))*12+MONTH(Lists!O$21)-MONTH($J55)))&gt;Lists!O$21)+1)))-MIN(MAX(0,$H55),N($K55)*IF(Lists!O$22&lt;$J55,0,(((YEAR(Lists!O$22)-YEAR($J55))*12+MONTH(Lists!O$22)-MONTH($J55))-(EDATE($J55,((YEAR(Lists!O$22)-YEAR($J55))*12+MONTH(Lists!O$22)-MONTH($J55)))&gt;Lists!O$22)+1)))),N($C55)*IF($AE55-$AD55&lt;1,($AD55&gt;Lists!O$22)*($AD55&lt;=Lists!O$21),MAX(0,MIN(Lists!O$21,$AE55)-MAX(Lists!O$22,$AD55))/($AE55-$AD55))+N($D55)*IF($AG55-$AF55&lt;1,($AF55&gt;Lists!O$22)*($AF55&lt;=Lists!O$21),MAX(0,MIN(Lists!O$21,$AG55)-MAX(Lists!O$22,$AF55))/($AG55-$AF55))+N($E55)*IF($AI55-$AH55&lt;1,($AH55&gt;Lists!O$22)*($AH55&lt;=Lists!O$21),MAX(0,MIN(Lists!O$21,$AI55)-MAX(Lists!O$22,$AH55))/($AI55-$AH55))+N($F55)*IF($AK55-$AJ55&lt;1,($AJ55&gt;Lists!O$22)*($AJ55&lt;=Lists!O$21),MAX(0,MIN(Lists!O$21,$AK55)-MAX(Lists!O$22,$AJ55))/($AK55-$AJ55))+N($G55)*IF($AM55-$AL55&lt;1,($AL55&gt;Lists!O$22)*($AL55&lt;=Lists!O$21),MAX(0,MIN(Lists!O$21,$AM55)-MAX(Lists!O$22,$AL55))/($AM55-$AL55))))))))</f>
        <v>0</v>
      </c>
      <c r="Z55" s="46" t="n">
        <f aca="false">SUM(M55:Y55)</f>
        <v>0</v>
      </c>
      <c r="AA55" s="92" t="n">
        <f aca="false">H55-Z55</f>
        <v>0</v>
      </c>
      <c r="AB55" s="55"/>
      <c r="AC55" s="2"/>
      <c r="AD55" s="93" t="n">
        <f aca="false">Setup!$D$10+MAX(0,$AN55-30)</f>
        <v>46345</v>
      </c>
      <c r="AE55" s="93" t="n">
        <f aca="false">Setup!$D$10+IF($AN55-30&lt;0,MAX(Setup!$D$22,$AN55-0),$AN55-0)</f>
        <v>46375</v>
      </c>
      <c r="AF55" s="93" t="n">
        <f aca="false">Setup!$D$10+MAX(0,$AN55-60)</f>
        <v>46335</v>
      </c>
      <c r="AG55" s="93" t="n">
        <f aca="false">Setup!$D$10+IF($AN55-60&lt;0,MAX(Setup!$D$22,$AN55-31),$AN55-31)</f>
        <v>46363</v>
      </c>
      <c r="AH55" s="93" t="n">
        <f aca="false">Setup!$D$10+MAX(0,$AN55-90)</f>
        <v>46335</v>
      </c>
      <c r="AI55" s="93" t="n">
        <f aca="false">Setup!$D$10+IF($AN55-90&lt;0,MAX(Setup!$D$22,$AN55-61),$AN55-61)</f>
        <v>46363</v>
      </c>
      <c r="AJ55" s="93" t="n">
        <f aca="false">Setup!$D$10+MAX(0,$AN55-120)</f>
        <v>46335</v>
      </c>
      <c r="AK55" s="93" t="n">
        <f aca="false">Setup!$D$10+IF($AN55-120&lt;0,MAX(Setup!$D$22,$AN55-91),$AN55-91)</f>
        <v>46363</v>
      </c>
      <c r="AL55" s="93" t="n">
        <f aca="false">Setup!$D$10</f>
        <v>46335</v>
      </c>
      <c r="AM55" s="93" t="n">
        <f aca="false">IF(AL55=2958465,AL55,Setup!$D$10+Setup!$D$22)</f>
        <v>46363</v>
      </c>
      <c r="AN55" s="94" t="n">
        <f aca="false">IF(N(L55)=0,Setup!$D$21,L55)</f>
        <v>40</v>
      </c>
      <c r="AO55" s="94" t="n">
        <f aca="false">MAX(1,ROUND(N(K55),0))</f>
        <v>1</v>
      </c>
      <c r="AP55" s="95" t="str">
        <f aca="false">IF(I55="On hold","X",IF(N(J55)=0,"A",IF(I55="Specific date","S",IF(I55="Spread over days","D",IF(I55="Monthly on set day","M",IF(I55="Monthly fixed amount","F","A"))))))</f>
        <v>A</v>
      </c>
    </row>
    <row r="56" customFormat="false" ht="15" hidden="false" customHeight="false" outlineLevel="0" collapsed="false">
      <c r="A56" s="87" t="n">
        <v>48</v>
      </c>
      <c r="B56" s="55"/>
      <c r="C56" s="88"/>
      <c r="D56" s="88"/>
      <c r="E56" s="88"/>
      <c r="F56" s="88"/>
      <c r="G56" s="88"/>
      <c r="H56" s="89" t="n">
        <f aca="false">SUM(C56:G56)</f>
        <v>0</v>
      </c>
      <c r="I56" s="58"/>
      <c r="J56" s="90"/>
      <c r="K56" s="91"/>
      <c r="L56" s="80"/>
      <c r="M56" s="53" t="n">
        <f aca="false">IF($H56=0,0,IF($AP56="X",0,IF($AP56="S",$H56/$AO56*(MIN($AO56,MAX(0,INT((Lists!C$21-N($J56))/7)+1))-MIN($AO56,MAX(0,INT((Lists!C$22-N($J56))/7)+1))),IF($AP56="D",$H56*MAX(0,MIN(Lists!C$21,N($J56)+$AO56)-MAX(Lists!C$22,N($J56)))/$AO56,IF($AP56="M",$H56/$AO56*(IF(Lists!C$21&lt;$J56,0,MIN($AO56,(((YEAR(Lists!C$21)-YEAR($J56))*12+MONTH(Lists!C$21)-MONTH($J56))-(EDATE($J56,((YEAR(Lists!C$21)-YEAR($J56))*12+MONTH(Lists!C$21)-MONTH($J56)))&gt;Lists!C$21)+1)))-IF(Lists!C$22&lt;$J56,0,MIN($AO56,(((YEAR(Lists!C$22)-YEAR($J56))*12+MONTH(Lists!C$22)-MONTH($J56))-(EDATE($J56,((YEAR(Lists!C$22)-YEAR($J56))*12+MONTH(Lists!C$22)-MONTH($J56)))&gt;Lists!C$22)+1)))),IF($AP56="F",IF(N($K56)&lt;=0,0,MIN(MAX(0,$H56),N($K56)*IF(Lists!C$21&lt;$J56,0,(((YEAR(Lists!C$21)-YEAR($J56))*12+MONTH(Lists!C$21)-MONTH($J56))-(EDATE($J56,((YEAR(Lists!C$21)-YEAR($J56))*12+MONTH(Lists!C$21)-MONTH($J56)))&gt;Lists!C$21)+1)))-MIN(MAX(0,$H56),N($K56)*IF(Lists!C$22&lt;$J56,0,(((YEAR(Lists!C$22)-YEAR($J56))*12+MONTH(Lists!C$22)-MONTH($J56))-(EDATE($J56,((YEAR(Lists!C$22)-YEAR($J56))*12+MONTH(Lists!C$22)-MONTH($J56)))&gt;Lists!C$22)+1)))),N($C56)*IF($AE56-$AD56&lt;1,($AD56&gt;Lists!C$22)*($AD56&lt;=Lists!C$21),MAX(0,MIN(Lists!C$21,$AE56)-MAX(Lists!C$22,$AD56))/($AE56-$AD56))+N($D56)*IF($AG56-$AF56&lt;1,($AF56&gt;Lists!C$22)*($AF56&lt;=Lists!C$21),MAX(0,MIN(Lists!C$21,$AG56)-MAX(Lists!C$22,$AF56))/($AG56-$AF56))+N($E56)*IF($AI56-$AH56&lt;1,($AH56&gt;Lists!C$22)*($AH56&lt;=Lists!C$21),MAX(0,MIN(Lists!C$21,$AI56)-MAX(Lists!C$22,$AH56))/($AI56-$AH56))+N($F56)*IF($AK56-$AJ56&lt;1,($AJ56&gt;Lists!C$22)*($AJ56&lt;=Lists!C$21),MAX(0,MIN(Lists!C$21,$AK56)-MAX(Lists!C$22,$AJ56))/($AK56-$AJ56))+N($G56)*IF($AM56-$AL56&lt;1,($AL56&gt;Lists!C$22)*($AL56&lt;=Lists!C$21),MAX(0,MIN(Lists!C$21,$AM56)-MAX(Lists!C$22,$AL56))/($AM56-$AL56))))))))</f>
        <v>0</v>
      </c>
      <c r="N56" s="53" t="n">
        <f aca="false">IF($H56=0,0,IF($AP56="X",0,IF($AP56="S",$H56/$AO56*(MIN($AO56,MAX(0,INT((Lists!D$21-N($J56))/7)+1))-MIN($AO56,MAX(0,INT((Lists!D$22-N($J56))/7)+1))),IF($AP56="D",$H56*MAX(0,MIN(Lists!D$21,N($J56)+$AO56)-MAX(Lists!D$22,N($J56)))/$AO56,IF($AP56="M",$H56/$AO56*(IF(Lists!D$21&lt;$J56,0,MIN($AO56,(((YEAR(Lists!D$21)-YEAR($J56))*12+MONTH(Lists!D$21)-MONTH($J56))-(EDATE($J56,((YEAR(Lists!D$21)-YEAR($J56))*12+MONTH(Lists!D$21)-MONTH($J56)))&gt;Lists!D$21)+1)))-IF(Lists!D$22&lt;$J56,0,MIN($AO56,(((YEAR(Lists!D$22)-YEAR($J56))*12+MONTH(Lists!D$22)-MONTH($J56))-(EDATE($J56,((YEAR(Lists!D$22)-YEAR($J56))*12+MONTH(Lists!D$22)-MONTH($J56)))&gt;Lists!D$22)+1)))),IF($AP56="F",IF(N($K56)&lt;=0,0,MIN(MAX(0,$H56),N($K56)*IF(Lists!D$21&lt;$J56,0,(((YEAR(Lists!D$21)-YEAR($J56))*12+MONTH(Lists!D$21)-MONTH($J56))-(EDATE($J56,((YEAR(Lists!D$21)-YEAR($J56))*12+MONTH(Lists!D$21)-MONTH($J56)))&gt;Lists!D$21)+1)))-MIN(MAX(0,$H56),N($K56)*IF(Lists!D$22&lt;$J56,0,(((YEAR(Lists!D$22)-YEAR($J56))*12+MONTH(Lists!D$22)-MONTH($J56))-(EDATE($J56,((YEAR(Lists!D$22)-YEAR($J56))*12+MONTH(Lists!D$22)-MONTH($J56)))&gt;Lists!D$22)+1)))),N($C56)*IF($AE56-$AD56&lt;1,($AD56&gt;Lists!D$22)*($AD56&lt;=Lists!D$21),MAX(0,MIN(Lists!D$21,$AE56)-MAX(Lists!D$22,$AD56))/($AE56-$AD56))+N($D56)*IF($AG56-$AF56&lt;1,($AF56&gt;Lists!D$22)*($AF56&lt;=Lists!D$21),MAX(0,MIN(Lists!D$21,$AG56)-MAX(Lists!D$22,$AF56))/($AG56-$AF56))+N($E56)*IF($AI56-$AH56&lt;1,($AH56&gt;Lists!D$22)*($AH56&lt;=Lists!D$21),MAX(0,MIN(Lists!D$21,$AI56)-MAX(Lists!D$22,$AH56))/($AI56-$AH56))+N($F56)*IF($AK56-$AJ56&lt;1,($AJ56&gt;Lists!D$22)*($AJ56&lt;=Lists!D$21),MAX(0,MIN(Lists!D$21,$AK56)-MAX(Lists!D$22,$AJ56))/($AK56-$AJ56))+N($G56)*IF($AM56-$AL56&lt;1,($AL56&gt;Lists!D$22)*($AL56&lt;=Lists!D$21),MAX(0,MIN(Lists!D$21,$AM56)-MAX(Lists!D$22,$AL56))/($AM56-$AL56))))))))</f>
        <v>0</v>
      </c>
      <c r="O56" s="53" t="n">
        <f aca="false">IF($H56=0,0,IF($AP56="X",0,IF($AP56="S",$H56/$AO56*(MIN($AO56,MAX(0,INT((Lists!E$21-N($J56))/7)+1))-MIN($AO56,MAX(0,INT((Lists!E$22-N($J56))/7)+1))),IF($AP56="D",$H56*MAX(0,MIN(Lists!E$21,N($J56)+$AO56)-MAX(Lists!E$22,N($J56)))/$AO56,IF($AP56="M",$H56/$AO56*(IF(Lists!E$21&lt;$J56,0,MIN($AO56,(((YEAR(Lists!E$21)-YEAR($J56))*12+MONTH(Lists!E$21)-MONTH($J56))-(EDATE($J56,((YEAR(Lists!E$21)-YEAR($J56))*12+MONTH(Lists!E$21)-MONTH($J56)))&gt;Lists!E$21)+1)))-IF(Lists!E$22&lt;$J56,0,MIN($AO56,(((YEAR(Lists!E$22)-YEAR($J56))*12+MONTH(Lists!E$22)-MONTH($J56))-(EDATE($J56,((YEAR(Lists!E$22)-YEAR($J56))*12+MONTH(Lists!E$22)-MONTH($J56)))&gt;Lists!E$22)+1)))),IF($AP56="F",IF(N($K56)&lt;=0,0,MIN(MAX(0,$H56),N($K56)*IF(Lists!E$21&lt;$J56,0,(((YEAR(Lists!E$21)-YEAR($J56))*12+MONTH(Lists!E$21)-MONTH($J56))-(EDATE($J56,((YEAR(Lists!E$21)-YEAR($J56))*12+MONTH(Lists!E$21)-MONTH($J56)))&gt;Lists!E$21)+1)))-MIN(MAX(0,$H56),N($K56)*IF(Lists!E$22&lt;$J56,0,(((YEAR(Lists!E$22)-YEAR($J56))*12+MONTH(Lists!E$22)-MONTH($J56))-(EDATE($J56,((YEAR(Lists!E$22)-YEAR($J56))*12+MONTH(Lists!E$22)-MONTH($J56)))&gt;Lists!E$22)+1)))),N($C56)*IF($AE56-$AD56&lt;1,($AD56&gt;Lists!E$22)*($AD56&lt;=Lists!E$21),MAX(0,MIN(Lists!E$21,$AE56)-MAX(Lists!E$22,$AD56))/($AE56-$AD56))+N($D56)*IF($AG56-$AF56&lt;1,($AF56&gt;Lists!E$22)*($AF56&lt;=Lists!E$21),MAX(0,MIN(Lists!E$21,$AG56)-MAX(Lists!E$22,$AF56))/($AG56-$AF56))+N($E56)*IF($AI56-$AH56&lt;1,($AH56&gt;Lists!E$22)*($AH56&lt;=Lists!E$21),MAX(0,MIN(Lists!E$21,$AI56)-MAX(Lists!E$22,$AH56))/($AI56-$AH56))+N($F56)*IF($AK56-$AJ56&lt;1,($AJ56&gt;Lists!E$22)*($AJ56&lt;=Lists!E$21),MAX(0,MIN(Lists!E$21,$AK56)-MAX(Lists!E$22,$AJ56))/($AK56-$AJ56))+N($G56)*IF($AM56-$AL56&lt;1,($AL56&gt;Lists!E$22)*($AL56&lt;=Lists!E$21),MAX(0,MIN(Lists!E$21,$AM56)-MAX(Lists!E$22,$AL56))/($AM56-$AL56))))))))</f>
        <v>0</v>
      </c>
      <c r="P56" s="53" t="n">
        <f aca="false">IF($H56=0,0,IF($AP56="X",0,IF($AP56="S",$H56/$AO56*(MIN($AO56,MAX(0,INT((Lists!F$21-N($J56))/7)+1))-MIN($AO56,MAX(0,INT((Lists!F$22-N($J56))/7)+1))),IF($AP56="D",$H56*MAX(0,MIN(Lists!F$21,N($J56)+$AO56)-MAX(Lists!F$22,N($J56)))/$AO56,IF($AP56="M",$H56/$AO56*(IF(Lists!F$21&lt;$J56,0,MIN($AO56,(((YEAR(Lists!F$21)-YEAR($J56))*12+MONTH(Lists!F$21)-MONTH($J56))-(EDATE($J56,((YEAR(Lists!F$21)-YEAR($J56))*12+MONTH(Lists!F$21)-MONTH($J56)))&gt;Lists!F$21)+1)))-IF(Lists!F$22&lt;$J56,0,MIN($AO56,(((YEAR(Lists!F$22)-YEAR($J56))*12+MONTH(Lists!F$22)-MONTH($J56))-(EDATE($J56,((YEAR(Lists!F$22)-YEAR($J56))*12+MONTH(Lists!F$22)-MONTH($J56)))&gt;Lists!F$22)+1)))),IF($AP56="F",IF(N($K56)&lt;=0,0,MIN(MAX(0,$H56),N($K56)*IF(Lists!F$21&lt;$J56,0,(((YEAR(Lists!F$21)-YEAR($J56))*12+MONTH(Lists!F$21)-MONTH($J56))-(EDATE($J56,((YEAR(Lists!F$21)-YEAR($J56))*12+MONTH(Lists!F$21)-MONTH($J56)))&gt;Lists!F$21)+1)))-MIN(MAX(0,$H56),N($K56)*IF(Lists!F$22&lt;$J56,0,(((YEAR(Lists!F$22)-YEAR($J56))*12+MONTH(Lists!F$22)-MONTH($J56))-(EDATE($J56,((YEAR(Lists!F$22)-YEAR($J56))*12+MONTH(Lists!F$22)-MONTH($J56)))&gt;Lists!F$22)+1)))),N($C56)*IF($AE56-$AD56&lt;1,($AD56&gt;Lists!F$22)*($AD56&lt;=Lists!F$21),MAX(0,MIN(Lists!F$21,$AE56)-MAX(Lists!F$22,$AD56))/($AE56-$AD56))+N($D56)*IF($AG56-$AF56&lt;1,($AF56&gt;Lists!F$22)*($AF56&lt;=Lists!F$21),MAX(0,MIN(Lists!F$21,$AG56)-MAX(Lists!F$22,$AF56))/($AG56-$AF56))+N($E56)*IF($AI56-$AH56&lt;1,($AH56&gt;Lists!F$22)*($AH56&lt;=Lists!F$21),MAX(0,MIN(Lists!F$21,$AI56)-MAX(Lists!F$22,$AH56))/($AI56-$AH56))+N($F56)*IF($AK56-$AJ56&lt;1,($AJ56&gt;Lists!F$22)*($AJ56&lt;=Lists!F$21),MAX(0,MIN(Lists!F$21,$AK56)-MAX(Lists!F$22,$AJ56))/($AK56-$AJ56))+N($G56)*IF($AM56-$AL56&lt;1,($AL56&gt;Lists!F$22)*($AL56&lt;=Lists!F$21),MAX(0,MIN(Lists!F$21,$AM56)-MAX(Lists!F$22,$AL56))/($AM56-$AL56))))))))</f>
        <v>0</v>
      </c>
      <c r="Q56" s="53" t="n">
        <f aca="false">IF($H56=0,0,IF($AP56="X",0,IF($AP56="S",$H56/$AO56*(MIN($AO56,MAX(0,INT((Lists!G$21-N($J56))/7)+1))-MIN($AO56,MAX(0,INT((Lists!G$22-N($J56))/7)+1))),IF($AP56="D",$H56*MAX(0,MIN(Lists!G$21,N($J56)+$AO56)-MAX(Lists!G$22,N($J56)))/$AO56,IF($AP56="M",$H56/$AO56*(IF(Lists!G$21&lt;$J56,0,MIN($AO56,(((YEAR(Lists!G$21)-YEAR($J56))*12+MONTH(Lists!G$21)-MONTH($J56))-(EDATE($J56,((YEAR(Lists!G$21)-YEAR($J56))*12+MONTH(Lists!G$21)-MONTH($J56)))&gt;Lists!G$21)+1)))-IF(Lists!G$22&lt;$J56,0,MIN($AO56,(((YEAR(Lists!G$22)-YEAR($J56))*12+MONTH(Lists!G$22)-MONTH($J56))-(EDATE($J56,((YEAR(Lists!G$22)-YEAR($J56))*12+MONTH(Lists!G$22)-MONTH($J56)))&gt;Lists!G$22)+1)))),IF($AP56="F",IF(N($K56)&lt;=0,0,MIN(MAX(0,$H56),N($K56)*IF(Lists!G$21&lt;$J56,0,(((YEAR(Lists!G$21)-YEAR($J56))*12+MONTH(Lists!G$21)-MONTH($J56))-(EDATE($J56,((YEAR(Lists!G$21)-YEAR($J56))*12+MONTH(Lists!G$21)-MONTH($J56)))&gt;Lists!G$21)+1)))-MIN(MAX(0,$H56),N($K56)*IF(Lists!G$22&lt;$J56,0,(((YEAR(Lists!G$22)-YEAR($J56))*12+MONTH(Lists!G$22)-MONTH($J56))-(EDATE($J56,((YEAR(Lists!G$22)-YEAR($J56))*12+MONTH(Lists!G$22)-MONTH($J56)))&gt;Lists!G$22)+1)))),N($C56)*IF($AE56-$AD56&lt;1,($AD56&gt;Lists!G$22)*($AD56&lt;=Lists!G$21),MAX(0,MIN(Lists!G$21,$AE56)-MAX(Lists!G$22,$AD56))/($AE56-$AD56))+N($D56)*IF($AG56-$AF56&lt;1,($AF56&gt;Lists!G$22)*($AF56&lt;=Lists!G$21),MAX(0,MIN(Lists!G$21,$AG56)-MAX(Lists!G$22,$AF56))/($AG56-$AF56))+N($E56)*IF($AI56-$AH56&lt;1,($AH56&gt;Lists!G$22)*($AH56&lt;=Lists!G$21),MAX(0,MIN(Lists!G$21,$AI56)-MAX(Lists!G$22,$AH56))/($AI56-$AH56))+N($F56)*IF($AK56-$AJ56&lt;1,($AJ56&gt;Lists!G$22)*($AJ56&lt;=Lists!G$21),MAX(0,MIN(Lists!G$21,$AK56)-MAX(Lists!G$22,$AJ56))/($AK56-$AJ56))+N($G56)*IF($AM56-$AL56&lt;1,($AL56&gt;Lists!G$22)*($AL56&lt;=Lists!G$21),MAX(0,MIN(Lists!G$21,$AM56)-MAX(Lists!G$22,$AL56))/($AM56-$AL56))))))))</f>
        <v>0</v>
      </c>
      <c r="R56" s="53" t="n">
        <f aca="false">IF($H56=0,0,IF($AP56="X",0,IF($AP56="S",$H56/$AO56*(MIN($AO56,MAX(0,INT((Lists!H$21-N($J56))/7)+1))-MIN($AO56,MAX(0,INT((Lists!H$22-N($J56))/7)+1))),IF($AP56="D",$H56*MAX(0,MIN(Lists!H$21,N($J56)+$AO56)-MAX(Lists!H$22,N($J56)))/$AO56,IF($AP56="M",$H56/$AO56*(IF(Lists!H$21&lt;$J56,0,MIN($AO56,(((YEAR(Lists!H$21)-YEAR($J56))*12+MONTH(Lists!H$21)-MONTH($J56))-(EDATE($J56,((YEAR(Lists!H$21)-YEAR($J56))*12+MONTH(Lists!H$21)-MONTH($J56)))&gt;Lists!H$21)+1)))-IF(Lists!H$22&lt;$J56,0,MIN($AO56,(((YEAR(Lists!H$22)-YEAR($J56))*12+MONTH(Lists!H$22)-MONTH($J56))-(EDATE($J56,((YEAR(Lists!H$22)-YEAR($J56))*12+MONTH(Lists!H$22)-MONTH($J56)))&gt;Lists!H$22)+1)))),IF($AP56="F",IF(N($K56)&lt;=0,0,MIN(MAX(0,$H56),N($K56)*IF(Lists!H$21&lt;$J56,0,(((YEAR(Lists!H$21)-YEAR($J56))*12+MONTH(Lists!H$21)-MONTH($J56))-(EDATE($J56,((YEAR(Lists!H$21)-YEAR($J56))*12+MONTH(Lists!H$21)-MONTH($J56)))&gt;Lists!H$21)+1)))-MIN(MAX(0,$H56),N($K56)*IF(Lists!H$22&lt;$J56,0,(((YEAR(Lists!H$22)-YEAR($J56))*12+MONTH(Lists!H$22)-MONTH($J56))-(EDATE($J56,((YEAR(Lists!H$22)-YEAR($J56))*12+MONTH(Lists!H$22)-MONTH($J56)))&gt;Lists!H$22)+1)))),N($C56)*IF($AE56-$AD56&lt;1,($AD56&gt;Lists!H$22)*($AD56&lt;=Lists!H$21),MAX(0,MIN(Lists!H$21,$AE56)-MAX(Lists!H$22,$AD56))/($AE56-$AD56))+N($D56)*IF($AG56-$AF56&lt;1,($AF56&gt;Lists!H$22)*($AF56&lt;=Lists!H$21),MAX(0,MIN(Lists!H$21,$AG56)-MAX(Lists!H$22,$AF56))/($AG56-$AF56))+N($E56)*IF($AI56-$AH56&lt;1,($AH56&gt;Lists!H$22)*($AH56&lt;=Lists!H$21),MAX(0,MIN(Lists!H$21,$AI56)-MAX(Lists!H$22,$AH56))/($AI56-$AH56))+N($F56)*IF($AK56-$AJ56&lt;1,($AJ56&gt;Lists!H$22)*($AJ56&lt;=Lists!H$21),MAX(0,MIN(Lists!H$21,$AK56)-MAX(Lists!H$22,$AJ56))/($AK56-$AJ56))+N($G56)*IF($AM56-$AL56&lt;1,($AL56&gt;Lists!H$22)*($AL56&lt;=Lists!H$21),MAX(0,MIN(Lists!H$21,$AM56)-MAX(Lists!H$22,$AL56))/($AM56-$AL56))))))))</f>
        <v>0</v>
      </c>
      <c r="S56" s="53" t="n">
        <f aca="false">IF($H56=0,0,IF($AP56="X",0,IF($AP56="S",$H56/$AO56*(MIN($AO56,MAX(0,INT((Lists!I$21-N($J56))/7)+1))-MIN($AO56,MAX(0,INT((Lists!I$22-N($J56))/7)+1))),IF($AP56="D",$H56*MAX(0,MIN(Lists!I$21,N($J56)+$AO56)-MAX(Lists!I$22,N($J56)))/$AO56,IF($AP56="M",$H56/$AO56*(IF(Lists!I$21&lt;$J56,0,MIN($AO56,(((YEAR(Lists!I$21)-YEAR($J56))*12+MONTH(Lists!I$21)-MONTH($J56))-(EDATE($J56,((YEAR(Lists!I$21)-YEAR($J56))*12+MONTH(Lists!I$21)-MONTH($J56)))&gt;Lists!I$21)+1)))-IF(Lists!I$22&lt;$J56,0,MIN($AO56,(((YEAR(Lists!I$22)-YEAR($J56))*12+MONTH(Lists!I$22)-MONTH($J56))-(EDATE($J56,((YEAR(Lists!I$22)-YEAR($J56))*12+MONTH(Lists!I$22)-MONTH($J56)))&gt;Lists!I$22)+1)))),IF($AP56="F",IF(N($K56)&lt;=0,0,MIN(MAX(0,$H56),N($K56)*IF(Lists!I$21&lt;$J56,0,(((YEAR(Lists!I$21)-YEAR($J56))*12+MONTH(Lists!I$21)-MONTH($J56))-(EDATE($J56,((YEAR(Lists!I$21)-YEAR($J56))*12+MONTH(Lists!I$21)-MONTH($J56)))&gt;Lists!I$21)+1)))-MIN(MAX(0,$H56),N($K56)*IF(Lists!I$22&lt;$J56,0,(((YEAR(Lists!I$22)-YEAR($J56))*12+MONTH(Lists!I$22)-MONTH($J56))-(EDATE($J56,((YEAR(Lists!I$22)-YEAR($J56))*12+MONTH(Lists!I$22)-MONTH($J56)))&gt;Lists!I$22)+1)))),N($C56)*IF($AE56-$AD56&lt;1,($AD56&gt;Lists!I$22)*($AD56&lt;=Lists!I$21),MAX(0,MIN(Lists!I$21,$AE56)-MAX(Lists!I$22,$AD56))/($AE56-$AD56))+N($D56)*IF($AG56-$AF56&lt;1,($AF56&gt;Lists!I$22)*($AF56&lt;=Lists!I$21),MAX(0,MIN(Lists!I$21,$AG56)-MAX(Lists!I$22,$AF56))/($AG56-$AF56))+N($E56)*IF($AI56-$AH56&lt;1,($AH56&gt;Lists!I$22)*($AH56&lt;=Lists!I$21),MAX(0,MIN(Lists!I$21,$AI56)-MAX(Lists!I$22,$AH56))/($AI56-$AH56))+N($F56)*IF($AK56-$AJ56&lt;1,($AJ56&gt;Lists!I$22)*($AJ56&lt;=Lists!I$21),MAX(0,MIN(Lists!I$21,$AK56)-MAX(Lists!I$22,$AJ56))/($AK56-$AJ56))+N($G56)*IF($AM56-$AL56&lt;1,($AL56&gt;Lists!I$22)*($AL56&lt;=Lists!I$21),MAX(0,MIN(Lists!I$21,$AM56)-MAX(Lists!I$22,$AL56))/($AM56-$AL56))))))))</f>
        <v>0</v>
      </c>
      <c r="T56" s="53" t="n">
        <f aca="false">IF($H56=0,0,IF($AP56="X",0,IF($AP56="S",$H56/$AO56*(MIN($AO56,MAX(0,INT((Lists!J$21-N($J56))/7)+1))-MIN($AO56,MAX(0,INT((Lists!J$22-N($J56))/7)+1))),IF($AP56="D",$H56*MAX(0,MIN(Lists!J$21,N($J56)+$AO56)-MAX(Lists!J$22,N($J56)))/$AO56,IF($AP56="M",$H56/$AO56*(IF(Lists!J$21&lt;$J56,0,MIN($AO56,(((YEAR(Lists!J$21)-YEAR($J56))*12+MONTH(Lists!J$21)-MONTH($J56))-(EDATE($J56,((YEAR(Lists!J$21)-YEAR($J56))*12+MONTH(Lists!J$21)-MONTH($J56)))&gt;Lists!J$21)+1)))-IF(Lists!J$22&lt;$J56,0,MIN($AO56,(((YEAR(Lists!J$22)-YEAR($J56))*12+MONTH(Lists!J$22)-MONTH($J56))-(EDATE($J56,((YEAR(Lists!J$22)-YEAR($J56))*12+MONTH(Lists!J$22)-MONTH($J56)))&gt;Lists!J$22)+1)))),IF($AP56="F",IF(N($K56)&lt;=0,0,MIN(MAX(0,$H56),N($K56)*IF(Lists!J$21&lt;$J56,0,(((YEAR(Lists!J$21)-YEAR($J56))*12+MONTH(Lists!J$21)-MONTH($J56))-(EDATE($J56,((YEAR(Lists!J$21)-YEAR($J56))*12+MONTH(Lists!J$21)-MONTH($J56)))&gt;Lists!J$21)+1)))-MIN(MAX(0,$H56),N($K56)*IF(Lists!J$22&lt;$J56,0,(((YEAR(Lists!J$22)-YEAR($J56))*12+MONTH(Lists!J$22)-MONTH($J56))-(EDATE($J56,((YEAR(Lists!J$22)-YEAR($J56))*12+MONTH(Lists!J$22)-MONTH($J56)))&gt;Lists!J$22)+1)))),N($C56)*IF($AE56-$AD56&lt;1,($AD56&gt;Lists!J$22)*($AD56&lt;=Lists!J$21),MAX(0,MIN(Lists!J$21,$AE56)-MAX(Lists!J$22,$AD56))/($AE56-$AD56))+N($D56)*IF($AG56-$AF56&lt;1,($AF56&gt;Lists!J$22)*($AF56&lt;=Lists!J$21),MAX(0,MIN(Lists!J$21,$AG56)-MAX(Lists!J$22,$AF56))/($AG56-$AF56))+N($E56)*IF($AI56-$AH56&lt;1,($AH56&gt;Lists!J$22)*($AH56&lt;=Lists!J$21),MAX(0,MIN(Lists!J$21,$AI56)-MAX(Lists!J$22,$AH56))/($AI56-$AH56))+N($F56)*IF($AK56-$AJ56&lt;1,($AJ56&gt;Lists!J$22)*($AJ56&lt;=Lists!J$21),MAX(0,MIN(Lists!J$21,$AK56)-MAX(Lists!J$22,$AJ56))/($AK56-$AJ56))+N($G56)*IF($AM56-$AL56&lt;1,($AL56&gt;Lists!J$22)*($AL56&lt;=Lists!J$21),MAX(0,MIN(Lists!J$21,$AM56)-MAX(Lists!J$22,$AL56))/($AM56-$AL56))))))))</f>
        <v>0</v>
      </c>
      <c r="U56" s="53" t="n">
        <f aca="false">IF($H56=0,0,IF($AP56="X",0,IF($AP56="S",$H56/$AO56*(MIN($AO56,MAX(0,INT((Lists!K$21-N($J56))/7)+1))-MIN($AO56,MAX(0,INT((Lists!K$22-N($J56))/7)+1))),IF($AP56="D",$H56*MAX(0,MIN(Lists!K$21,N($J56)+$AO56)-MAX(Lists!K$22,N($J56)))/$AO56,IF($AP56="M",$H56/$AO56*(IF(Lists!K$21&lt;$J56,0,MIN($AO56,(((YEAR(Lists!K$21)-YEAR($J56))*12+MONTH(Lists!K$21)-MONTH($J56))-(EDATE($J56,((YEAR(Lists!K$21)-YEAR($J56))*12+MONTH(Lists!K$21)-MONTH($J56)))&gt;Lists!K$21)+1)))-IF(Lists!K$22&lt;$J56,0,MIN($AO56,(((YEAR(Lists!K$22)-YEAR($J56))*12+MONTH(Lists!K$22)-MONTH($J56))-(EDATE($J56,((YEAR(Lists!K$22)-YEAR($J56))*12+MONTH(Lists!K$22)-MONTH($J56)))&gt;Lists!K$22)+1)))),IF($AP56="F",IF(N($K56)&lt;=0,0,MIN(MAX(0,$H56),N($K56)*IF(Lists!K$21&lt;$J56,0,(((YEAR(Lists!K$21)-YEAR($J56))*12+MONTH(Lists!K$21)-MONTH($J56))-(EDATE($J56,((YEAR(Lists!K$21)-YEAR($J56))*12+MONTH(Lists!K$21)-MONTH($J56)))&gt;Lists!K$21)+1)))-MIN(MAX(0,$H56),N($K56)*IF(Lists!K$22&lt;$J56,0,(((YEAR(Lists!K$22)-YEAR($J56))*12+MONTH(Lists!K$22)-MONTH($J56))-(EDATE($J56,((YEAR(Lists!K$22)-YEAR($J56))*12+MONTH(Lists!K$22)-MONTH($J56)))&gt;Lists!K$22)+1)))),N($C56)*IF($AE56-$AD56&lt;1,($AD56&gt;Lists!K$22)*($AD56&lt;=Lists!K$21),MAX(0,MIN(Lists!K$21,$AE56)-MAX(Lists!K$22,$AD56))/($AE56-$AD56))+N($D56)*IF($AG56-$AF56&lt;1,($AF56&gt;Lists!K$22)*($AF56&lt;=Lists!K$21),MAX(0,MIN(Lists!K$21,$AG56)-MAX(Lists!K$22,$AF56))/($AG56-$AF56))+N($E56)*IF($AI56-$AH56&lt;1,($AH56&gt;Lists!K$22)*($AH56&lt;=Lists!K$21),MAX(0,MIN(Lists!K$21,$AI56)-MAX(Lists!K$22,$AH56))/($AI56-$AH56))+N($F56)*IF($AK56-$AJ56&lt;1,($AJ56&gt;Lists!K$22)*($AJ56&lt;=Lists!K$21),MAX(0,MIN(Lists!K$21,$AK56)-MAX(Lists!K$22,$AJ56))/($AK56-$AJ56))+N($G56)*IF($AM56-$AL56&lt;1,($AL56&gt;Lists!K$22)*($AL56&lt;=Lists!K$21),MAX(0,MIN(Lists!K$21,$AM56)-MAX(Lists!K$22,$AL56))/($AM56-$AL56))))))))</f>
        <v>0</v>
      </c>
      <c r="V56" s="53" t="n">
        <f aca="false">IF($H56=0,0,IF($AP56="X",0,IF($AP56="S",$H56/$AO56*(MIN($AO56,MAX(0,INT((Lists!L$21-N($J56))/7)+1))-MIN($AO56,MAX(0,INT((Lists!L$22-N($J56))/7)+1))),IF($AP56="D",$H56*MAX(0,MIN(Lists!L$21,N($J56)+$AO56)-MAX(Lists!L$22,N($J56)))/$AO56,IF($AP56="M",$H56/$AO56*(IF(Lists!L$21&lt;$J56,0,MIN($AO56,(((YEAR(Lists!L$21)-YEAR($J56))*12+MONTH(Lists!L$21)-MONTH($J56))-(EDATE($J56,((YEAR(Lists!L$21)-YEAR($J56))*12+MONTH(Lists!L$21)-MONTH($J56)))&gt;Lists!L$21)+1)))-IF(Lists!L$22&lt;$J56,0,MIN($AO56,(((YEAR(Lists!L$22)-YEAR($J56))*12+MONTH(Lists!L$22)-MONTH($J56))-(EDATE($J56,((YEAR(Lists!L$22)-YEAR($J56))*12+MONTH(Lists!L$22)-MONTH($J56)))&gt;Lists!L$22)+1)))),IF($AP56="F",IF(N($K56)&lt;=0,0,MIN(MAX(0,$H56),N($K56)*IF(Lists!L$21&lt;$J56,0,(((YEAR(Lists!L$21)-YEAR($J56))*12+MONTH(Lists!L$21)-MONTH($J56))-(EDATE($J56,((YEAR(Lists!L$21)-YEAR($J56))*12+MONTH(Lists!L$21)-MONTH($J56)))&gt;Lists!L$21)+1)))-MIN(MAX(0,$H56),N($K56)*IF(Lists!L$22&lt;$J56,0,(((YEAR(Lists!L$22)-YEAR($J56))*12+MONTH(Lists!L$22)-MONTH($J56))-(EDATE($J56,((YEAR(Lists!L$22)-YEAR($J56))*12+MONTH(Lists!L$22)-MONTH($J56)))&gt;Lists!L$22)+1)))),N($C56)*IF($AE56-$AD56&lt;1,($AD56&gt;Lists!L$22)*($AD56&lt;=Lists!L$21),MAX(0,MIN(Lists!L$21,$AE56)-MAX(Lists!L$22,$AD56))/($AE56-$AD56))+N($D56)*IF($AG56-$AF56&lt;1,($AF56&gt;Lists!L$22)*($AF56&lt;=Lists!L$21),MAX(0,MIN(Lists!L$21,$AG56)-MAX(Lists!L$22,$AF56))/($AG56-$AF56))+N($E56)*IF($AI56-$AH56&lt;1,($AH56&gt;Lists!L$22)*($AH56&lt;=Lists!L$21),MAX(0,MIN(Lists!L$21,$AI56)-MAX(Lists!L$22,$AH56))/($AI56-$AH56))+N($F56)*IF($AK56-$AJ56&lt;1,($AJ56&gt;Lists!L$22)*($AJ56&lt;=Lists!L$21),MAX(0,MIN(Lists!L$21,$AK56)-MAX(Lists!L$22,$AJ56))/($AK56-$AJ56))+N($G56)*IF($AM56-$AL56&lt;1,($AL56&gt;Lists!L$22)*($AL56&lt;=Lists!L$21),MAX(0,MIN(Lists!L$21,$AM56)-MAX(Lists!L$22,$AL56))/($AM56-$AL56))))))))</f>
        <v>0</v>
      </c>
      <c r="W56" s="53" t="n">
        <f aca="false">IF($H56=0,0,IF($AP56="X",0,IF($AP56="S",$H56/$AO56*(MIN($AO56,MAX(0,INT((Lists!M$21-N($J56))/7)+1))-MIN($AO56,MAX(0,INT((Lists!M$22-N($J56))/7)+1))),IF($AP56="D",$H56*MAX(0,MIN(Lists!M$21,N($J56)+$AO56)-MAX(Lists!M$22,N($J56)))/$AO56,IF($AP56="M",$H56/$AO56*(IF(Lists!M$21&lt;$J56,0,MIN($AO56,(((YEAR(Lists!M$21)-YEAR($J56))*12+MONTH(Lists!M$21)-MONTH($J56))-(EDATE($J56,((YEAR(Lists!M$21)-YEAR($J56))*12+MONTH(Lists!M$21)-MONTH($J56)))&gt;Lists!M$21)+1)))-IF(Lists!M$22&lt;$J56,0,MIN($AO56,(((YEAR(Lists!M$22)-YEAR($J56))*12+MONTH(Lists!M$22)-MONTH($J56))-(EDATE($J56,((YEAR(Lists!M$22)-YEAR($J56))*12+MONTH(Lists!M$22)-MONTH($J56)))&gt;Lists!M$22)+1)))),IF($AP56="F",IF(N($K56)&lt;=0,0,MIN(MAX(0,$H56),N($K56)*IF(Lists!M$21&lt;$J56,0,(((YEAR(Lists!M$21)-YEAR($J56))*12+MONTH(Lists!M$21)-MONTH($J56))-(EDATE($J56,((YEAR(Lists!M$21)-YEAR($J56))*12+MONTH(Lists!M$21)-MONTH($J56)))&gt;Lists!M$21)+1)))-MIN(MAX(0,$H56),N($K56)*IF(Lists!M$22&lt;$J56,0,(((YEAR(Lists!M$22)-YEAR($J56))*12+MONTH(Lists!M$22)-MONTH($J56))-(EDATE($J56,((YEAR(Lists!M$22)-YEAR($J56))*12+MONTH(Lists!M$22)-MONTH($J56)))&gt;Lists!M$22)+1)))),N($C56)*IF($AE56-$AD56&lt;1,($AD56&gt;Lists!M$22)*($AD56&lt;=Lists!M$21),MAX(0,MIN(Lists!M$21,$AE56)-MAX(Lists!M$22,$AD56))/($AE56-$AD56))+N($D56)*IF($AG56-$AF56&lt;1,($AF56&gt;Lists!M$22)*($AF56&lt;=Lists!M$21),MAX(0,MIN(Lists!M$21,$AG56)-MAX(Lists!M$22,$AF56))/($AG56-$AF56))+N($E56)*IF($AI56-$AH56&lt;1,($AH56&gt;Lists!M$22)*($AH56&lt;=Lists!M$21),MAX(0,MIN(Lists!M$21,$AI56)-MAX(Lists!M$22,$AH56))/($AI56-$AH56))+N($F56)*IF($AK56-$AJ56&lt;1,($AJ56&gt;Lists!M$22)*($AJ56&lt;=Lists!M$21),MAX(0,MIN(Lists!M$21,$AK56)-MAX(Lists!M$22,$AJ56))/($AK56-$AJ56))+N($G56)*IF($AM56-$AL56&lt;1,($AL56&gt;Lists!M$22)*($AL56&lt;=Lists!M$21),MAX(0,MIN(Lists!M$21,$AM56)-MAX(Lists!M$22,$AL56))/($AM56-$AL56))))))))</f>
        <v>0</v>
      </c>
      <c r="X56" s="53" t="n">
        <f aca="false">IF($H56=0,0,IF($AP56="X",0,IF($AP56="S",$H56/$AO56*(MIN($AO56,MAX(0,INT((Lists!N$21-N($J56))/7)+1))-MIN($AO56,MAX(0,INT((Lists!N$22-N($J56))/7)+1))),IF($AP56="D",$H56*MAX(0,MIN(Lists!N$21,N($J56)+$AO56)-MAX(Lists!N$22,N($J56)))/$AO56,IF($AP56="M",$H56/$AO56*(IF(Lists!N$21&lt;$J56,0,MIN($AO56,(((YEAR(Lists!N$21)-YEAR($J56))*12+MONTH(Lists!N$21)-MONTH($J56))-(EDATE($J56,((YEAR(Lists!N$21)-YEAR($J56))*12+MONTH(Lists!N$21)-MONTH($J56)))&gt;Lists!N$21)+1)))-IF(Lists!N$22&lt;$J56,0,MIN($AO56,(((YEAR(Lists!N$22)-YEAR($J56))*12+MONTH(Lists!N$22)-MONTH($J56))-(EDATE($J56,((YEAR(Lists!N$22)-YEAR($J56))*12+MONTH(Lists!N$22)-MONTH($J56)))&gt;Lists!N$22)+1)))),IF($AP56="F",IF(N($K56)&lt;=0,0,MIN(MAX(0,$H56),N($K56)*IF(Lists!N$21&lt;$J56,0,(((YEAR(Lists!N$21)-YEAR($J56))*12+MONTH(Lists!N$21)-MONTH($J56))-(EDATE($J56,((YEAR(Lists!N$21)-YEAR($J56))*12+MONTH(Lists!N$21)-MONTH($J56)))&gt;Lists!N$21)+1)))-MIN(MAX(0,$H56),N($K56)*IF(Lists!N$22&lt;$J56,0,(((YEAR(Lists!N$22)-YEAR($J56))*12+MONTH(Lists!N$22)-MONTH($J56))-(EDATE($J56,((YEAR(Lists!N$22)-YEAR($J56))*12+MONTH(Lists!N$22)-MONTH($J56)))&gt;Lists!N$22)+1)))),N($C56)*IF($AE56-$AD56&lt;1,($AD56&gt;Lists!N$22)*($AD56&lt;=Lists!N$21),MAX(0,MIN(Lists!N$21,$AE56)-MAX(Lists!N$22,$AD56))/($AE56-$AD56))+N($D56)*IF($AG56-$AF56&lt;1,($AF56&gt;Lists!N$22)*($AF56&lt;=Lists!N$21),MAX(0,MIN(Lists!N$21,$AG56)-MAX(Lists!N$22,$AF56))/($AG56-$AF56))+N($E56)*IF($AI56-$AH56&lt;1,($AH56&gt;Lists!N$22)*($AH56&lt;=Lists!N$21),MAX(0,MIN(Lists!N$21,$AI56)-MAX(Lists!N$22,$AH56))/($AI56-$AH56))+N($F56)*IF($AK56-$AJ56&lt;1,($AJ56&gt;Lists!N$22)*($AJ56&lt;=Lists!N$21),MAX(0,MIN(Lists!N$21,$AK56)-MAX(Lists!N$22,$AJ56))/($AK56-$AJ56))+N($G56)*IF($AM56-$AL56&lt;1,($AL56&gt;Lists!N$22)*($AL56&lt;=Lists!N$21),MAX(0,MIN(Lists!N$21,$AM56)-MAX(Lists!N$22,$AL56))/($AM56-$AL56))))))))</f>
        <v>0</v>
      </c>
      <c r="Y56" s="53" t="n">
        <f aca="false">IF($H56=0,0,IF($AP56="X",0,IF($AP56="S",$H56/$AO56*(MIN($AO56,MAX(0,INT((Lists!O$21-N($J56))/7)+1))-MIN($AO56,MAX(0,INT((Lists!O$22-N($J56))/7)+1))),IF($AP56="D",$H56*MAX(0,MIN(Lists!O$21,N($J56)+$AO56)-MAX(Lists!O$22,N($J56)))/$AO56,IF($AP56="M",$H56/$AO56*(IF(Lists!O$21&lt;$J56,0,MIN($AO56,(((YEAR(Lists!O$21)-YEAR($J56))*12+MONTH(Lists!O$21)-MONTH($J56))-(EDATE($J56,((YEAR(Lists!O$21)-YEAR($J56))*12+MONTH(Lists!O$21)-MONTH($J56)))&gt;Lists!O$21)+1)))-IF(Lists!O$22&lt;$J56,0,MIN($AO56,(((YEAR(Lists!O$22)-YEAR($J56))*12+MONTH(Lists!O$22)-MONTH($J56))-(EDATE($J56,((YEAR(Lists!O$22)-YEAR($J56))*12+MONTH(Lists!O$22)-MONTH($J56)))&gt;Lists!O$22)+1)))),IF($AP56="F",IF(N($K56)&lt;=0,0,MIN(MAX(0,$H56),N($K56)*IF(Lists!O$21&lt;$J56,0,(((YEAR(Lists!O$21)-YEAR($J56))*12+MONTH(Lists!O$21)-MONTH($J56))-(EDATE($J56,((YEAR(Lists!O$21)-YEAR($J56))*12+MONTH(Lists!O$21)-MONTH($J56)))&gt;Lists!O$21)+1)))-MIN(MAX(0,$H56),N($K56)*IF(Lists!O$22&lt;$J56,0,(((YEAR(Lists!O$22)-YEAR($J56))*12+MONTH(Lists!O$22)-MONTH($J56))-(EDATE($J56,((YEAR(Lists!O$22)-YEAR($J56))*12+MONTH(Lists!O$22)-MONTH($J56)))&gt;Lists!O$22)+1)))),N($C56)*IF($AE56-$AD56&lt;1,($AD56&gt;Lists!O$22)*($AD56&lt;=Lists!O$21),MAX(0,MIN(Lists!O$21,$AE56)-MAX(Lists!O$22,$AD56))/($AE56-$AD56))+N($D56)*IF($AG56-$AF56&lt;1,($AF56&gt;Lists!O$22)*($AF56&lt;=Lists!O$21),MAX(0,MIN(Lists!O$21,$AG56)-MAX(Lists!O$22,$AF56))/($AG56-$AF56))+N($E56)*IF($AI56-$AH56&lt;1,($AH56&gt;Lists!O$22)*($AH56&lt;=Lists!O$21),MAX(0,MIN(Lists!O$21,$AI56)-MAX(Lists!O$22,$AH56))/($AI56-$AH56))+N($F56)*IF($AK56-$AJ56&lt;1,($AJ56&gt;Lists!O$22)*($AJ56&lt;=Lists!O$21),MAX(0,MIN(Lists!O$21,$AK56)-MAX(Lists!O$22,$AJ56))/($AK56-$AJ56))+N($G56)*IF($AM56-$AL56&lt;1,($AL56&gt;Lists!O$22)*($AL56&lt;=Lists!O$21),MAX(0,MIN(Lists!O$21,$AM56)-MAX(Lists!O$22,$AL56))/($AM56-$AL56))))))))</f>
        <v>0</v>
      </c>
      <c r="Z56" s="46" t="n">
        <f aca="false">SUM(M56:Y56)</f>
        <v>0</v>
      </c>
      <c r="AA56" s="92" t="n">
        <f aca="false">H56-Z56</f>
        <v>0</v>
      </c>
      <c r="AB56" s="55"/>
      <c r="AC56" s="2"/>
      <c r="AD56" s="93" t="n">
        <f aca="false">Setup!$D$10+MAX(0,$AN56-30)</f>
        <v>46345</v>
      </c>
      <c r="AE56" s="93" t="n">
        <f aca="false">Setup!$D$10+IF($AN56-30&lt;0,MAX(Setup!$D$22,$AN56-0),$AN56-0)</f>
        <v>46375</v>
      </c>
      <c r="AF56" s="93" t="n">
        <f aca="false">Setup!$D$10+MAX(0,$AN56-60)</f>
        <v>46335</v>
      </c>
      <c r="AG56" s="93" t="n">
        <f aca="false">Setup!$D$10+IF($AN56-60&lt;0,MAX(Setup!$D$22,$AN56-31),$AN56-31)</f>
        <v>46363</v>
      </c>
      <c r="AH56" s="93" t="n">
        <f aca="false">Setup!$D$10+MAX(0,$AN56-90)</f>
        <v>46335</v>
      </c>
      <c r="AI56" s="93" t="n">
        <f aca="false">Setup!$D$10+IF($AN56-90&lt;0,MAX(Setup!$D$22,$AN56-61),$AN56-61)</f>
        <v>46363</v>
      </c>
      <c r="AJ56" s="93" t="n">
        <f aca="false">Setup!$D$10+MAX(0,$AN56-120)</f>
        <v>46335</v>
      </c>
      <c r="AK56" s="93" t="n">
        <f aca="false">Setup!$D$10+IF($AN56-120&lt;0,MAX(Setup!$D$22,$AN56-91),$AN56-91)</f>
        <v>46363</v>
      </c>
      <c r="AL56" s="93" t="n">
        <f aca="false">Setup!$D$10</f>
        <v>46335</v>
      </c>
      <c r="AM56" s="93" t="n">
        <f aca="false">IF(AL56=2958465,AL56,Setup!$D$10+Setup!$D$22)</f>
        <v>46363</v>
      </c>
      <c r="AN56" s="94" t="n">
        <f aca="false">IF(N(L56)=0,Setup!$D$21,L56)</f>
        <v>40</v>
      </c>
      <c r="AO56" s="94" t="n">
        <f aca="false">MAX(1,ROUND(N(K56),0))</f>
        <v>1</v>
      </c>
      <c r="AP56" s="95" t="str">
        <f aca="false">IF(I56="On hold","X",IF(N(J56)=0,"A",IF(I56="Specific date","S",IF(I56="Spread over days","D",IF(I56="Monthly on set day","M",IF(I56="Monthly fixed amount","F","A"))))))</f>
        <v>A</v>
      </c>
    </row>
    <row r="57" customFormat="false" ht="15" hidden="false" customHeight="false" outlineLevel="0" collapsed="false">
      <c r="A57" s="87" t="n">
        <v>49</v>
      </c>
      <c r="B57" s="55"/>
      <c r="C57" s="88"/>
      <c r="D57" s="88"/>
      <c r="E57" s="88"/>
      <c r="F57" s="88"/>
      <c r="G57" s="88"/>
      <c r="H57" s="89" t="n">
        <f aca="false">SUM(C57:G57)</f>
        <v>0</v>
      </c>
      <c r="I57" s="58"/>
      <c r="J57" s="90"/>
      <c r="K57" s="91"/>
      <c r="L57" s="80"/>
      <c r="M57" s="53" t="n">
        <f aca="false">IF($H57=0,0,IF($AP57="X",0,IF($AP57="S",$H57/$AO57*(MIN($AO57,MAX(0,INT((Lists!C$21-N($J57))/7)+1))-MIN($AO57,MAX(0,INT((Lists!C$22-N($J57))/7)+1))),IF($AP57="D",$H57*MAX(0,MIN(Lists!C$21,N($J57)+$AO57)-MAX(Lists!C$22,N($J57)))/$AO57,IF($AP57="M",$H57/$AO57*(IF(Lists!C$21&lt;$J57,0,MIN($AO57,(((YEAR(Lists!C$21)-YEAR($J57))*12+MONTH(Lists!C$21)-MONTH($J57))-(EDATE($J57,((YEAR(Lists!C$21)-YEAR($J57))*12+MONTH(Lists!C$21)-MONTH($J57)))&gt;Lists!C$21)+1)))-IF(Lists!C$22&lt;$J57,0,MIN($AO57,(((YEAR(Lists!C$22)-YEAR($J57))*12+MONTH(Lists!C$22)-MONTH($J57))-(EDATE($J57,((YEAR(Lists!C$22)-YEAR($J57))*12+MONTH(Lists!C$22)-MONTH($J57)))&gt;Lists!C$22)+1)))),IF($AP57="F",IF(N($K57)&lt;=0,0,MIN(MAX(0,$H57),N($K57)*IF(Lists!C$21&lt;$J57,0,(((YEAR(Lists!C$21)-YEAR($J57))*12+MONTH(Lists!C$21)-MONTH($J57))-(EDATE($J57,((YEAR(Lists!C$21)-YEAR($J57))*12+MONTH(Lists!C$21)-MONTH($J57)))&gt;Lists!C$21)+1)))-MIN(MAX(0,$H57),N($K57)*IF(Lists!C$22&lt;$J57,0,(((YEAR(Lists!C$22)-YEAR($J57))*12+MONTH(Lists!C$22)-MONTH($J57))-(EDATE($J57,((YEAR(Lists!C$22)-YEAR($J57))*12+MONTH(Lists!C$22)-MONTH($J57)))&gt;Lists!C$22)+1)))),N($C57)*IF($AE57-$AD57&lt;1,($AD57&gt;Lists!C$22)*($AD57&lt;=Lists!C$21),MAX(0,MIN(Lists!C$21,$AE57)-MAX(Lists!C$22,$AD57))/($AE57-$AD57))+N($D57)*IF($AG57-$AF57&lt;1,($AF57&gt;Lists!C$22)*($AF57&lt;=Lists!C$21),MAX(0,MIN(Lists!C$21,$AG57)-MAX(Lists!C$22,$AF57))/($AG57-$AF57))+N($E57)*IF($AI57-$AH57&lt;1,($AH57&gt;Lists!C$22)*($AH57&lt;=Lists!C$21),MAX(0,MIN(Lists!C$21,$AI57)-MAX(Lists!C$22,$AH57))/($AI57-$AH57))+N($F57)*IF($AK57-$AJ57&lt;1,($AJ57&gt;Lists!C$22)*($AJ57&lt;=Lists!C$21),MAX(0,MIN(Lists!C$21,$AK57)-MAX(Lists!C$22,$AJ57))/($AK57-$AJ57))+N($G57)*IF($AM57-$AL57&lt;1,($AL57&gt;Lists!C$22)*($AL57&lt;=Lists!C$21),MAX(0,MIN(Lists!C$21,$AM57)-MAX(Lists!C$22,$AL57))/($AM57-$AL57))))))))</f>
        <v>0</v>
      </c>
      <c r="N57" s="53" t="n">
        <f aca="false">IF($H57=0,0,IF($AP57="X",0,IF($AP57="S",$H57/$AO57*(MIN($AO57,MAX(0,INT((Lists!D$21-N($J57))/7)+1))-MIN($AO57,MAX(0,INT((Lists!D$22-N($J57))/7)+1))),IF($AP57="D",$H57*MAX(0,MIN(Lists!D$21,N($J57)+$AO57)-MAX(Lists!D$22,N($J57)))/$AO57,IF($AP57="M",$H57/$AO57*(IF(Lists!D$21&lt;$J57,0,MIN($AO57,(((YEAR(Lists!D$21)-YEAR($J57))*12+MONTH(Lists!D$21)-MONTH($J57))-(EDATE($J57,((YEAR(Lists!D$21)-YEAR($J57))*12+MONTH(Lists!D$21)-MONTH($J57)))&gt;Lists!D$21)+1)))-IF(Lists!D$22&lt;$J57,0,MIN($AO57,(((YEAR(Lists!D$22)-YEAR($J57))*12+MONTH(Lists!D$22)-MONTH($J57))-(EDATE($J57,((YEAR(Lists!D$22)-YEAR($J57))*12+MONTH(Lists!D$22)-MONTH($J57)))&gt;Lists!D$22)+1)))),IF($AP57="F",IF(N($K57)&lt;=0,0,MIN(MAX(0,$H57),N($K57)*IF(Lists!D$21&lt;$J57,0,(((YEAR(Lists!D$21)-YEAR($J57))*12+MONTH(Lists!D$21)-MONTH($J57))-(EDATE($J57,((YEAR(Lists!D$21)-YEAR($J57))*12+MONTH(Lists!D$21)-MONTH($J57)))&gt;Lists!D$21)+1)))-MIN(MAX(0,$H57),N($K57)*IF(Lists!D$22&lt;$J57,0,(((YEAR(Lists!D$22)-YEAR($J57))*12+MONTH(Lists!D$22)-MONTH($J57))-(EDATE($J57,((YEAR(Lists!D$22)-YEAR($J57))*12+MONTH(Lists!D$22)-MONTH($J57)))&gt;Lists!D$22)+1)))),N($C57)*IF($AE57-$AD57&lt;1,($AD57&gt;Lists!D$22)*($AD57&lt;=Lists!D$21),MAX(0,MIN(Lists!D$21,$AE57)-MAX(Lists!D$22,$AD57))/($AE57-$AD57))+N($D57)*IF($AG57-$AF57&lt;1,($AF57&gt;Lists!D$22)*($AF57&lt;=Lists!D$21),MAX(0,MIN(Lists!D$21,$AG57)-MAX(Lists!D$22,$AF57))/($AG57-$AF57))+N($E57)*IF($AI57-$AH57&lt;1,($AH57&gt;Lists!D$22)*($AH57&lt;=Lists!D$21),MAX(0,MIN(Lists!D$21,$AI57)-MAX(Lists!D$22,$AH57))/($AI57-$AH57))+N($F57)*IF($AK57-$AJ57&lt;1,($AJ57&gt;Lists!D$22)*($AJ57&lt;=Lists!D$21),MAX(0,MIN(Lists!D$21,$AK57)-MAX(Lists!D$22,$AJ57))/($AK57-$AJ57))+N($G57)*IF($AM57-$AL57&lt;1,($AL57&gt;Lists!D$22)*($AL57&lt;=Lists!D$21),MAX(0,MIN(Lists!D$21,$AM57)-MAX(Lists!D$22,$AL57))/($AM57-$AL57))))))))</f>
        <v>0</v>
      </c>
      <c r="O57" s="53" t="n">
        <f aca="false">IF($H57=0,0,IF($AP57="X",0,IF($AP57="S",$H57/$AO57*(MIN($AO57,MAX(0,INT((Lists!E$21-N($J57))/7)+1))-MIN($AO57,MAX(0,INT((Lists!E$22-N($J57))/7)+1))),IF($AP57="D",$H57*MAX(0,MIN(Lists!E$21,N($J57)+$AO57)-MAX(Lists!E$22,N($J57)))/$AO57,IF($AP57="M",$H57/$AO57*(IF(Lists!E$21&lt;$J57,0,MIN($AO57,(((YEAR(Lists!E$21)-YEAR($J57))*12+MONTH(Lists!E$21)-MONTH($J57))-(EDATE($J57,((YEAR(Lists!E$21)-YEAR($J57))*12+MONTH(Lists!E$21)-MONTH($J57)))&gt;Lists!E$21)+1)))-IF(Lists!E$22&lt;$J57,0,MIN($AO57,(((YEAR(Lists!E$22)-YEAR($J57))*12+MONTH(Lists!E$22)-MONTH($J57))-(EDATE($J57,((YEAR(Lists!E$22)-YEAR($J57))*12+MONTH(Lists!E$22)-MONTH($J57)))&gt;Lists!E$22)+1)))),IF($AP57="F",IF(N($K57)&lt;=0,0,MIN(MAX(0,$H57),N($K57)*IF(Lists!E$21&lt;$J57,0,(((YEAR(Lists!E$21)-YEAR($J57))*12+MONTH(Lists!E$21)-MONTH($J57))-(EDATE($J57,((YEAR(Lists!E$21)-YEAR($J57))*12+MONTH(Lists!E$21)-MONTH($J57)))&gt;Lists!E$21)+1)))-MIN(MAX(0,$H57),N($K57)*IF(Lists!E$22&lt;$J57,0,(((YEAR(Lists!E$22)-YEAR($J57))*12+MONTH(Lists!E$22)-MONTH($J57))-(EDATE($J57,((YEAR(Lists!E$22)-YEAR($J57))*12+MONTH(Lists!E$22)-MONTH($J57)))&gt;Lists!E$22)+1)))),N($C57)*IF($AE57-$AD57&lt;1,($AD57&gt;Lists!E$22)*($AD57&lt;=Lists!E$21),MAX(0,MIN(Lists!E$21,$AE57)-MAX(Lists!E$22,$AD57))/($AE57-$AD57))+N($D57)*IF($AG57-$AF57&lt;1,($AF57&gt;Lists!E$22)*($AF57&lt;=Lists!E$21),MAX(0,MIN(Lists!E$21,$AG57)-MAX(Lists!E$22,$AF57))/($AG57-$AF57))+N($E57)*IF($AI57-$AH57&lt;1,($AH57&gt;Lists!E$22)*($AH57&lt;=Lists!E$21),MAX(0,MIN(Lists!E$21,$AI57)-MAX(Lists!E$22,$AH57))/($AI57-$AH57))+N($F57)*IF($AK57-$AJ57&lt;1,($AJ57&gt;Lists!E$22)*($AJ57&lt;=Lists!E$21),MAX(0,MIN(Lists!E$21,$AK57)-MAX(Lists!E$22,$AJ57))/($AK57-$AJ57))+N($G57)*IF($AM57-$AL57&lt;1,($AL57&gt;Lists!E$22)*($AL57&lt;=Lists!E$21),MAX(0,MIN(Lists!E$21,$AM57)-MAX(Lists!E$22,$AL57))/($AM57-$AL57))))))))</f>
        <v>0</v>
      </c>
      <c r="P57" s="53" t="n">
        <f aca="false">IF($H57=0,0,IF($AP57="X",0,IF($AP57="S",$H57/$AO57*(MIN($AO57,MAX(0,INT((Lists!F$21-N($J57))/7)+1))-MIN($AO57,MAX(0,INT((Lists!F$22-N($J57))/7)+1))),IF($AP57="D",$H57*MAX(0,MIN(Lists!F$21,N($J57)+$AO57)-MAX(Lists!F$22,N($J57)))/$AO57,IF($AP57="M",$H57/$AO57*(IF(Lists!F$21&lt;$J57,0,MIN($AO57,(((YEAR(Lists!F$21)-YEAR($J57))*12+MONTH(Lists!F$21)-MONTH($J57))-(EDATE($J57,((YEAR(Lists!F$21)-YEAR($J57))*12+MONTH(Lists!F$21)-MONTH($J57)))&gt;Lists!F$21)+1)))-IF(Lists!F$22&lt;$J57,0,MIN($AO57,(((YEAR(Lists!F$22)-YEAR($J57))*12+MONTH(Lists!F$22)-MONTH($J57))-(EDATE($J57,((YEAR(Lists!F$22)-YEAR($J57))*12+MONTH(Lists!F$22)-MONTH($J57)))&gt;Lists!F$22)+1)))),IF($AP57="F",IF(N($K57)&lt;=0,0,MIN(MAX(0,$H57),N($K57)*IF(Lists!F$21&lt;$J57,0,(((YEAR(Lists!F$21)-YEAR($J57))*12+MONTH(Lists!F$21)-MONTH($J57))-(EDATE($J57,((YEAR(Lists!F$21)-YEAR($J57))*12+MONTH(Lists!F$21)-MONTH($J57)))&gt;Lists!F$21)+1)))-MIN(MAX(0,$H57),N($K57)*IF(Lists!F$22&lt;$J57,0,(((YEAR(Lists!F$22)-YEAR($J57))*12+MONTH(Lists!F$22)-MONTH($J57))-(EDATE($J57,((YEAR(Lists!F$22)-YEAR($J57))*12+MONTH(Lists!F$22)-MONTH($J57)))&gt;Lists!F$22)+1)))),N($C57)*IF($AE57-$AD57&lt;1,($AD57&gt;Lists!F$22)*($AD57&lt;=Lists!F$21),MAX(0,MIN(Lists!F$21,$AE57)-MAX(Lists!F$22,$AD57))/($AE57-$AD57))+N($D57)*IF($AG57-$AF57&lt;1,($AF57&gt;Lists!F$22)*($AF57&lt;=Lists!F$21),MAX(0,MIN(Lists!F$21,$AG57)-MAX(Lists!F$22,$AF57))/($AG57-$AF57))+N($E57)*IF($AI57-$AH57&lt;1,($AH57&gt;Lists!F$22)*($AH57&lt;=Lists!F$21),MAX(0,MIN(Lists!F$21,$AI57)-MAX(Lists!F$22,$AH57))/($AI57-$AH57))+N($F57)*IF($AK57-$AJ57&lt;1,($AJ57&gt;Lists!F$22)*($AJ57&lt;=Lists!F$21),MAX(0,MIN(Lists!F$21,$AK57)-MAX(Lists!F$22,$AJ57))/($AK57-$AJ57))+N($G57)*IF($AM57-$AL57&lt;1,($AL57&gt;Lists!F$22)*($AL57&lt;=Lists!F$21),MAX(0,MIN(Lists!F$21,$AM57)-MAX(Lists!F$22,$AL57))/($AM57-$AL57))))))))</f>
        <v>0</v>
      </c>
      <c r="Q57" s="53" t="n">
        <f aca="false">IF($H57=0,0,IF($AP57="X",0,IF($AP57="S",$H57/$AO57*(MIN($AO57,MAX(0,INT((Lists!G$21-N($J57))/7)+1))-MIN($AO57,MAX(0,INT((Lists!G$22-N($J57))/7)+1))),IF($AP57="D",$H57*MAX(0,MIN(Lists!G$21,N($J57)+$AO57)-MAX(Lists!G$22,N($J57)))/$AO57,IF($AP57="M",$H57/$AO57*(IF(Lists!G$21&lt;$J57,0,MIN($AO57,(((YEAR(Lists!G$21)-YEAR($J57))*12+MONTH(Lists!G$21)-MONTH($J57))-(EDATE($J57,((YEAR(Lists!G$21)-YEAR($J57))*12+MONTH(Lists!G$21)-MONTH($J57)))&gt;Lists!G$21)+1)))-IF(Lists!G$22&lt;$J57,0,MIN($AO57,(((YEAR(Lists!G$22)-YEAR($J57))*12+MONTH(Lists!G$22)-MONTH($J57))-(EDATE($J57,((YEAR(Lists!G$22)-YEAR($J57))*12+MONTH(Lists!G$22)-MONTH($J57)))&gt;Lists!G$22)+1)))),IF($AP57="F",IF(N($K57)&lt;=0,0,MIN(MAX(0,$H57),N($K57)*IF(Lists!G$21&lt;$J57,0,(((YEAR(Lists!G$21)-YEAR($J57))*12+MONTH(Lists!G$21)-MONTH($J57))-(EDATE($J57,((YEAR(Lists!G$21)-YEAR($J57))*12+MONTH(Lists!G$21)-MONTH($J57)))&gt;Lists!G$21)+1)))-MIN(MAX(0,$H57),N($K57)*IF(Lists!G$22&lt;$J57,0,(((YEAR(Lists!G$22)-YEAR($J57))*12+MONTH(Lists!G$22)-MONTH($J57))-(EDATE($J57,((YEAR(Lists!G$22)-YEAR($J57))*12+MONTH(Lists!G$22)-MONTH($J57)))&gt;Lists!G$22)+1)))),N($C57)*IF($AE57-$AD57&lt;1,($AD57&gt;Lists!G$22)*($AD57&lt;=Lists!G$21),MAX(0,MIN(Lists!G$21,$AE57)-MAX(Lists!G$22,$AD57))/($AE57-$AD57))+N($D57)*IF($AG57-$AF57&lt;1,($AF57&gt;Lists!G$22)*($AF57&lt;=Lists!G$21),MAX(0,MIN(Lists!G$21,$AG57)-MAX(Lists!G$22,$AF57))/($AG57-$AF57))+N($E57)*IF($AI57-$AH57&lt;1,($AH57&gt;Lists!G$22)*($AH57&lt;=Lists!G$21),MAX(0,MIN(Lists!G$21,$AI57)-MAX(Lists!G$22,$AH57))/($AI57-$AH57))+N($F57)*IF($AK57-$AJ57&lt;1,($AJ57&gt;Lists!G$22)*($AJ57&lt;=Lists!G$21),MAX(0,MIN(Lists!G$21,$AK57)-MAX(Lists!G$22,$AJ57))/($AK57-$AJ57))+N($G57)*IF($AM57-$AL57&lt;1,($AL57&gt;Lists!G$22)*($AL57&lt;=Lists!G$21),MAX(0,MIN(Lists!G$21,$AM57)-MAX(Lists!G$22,$AL57))/($AM57-$AL57))))))))</f>
        <v>0</v>
      </c>
      <c r="R57" s="53" t="n">
        <f aca="false">IF($H57=0,0,IF($AP57="X",0,IF($AP57="S",$H57/$AO57*(MIN($AO57,MAX(0,INT((Lists!H$21-N($J57))/7)+1))-MIN($AO57,MAX(0,INT((Lists!H$22-N($J57))/7)+1))),IF($AP57="D",$H57*MAX(0,MIN(Lists!H$21,N($J57)+$AO57)-MAX(Lists!H$22,N($J57)))/$AO57,IF($AP57="M",$H57/$AO57*(IF(Lists!H$21&lt;$J57,0,MIN($AO57,(((YEAR(Lists!H$21)-YEAR($J57))*12+MONTH(Lists!H$21)-MONTH($J57))-(EDATE($J57,((YEAR(Lists!H$21)-YEAR($J57))*12+MONTH(Lists!H$21)-MONTH($J57)))&gt;Lists!H$21)+1)))-IF(Lists!H$22&lt;$J57,0,MIN($AO57,(((YEAR(Lists!H$22)-YEAR($J57))*12+MONTH(Lists!H$22)-MONTH($J57))-(EDATE($J57,((YEAR(Lists!H$22)-YEAR($J57))*12+MONTH(Lists!H$22)-MONTH($J57)))&gt;Lists!H$22)+1)))),IF($AP57="F",IF(N($K57)&lt;=0,0,MIN(MAX(0,$H57),N($K57)*IF(Lists!H$21&lt;$J57,0,(((YEAR(Lists!H$21)-YEAR($J57))*12+MONTH(Lists!H$21)-MONTH($J57))-(EDATE($J57,((YEAR(Lists!H$21)-YEAR($J57))*12+MONTH(Lists!H$21)-MONTH($J57)))&gt;Lists!H$21)+1)))-MIN(MAX(0,$H57),N($K57)*IF(Lists!H$22&lt;$J57,0,(((YEAR(Lists!H$22)-YEAR($J57))*12+MONTH(Lists!H$22)-MONTH($J57))-(EDATE($J57,((YEAR(Lists!H$22)-YEAR($J57))*12+MONTH(Lists!H$22)-MONTH($J57)))&gt;Lists!H$22)+1)))),N($C57)*IF($AE57-$AD57&lt;1,($AD57&gt;Lists!H$22)*($AD57&lt;=Lists!H$21),MAX(0,MIN(Lists!H$21,$AE57)-MAX(Lists!H$22,$AD57))/($AE57-$AD57))+N($D57)*IF($AG57-$AF57&lt;1,($AF57&gt;Lists!H$22)*($AF57&lt;=Lists!H$21),MAX(0,MIN(Lists!H$21,$AG57)-MAX(Lists!H$22,$AF57))/($AG57-$AF57))+N($E57)*IF($AI57-$AH57&lt;1,($AH57&gt;Lists!H$22)*($AH57&lt;=Lists!H$21),MAX(0,MIN(Lists!H$21,$AI57)-MAX(Lists!H$22,$AH57))/($AI57-$AH57))+N($F57)*IF($AK57-$AJ57&lt;1,($AJ57&gt;Lists!H$22)*($AJ57&lt;=Lists!H$21),MAX(0,MIN(Lists!H$21,$AK57)-MAX(Lists!H$22,$AJ57))/($AK57-$AJ57))+N($G57)*IF($AM57-$AL57&lt;1,($AL57&gt;Lists!H$22)*($AL57&lt;=Lists!H$21),MAX(0,MIN(Lists!H$21,$AM57)-MAX(Lists!H$22,$AL57))/($AM57-$AL57))))))))</f>
        <v>0</v>
      </c>
      <c r="S57" s="53" t="n">
        <f aca="false">IF($H57=0,0,IF($AP57="X",0,IF($AP57="S",$H57/$AO57*(MIN($AO57,MAX(0,INT((Lists!I$21-N($J57))/7)+1))-MIN($AO57,MAX(0,INT((Lists!I$22-N($J57))/7)+1))),IF($AP57="D",$H57*MAX(0,MIN(Lists!I$21,N($J57)+$AO57)-MAX(Lists!I$22,N($J57)))/$AO57,IF($AP57="M",$H57/$AO57*(IF(Lists!I$21&lt;$J57,0,MIN($AO57,(((YEAR(Lists!I$21)-YEAR($J57))*12+MONTH(Lists!I$21)-MONTH($J57))-(EDATE($J57,((YEAR(Lists!I$21)-YEAR($J57))*12+MONTH(Lists!I$21)-MONTH($J57)))&gt;Lists!I$21)+1)))-IF(Lists!I$22&lt;$J57,0,MIN($AO57,(((YEAR(Lists!I$22)-YEAR($J57))*12+MONTH(Lists!I$22)-MONTH($J57))-(EDATE($J57,((YEAR(Lists!I$22)-YEAR($J57))*12+MONTH(Lists!I$22)-MONTH($J57)))&gt;Lists!I$22)+1)))),IF($AP57="F",IF(N($K57)&lt;=0,0,MIN(MAX(0,$H57),N($K57)*IF(Lists!I$21&lt;$J57,0,(((YEAR(Lists!I$21)-YEAR($J57))*12+MONTH(Lists!I$21)-MONTH($J57))-(EDATE($J57,((YEAR(Lists!I$21)-YEAR($J57))*12+MONTH(Lists!I$21)-MONTH($J57)))&gt;Lists!I$21)+1)))-MIN(MAX(0,$H57),N($K57)*IF(Lists!I$22&lt;$J57,0,(((YEAR(Lists!I$22)-YEAR($J57))*12+MONTH(Lists!I$22)-MONTH($J57))-(EDATE($J57,((YEAR(Lists!I$22)-YEAR($J57))*12+MONTH(Lists!I$22)-MONTH($J57)))&gt;Lists!I$22)+1)))),N($C57)*IF($AE57-$AD57&lt;1,($AD57&gt;Lists!I$22)*($AD57&lt;=Lists!I$21),MAX(0,MIN(Lists!I$21,$AE57)-MAX(Lists!I$22,$AD57))/($AE57-$AD57))+N($D57)*IF($AG57-$AF57&lt;1,($AF57&gt;Lists!I$22)*($AF57&lt;=Lists!I$21),MAX(0,MIN(Lists!I$21,$AG57)-MAX(Lists!I$22,$AF57))/($AG57-$AF57))+N($E57)*IF($AI57-$AH57&lt;1,($AH57&gt;Lists!I$22)*($AH57&lt;=Lists!I$21),MAX(0,MIN(Lists!I$21,$AI57)-MAX(Lists!I$22,$AH57))/($AI57-$AH57))+N($F57)*IF($AK57-$AJ57&lt;1,($AJ57&gt;Lists!I$22)*($AJ57&lt;=Lists!I$21),MAX(0,MIN(Lists!I$21,$AK57)-MAX(Lists!I$22,$AJ57))/($AK57-$AJ57))+N($G57)*IF($AM57-$AL57&lt;1,($AL57&gt;Lists!I$22)*($AL57&lt;=Lists!I$21),MAX(0,MIN(Lists!I$21,$AM57)-MAX(Lists!I$22,$AL57))/($AM57-$AL57))))))))</f>
        <v>0</v>
      </c>
      <c r="T57" s="53" t="n">
        <f aca="false">IF($H57=0,0,IF($AP57="X",0,IF($AP57="S",$H57/$AO57*(MIN($AO57,MAX(0,INT((Lists!J$21-N($J57))/7)+1))-MIN($AO57,MAX(0,INT((Lists!J$22-N($J57))/7)+1))),IF($AP57="D",$H57*MAX(0,MIN(Lists!J$21,N($J57)+$AO57)-MAX(Lists!J$22,N($J57)))/$AO57,IF($AP57="M",$H57/$AO57*(IF(Lists!J$21&lt;$J57,0,MIN($AO57,(((YEAR(Lists!J$21)-YEAR($J57))*12+MONTH(Lists!J$21)-MONTH($J57))-(EDATE($J57,((YEAR(Lists!J$21)-YEAR($J57))*12+MONTH(Lists!J$21)-MONTH($J57)))&gt;Lists!J$21)+1)))-IF(Lists!J$22&lt;$J57,0,MIN($AO57,(((YEAR(Lists!J$22)-YEAR($J57))*12+MONTH(Lists!J$22)-MONTH($J57))-(EDATE($J57,((YEAR(Lists!J$22)-YEAR($J57))*12+MONTH(Lists!J$22)-MONTH($J57)))&gt;Lists!J$22)+1)))),IF($AP57="F",IF(N($K57)&lt;=0,0,MIN(MAX(0,$H57),N($K57)*IF(Lists!J$21&lt;$J57,0,(((YEAR(Lists!J$21)-YEAR($J57))*12+MONTH(Lists!J$21)-MONTH($J57))-(EDATE($J57,((YEAR(Lists!J$21)-YEAR($J57))*12+MONTH(Lists!J$21)-MONTH($J57)))&gt;Lists!J$21)+1)))-MIN(MAX(0,$H57),N($K57)*IF(Lists!J$22&lt;$J57,0,(((YEAR(Lists!J$22)-YEAR($J57))*12+MONTH(Lists!J$22)-MONTH($J57))-(EDATE($J57,((YEAR(Lists!J$22)-YEAR($J57))*12+MONTH(Lists!J$22)-MONTH($J57)))&gt;Lists!J$22)+1)))),N($C57)*IF($AE57-$AD57&lt;1,($AD57&gt;Lists!J$22)*($AD57&lt;=Lists!J$21),MAX(0,MIN(Lists!J$21,$AE57)-MAX(Lists!J$22,$AD57))/($AE57-$AD57))+N($D57)*IF($AG57-$AF57&lt;1,($AF57&gt;Lists!J$22)*($AF57&lt;=Lists!J$21),MAX(0,MIN(Lists!J$21,$AG57)-MAX(Lists!J$22,$AF57))/($AG57-$AF57))+N($E57)*IF($AI57-$AH57&lt;1,($AH57&gt;Lists!J$22)*($AH57&lt;=Lists!J$21),MAX(0,MIN(Lists!J$21,$AI57)-MAX(Lists!J$22,$AH57))/($AI57-$AH57))+N($F57)*IF($AK57-$AJ57&lt;1,($AJ57&gt;Lists!J$22)*($AJ57&lt;=Lists!J$21),MAX(0,MIN(Lists!J$21,$AK57)-MAX(Lists!J$22,$AJ57))/($AK57-$AJ57))+N($G57)*IF($AM57-$AL57&lt;1,($AL57&gt;Lists!J$22)*($AL57&lt;=Lists!J$21),MAX(0,MIN(Lists!J$21,$AM57)-MAX(Lists!J$22,$AL57))/($AM57-$AL57))))))))</f>
        <v>0</v>
      </c>
      <c r="U57" s="53" t="n">
        <f aca="false">IF($H57=0,0,IF($AP57="X",0,IF($AP57="S",$H57/$AO57*(MIN($AO57,MAX(0,INT((Lists!K$21-N($J57))/7)+1))-MIN($AO57,MAX(0,INT((Lists!K$22-N($J57))/7)+1))),IF($AP57="D",$H57*MAX(0,MIN(Lists!K$21,N($J57)+$AO57)-MAX(Lists!K$22,N($J57)))/$AO57,IF($AP57="M",$H57/$AO57*(IF(Lists!K$21&lt;$J57,0,MIN($AO57,(((YEAR(Lists!K$21)-YEAR($J57))*12+MONTH(Lists!K$21)-MONTH($J57))-(EDATE($J57,((YEAR(Lists!K$21)-YEAR($J57))*12+MONTH(Lists!K$21)-MONTH($J57)))&gt;Lists!K$21)+1)))-IF(Lists!K$22&lt;$J57,0,MIN($AO57,(((YEAR(Lists!K$22)-YEAR($J57))*12+MONTH(Lists!K$22)-MONTH($J57))-(EDATE($J57,((YEAR(Lists!K$22)-YEAR($J57))*12+MONTH(Lists!K$22)-MONTH($J57)))&gt;Lists!K$22)+1)))),IF($AP57="F",IF(N($K57)&lt;=0,0,MIN(MAX(0,$H57),N($K57)*IF(Lists!K$21&lt;$J57,0,(((YEAR(Lists!K$21)-YEAR($J57))*12+MONTH(Lists!K$21)-MONTH($J57))-(EDATE($J57,((YEAR(Lists!K$21)-YEAR($J57))*12+MONTH(Lists!K$21)-MONTH($J57)))&gt;Lists!K$21)+1)))-MIN(MAX(0,$H57),N($K57)*IF(Lists!K$22&lt;$J57,0,(((YEAR(Lists!K$22)-YEAR($J57))*12+MONTH(Lists!K$22)-MONTH($J57))-(EDATE($J57,((YEAR(Lists!K$22)-YEAR($J57))*12+MONTH(Lists!K$22)-MONTH($J57)))&gt;Lists!K$22)+1)))),N($C57)*IF($AE57-$AD57&lt;1,($AD57&gt;Lists!K$22)*($AD57&lt;=Lists!K$21),MAX(0,MIN(Lists!K$21,$AE57)-MAX(Lists!K$22,$AD57))/($AE57-$AD57))+N($D57)*IF($AG57-$AF57&lt;1,($AF57&gt;Lists!K$22)*($AF57&lt;=Lists!K$21),MAX(0,MIN(Lists!K$21,$AG57)-MAX(Lists!K$22,$AF57))/($AG57-$AF57))+N($E57)*IF($AI57-$AH57&lt;1,($AH57&gt;Lists!K$22)*($AH57&lt;=Lists!K$21),MAX(0,MIN(Lists!K$21,$AI57)-MAX(Lists!K$22,$AH57))/($AI57-$AH57))+N($F57)*IF($AK57-$AJ57&lt;1,($AJ57&gt;Lists!K$22)*($AJ57&lt;=Lists!K$21),MAX(0,MIN(Lists!K$21,$AK57)-MAX(Lists!K$22,$AJ57))/($AK57-$AJ57))+N($G57)*IF($AM57-$AL57&lt;1,($AL57&gt;Lists!K$22)*($AL57&lt;=Lists!K$21),MAX(0,MIN(Lists!K$21,$AM57)-MAX(Lists!K$22,$AL57))/($AM57-$AL57))))))))</f>
        <v>0</v>
      </c>
      <c r="V57" s="53" t="n">
        <f aca="false">IF($H57=0,0,IF($AP57="X",0,IF($AP57="S",$H57/$AO57*(MIN($AO57,MAX(0,INT((Lists!L$21-N($J57))/7)+1))-MIN($AO57,MAX(0,INT((Lists!L$22-N($J57))/7)+1))),IF($AP57="D",$H57*MAX(0,MIN(Lists!L$21,N($J57)+$AO57)-MAX(Lists!L$22,N($J57)))/$AO57,IF($AP57="M",$H57/$AO57*(IF(Lists!L$21&lt;$J57,0,MIN($AO57,(((YEAR(Lists!L$21)-YEAR($J57))*12+MONTH(Lists!L$21)-MONTH($J57))-(EDATE($J57,((YEAR(Lists!L$21)-YEAR($J57))*12+MONTH(Lists!L$21)-MONTH($J57)))&gt;Lists!L$21)+1)))-IF(Lists!L$22&lt;$J57,0,MIN($AO57,(((YEAR(Lists!L$22)-YEAR($J57))*12+MONTH(Lists!L$22)-MONTH($J57))-(EDATE($J57,((YEAR(Lists!L$22)-YEAR($J57))*12+MONTH(Lists!L$22)-MONTH($J57)))&gt;Lists!L$22)+1)))),IF($AP57="F",IF(N($K57)&lt;=0,0,MIN(MAX(0,$H57),N($K57)*IF(Lists!L$21&lt;$J57,0,(((YEAR(Lists!L$21)-YEAR($J57))*12+MONTH(Lists!L$21)-MONTH($J57))-(EDATE($J57,((YEAR(Lists!L$21)-YEAR($J57))*12+MONTH(Lists!L$21)-MONTH($J57)))&gt;Lists!L$21)+1)))-MIN(MAX(0,$H57),N($K57)*IF(Lists!L$22&lt;$J57,0,(((YEAR(Lists!L$22)-YEAR($J57))*12+MONTH(Lists!L$22)-MONTH($J57))-(EDATE($J57,((YEAR(Lists!L$22)-YEAR($J57))*12+MONTH(Lists!L$22)-MONTH($J57)))&gt;Lists!L$22)+1)))),N($C57)*IF($AE57-$AD57&lt;1,($AD57&gt;Lists!L$22)*($AD57&lt;=Lists!L$21),MAX(0,MIN(Lists!L$21,$AE57)-MAX(Lists!L$22,$AD57))/($AE57-$AD57))+N($D57)*IF($AG57-$AF57&lt;1,($AF57&gt;Lists!L$22)*($AF57&lt;=Lists!L$21),MAX(0,MIN(Lists!L$21,$AG57)-MAX(Lists!L$22,$AF57))/($AG57-$AF57))+N($E57)*IF($AI57-$AH57&lt;1,($AH57&gt;Lists!L$22)*($AH57&lt;=Lists!L$21),MAX(0,MIN(Lists!L$21,$AI57)-MAX(Lists!L$22,$AH57))/($AI57-$AH57))+N($F57)*IF($AK57-$AJ57&lt;1,($AJ57&gt;Lists!L$22)*($AJ57&lt;=Lists!L$21),MAX(0,MIN(Lists!L$21,$AK57)-MAX(Lists!L$22,$AJ57))/($AK57-$AJ57))+N($G57)*IF($AM57-$AL57&lt;1,($AL57&gt;Lists!L$22)*($AL57&lt;=Lists!L$21),MAX(0,MIN(Lists!L$21,$AM57)-MAX(Lists!L$22,$AL57))/($AM57-$AL57))))))))</f>
        <v>0</v>
      </c>
      <c r="W57" s="53" t="n">
        <f aca="false">IF($H57=0,0,IF($AP57="X",0,IF($AP57="S",$H57/$AO57*(MIN($AO57,MAX(0,INT((Lists!M$21-N($J57))/7)+1))-MIN($AO57,MAX(0,INT((Lists!M$22-N($J57))/7)+1))),IF($AP57="D",$H57*MAX(0,MIN(Lists!M$21,N($J57)+$AO57)-MAX(Lists!M$22,N($J57)))/$AO57,IF($AP57="M",$H57/$AO57*(IF(Lists!M$21&lt;$J57,0,MIN($AO57,(((YEAR(Lists!M$21)-YEAR($J57))*12+MONTH(Lists!M$21)-MONTH($J57))-(EDATE($J57,((YEAR(Lists!M$21)-YEAR($J57))*12+MONTH(Lists!M$21)-MONTH($J57)))&gt;Lists!M$21)+1)))-IF(Lists!M$22&lt;$J57,0,MIN($AO57,(((YEAR(Lists!M$22)-YEAR($J57))*12+MONTH(Lists!M$22)-MONTH($J57))-(EDATE($J57,((YEAR(Lists!M$22)-YEAR($J57))*12+MONTH(Lists!M$22)-MONTH($J57)))&gt;Lists!M$22)+1)))),IF($AP57="F",IF(N($K57)&lt;=0,0,MIN(MAX(0,$H57),N($K57)*IF(Lists!M$21&lt;$J57,0,(((YEAR(Lists!M$21)-YEAR($J57))*12+MONTH(Lists!M$21)-MONTH($J57))-(EDATE($J57,((YEAR(Lists!M$21)-YEAR($J57))*12+MONTH(Lists!M$21)-MONTH($J57)))&gt;Lists!M$21)+1)))-MIN(MAX(0,$H57),N($K57)*IF(Lists!M$22&lt;$J57,0,(((YEAR(Lists!M$22)-YEAR($J57))*12+MONTH(Lists!M$22)-MONTH($J57))-(EDATE($J57,((YEAR(Lists!M$22)-YEAR($J57))*12+MONTH(Lists!M$22)-MONTH($J57)))&gt;Lists!M$22)+1)))),N($C57)*IF($AE57-$AD57&lt;1,($AD57&gt;Lists!M$22)*($AD57&lt;=Lists!M$21),MAX(0,MIN(Lists!M$21,$AE57)-MAX(Lists!M$22,$AD57))/($AE57-$AD57))+N($D57)*IF($AG57-$AF57&lt;1,($AF57&gt;Lists!M$22)*($AF57&lt;=Lists!M$21),MAX(0,MIN(Lists!M$21,$AG57)-MAX(Lists!M$22,$AF57))/($AG57-$AF57))+N($E57)*IF($AI57-$AH57&lt;1,($AH57&gt;Lists!M$22)*($AH57&lt;=Lists!M$21),MAX(0,MIN(Lists!M$21,$AI57)-MAX(Lists!M$22,$AH57))/($AI57-$AH57))+N($F57)*IF($AK57-$AJ57&lt;1,($AJ57&gt;Lists!M$22)*($AJ57&lt;=Lists!M$21),MAX(0,MIN(Lists!M$21,$AK57)-MAX(Lists!M$22,$AJ57))/($AK57-$AJ57))+N($G57)*IF($AM57-$AL57&lt;1,($AL57&gt;Lists!M$22)*($AL57&lt;=Lists!M$21),MAX(0,MIN(Lists!M$21,$AM57)-MAX(Lists!M$22,$AL57))/($AM57-$AL57))))))))</f>
        <v>0</v>
      </c>
      <c r="X57" s="53" t="n">
        <f aca="false">IF($H57=0,0,IF($AP57="X",0,IF($AP57="S",$H57/$AO57*(MIN($AO57,MAX(0,INT((Lists!N$21-N($J57))/7)+1))-MIN($AO57,MAX(0,INT((Lists!N$22-N($J57))/7)+1))),IF($AP57="D",$H57*MAX(0,MIN(Lists!N$21,N($J57)+$AO57)-MAX(Lists!N$22,N($J57)))/$AO57,IF($AP57="M",$H57/$AO57*(IF(Lists!N$21&lt;$J57,0,MIN($AO57,(((YEAR(Lists!N$21)-YEAR($J57))*12+MONTH(Lists!N$21)-MONTH($J57))-(EDATE($J57,((YEAR(Lists!N$21)-YEAR($J57))*12+MONTH(Lists!N$21)-MONTH($J57)))&gt;Lists!N$21)+1)))-IF(Lists!N$22&lt;$J57,0,MIN($AO57,(((YEAR(Lists!N$22)-YEAR($J57))*12+MONTH(Lists!N$22)-MONTH($J57))-(EDATE($J57,((YEAR(Lists!N$22)-YEAR($J57))*12+MONTH(Lists!N$22)-MONTH($J57)))&gt;Lists!N$22)+1)))),IF($AP57="F",IF(N($K57)&lt;=0,0,MIN(MAX(0,$H57),N($K57)*IF(Lists!N$21&lt;$J57,0,(((YEAR(Lists!N$21)-YEAR($J57))*12+MONTH(Lists!N$21)-MONTH($J57))-(EDATE($J57,((YEAR(Lists!N$21)-YEAR($J57))*12+MONTH(Lists!N$21)-MONTH($J57)))&gt;Lists!N$21)+1)))-MIN(MAX(0,$H57),N($K57)*IF(Lists!N$22&lt;$J57,0,(((YEAR(Lists!N$22)-YEAR($J57))*12+MONTH(Lists!N$22)-MONTH($J57))-(EDATE($J57,((YEAR(Lists!N$22)-YEAR($J57))*12+MONTH(Lists!N$22)-MONTH($J57)))&gt;Lists!N$22)+1)))),N($C57)*IF($AE57-$AD57&lt;1,($AD57&gt;Lists!N$22)*($AD57&lt;=Lists!N$21),MAX(0,MIN(Lists!N$21,$AE57)-MAX(Lists!N$22,$AD57))/($AE57-$AD57))+N($D57)*IF($AG57-$AF57&lt;1,($AF57&gt;Lists!N$22)*($AF57&lt;=Lists!N$21),MAX(0,MIN(Lists!N$21,$AG57)-MAX(Lists!N$22,$AF57))/($AG57-$AF57))+N($E57)*IF($AI57-$AH57&lt;1,($AH57&gt;Lists!N$22)*($AH57&lt;=Lists!N$21),MAX(0,MIN(Lists!N$21,$AI57)-MAX(Lists!N$22,$AH57))/($AI57-$AH57))+N($F57)*IF($AK57-$AJ57&lt;1,($AJ57&gt;Lists!N$22)*($AJ57&lt;=Lists!N$21),MAX(0,MIN(Lists!N$21,$AK57)-MAX(Lists!N$22,$AJ57))/($AK57-$AJ57))+N($G57)*IF($AM57-$AL57&lt;1,($AL57&gt;Lists!N$22)*($AL57&lt;=Lists!N$21),MAX(0,MIN(Lists!N$21,$AM57)-MAX(Lists!N$22,$AL57))/($AM57-$AL57))))))))</f>
        <v>0</v>
      </c>
      <c r="Y57" s="53" t="n">
        <f aca="false">IF($H57=0,0,IF($AP57="X",0,IF($AP57="S",$H57/$AO57*(MIN($AO57,MAX(0,INT((Lists!O$21-N($J57))/7)+1))-MIN($AO57,MAX(0,INT((Lists!O$22-N($J57))/7)+1))),IF($AP57="D",$H57*MAX(0,MIN(Lists!O$21,N($J57)+$AO57)-MAX(Lists!O$22,N($J57)))/$AO57,IF($AP57="M",$H57/$AO57*(IF(Lists!O$21&lt;$J57,0,MIN($AO57,(((YEAR(Lists!O$21)-YEAR($J57))*12+MONTH(Lists!O$21)-MONTH($J57))-(EDATE($J57,((YEAR(Lists!O$21)-YEAR($J57))*12+MONTH(Lists!O$21)-MONTH($J57)))&gt;Lists!O$21)+1)))-IF(Lists!O$22&lt;$J57,0,MIN($AO57,(((YEAR(Lists!O$22)-YEAR($J57))*12+MONTH(Lists!O$22)-MONTH($J57))-(EDATE($J57,((YEAR(Lists!O$22)-YEAR($J57))*12+MONTH(Lists!O$22)-MONTH($J57)))&gt;Lists!O$22)+1)))),IF($AP57="F",IF(N($K57)&lt;=0,0,MIN(MAX(0,$H57),N($K57)*IF(Lists!O$21&lt;$J57,0,(((YEAR(Lists!O$21)-YEAR($J57))*12+MONTH(Lists!O$21)-MONTH($J57))-(EDATE($J57,((YEAR(Lists!O$21)-YEAR($J57))*12+MONTH(Lists!O$21)-MONTH($J57)))&gt;Lists!O$21)+1)))-MIN(MAX(0,$H57),N($K57)*IF(Lists!O$22&lt;$J57,0,(((YEAR(Lists!O$22)-YEAR($J57))*12+MONTH(Lists!O$22)-MONTH($J57))-(EDATE($J57,((YEAR(Lists!O$22)-YEAR($J57))*12+MONTH(Lists!O$22)-MONTH($J57)))&gt;Lists!O$22)+1)))),N($C57)*IF($AE57-$AD57&lt;1,($AD57&gt;Lists!O$22)*($AD57&lt;=Lists!O$21),MAX(0,MIN(Lists!O$21,$AE57)-MAX(Lists!O$22,$AD57))/($AE57-$AD57))+N($D57)*IF($AG57-$AF57&lt;1,($AF57&gt;Lists!O$22)*($AF57&lt;=Lists!O$21),MAX(0,MIN(Lists!O$21,$AG57)-MAX(Lists!O$22,$AF57))/($AG57-$AF57))+N($E57)*IF($AI57-$AH57&lt;1,($AH57&gt;Lists!O$22)*($AH57&lt;=Lists!O$21),MAX(0,MIN(Lists!O$21,$AI57)-MAX(Lists!O$22,$AH57))/($AI57-$AH57))+N($F57)*IF($AK57-$AJ57&lt;1,($AJ57&gt;Lists!O$22)*($AJ57&lt;=Lists!O$21),MAX(0,MIN(Lists!O$21,$AK57)-MAX(Lists!O$22,$AJ57))/($AK57-$AJ57))+N($G57)*IF($AM57-$AL57&lt;1,($AL57&gt;Lists!O$22)*($AL57&lt;=Lists!O$21),MAX(0,MIN(Lists!O$21,$AM57)-MAX(Lists!O$22,$AL57))/($AM57-$AL57))))))))</f>
        <v>0</v>
      </c>
      <c r="Z57" s="46" t="n">
        <f aca="false">SUM(M57:Y57)</f>
        <v>0</v>
      </c>
      <c r="AA57" s="92" t="n">
        <f aca="false">H57-Z57</f>
        <v>0</v>
      </c>
      <c r="AB57" s="55"/>
      <c r="AC57" s="2"/>
      <c r="AD57" s="93" t="n">
        <f aca="false">Setup!$D$10+MAX(0,$AN57-30)</f>
        <v>46345</v>
      </c>
      <c r="AE57" s="93" t="n">
        <f aca="false">Setup!$D$10+IF($AN57-30&lt;0,MAX(Setup!$D$22,$AN57-0),$AN57-0)</f>
        <v>46375</v>
      </c>
      <c r="AF57" s="93" t="n">
        <f aca="false">Setup!$D$10+MAX(0,$AN57-60)</f>
        <v>46335</v>
      </c>
      <c r="AG57" s="93" t="n">
        <f aca="false">Setup!$D$10+IF($AN57-60&lt;0,MAX(Setup!$D$22,$AN57-31),$AN57-31)</f>
        <v>46363</v>
      </c>
      <c r="AH57" s="93" t="n">
        <f aca="false">Setup!$D$10+MAX(0,$AN57-90)</f>
        <v>46335</v>
      </c>
      <c r="AI57" s="93" t="n">
        <f aca="false">Setup!$D$10+IF($AN57-90&lt;0,MAX(Setup!$D$22,$AN57-61),$AN57-61)</f>
        <v>46363</v>
      </c>
      <c r="AJ57" s="93" t="n">
        <f aca="false">Setup!$D$10+MAX(0,$AN57-120)</f>
        <v>46335</v>
      </c>
      <c r="AK57" s="93" t="n">
        <f aca="false">Setup!$D$10+IF($AN57-120&lt;0,MAX(Setup!$D$22,$AN57-91),$AN57-91)</f>
        <v>46363</v>
      </c>
      <c r="AL57" s="93" t="n">
        <f aca="false">Setup!$D$10</f>
        <v>46335</v>
      </c>
      <c r="AM57" s="93" t="n">
        <f aca="false">IF(AL57=2958465,AL57,Setup!$D$10+Setup!$D$22)</f>
        <v>46363</v>
      </c>
      <c r="AN57" s="94" t="n">
        <f aca="false">IF(N(L57)=0,Setup!$D$21,L57)</f>
        <v>40</v>
      </c>
      <c r="AO57" s="94" t="n">
        <f aca="false">MAX(1,ROUND(N(K57),0))</f>
        <v>1</v>
      </c>
      <c r="AP57" s="95" t="str">
        <f aca="false">IF(I57="On hold","X",IF(N(J57)=0,"A",IF(I57="Specific date","S",IF(I57="Spread over days","D",IF(I57="Monthly on set day","M",IF(I57="Monthly fixed amount","F","A"))))))</f>
        <v>A</v>
      </c>
    </row>
    <row r="58" customFormat="false" ht="15" hidden="false" customHeight="false" outlineLevel="0" collapsed="false">
      <c r="A58" s="87" t="n">
        <v>50</v>
      </c>
      <c r="B58" s="55"/>
      <c r="C58" s="88"/>
      <c r="D58" s="88"/>
      <c r="E58" s="88"/>
      <c r="F58" s="88"/>
      <c r="G58" s="88"/>
      <c r="H58" s="89" t="n">
        <f aca="false">SUM(C58:G58)</f>
        <v>0</v>
      </c>
      <c r="I58" s="58"/>
      <c r="J58" s="90"/>
      <c r="K58" s="91"/>
      <c r="L58" s="80"/>
      <c r="M58" s="53" t="n">
        <f aca="false">IF($H58=0,0,IF($AP58="X",0,IF($AP58="S",$H58/$AO58*(MIN($AO58,MAX(0,INT((Lists!C$21-N($J58))/7)+1))-MIN($AO58,MAX(0,INT((Lists!C$22-N($J58))/7)+1))),IF($AP58="D",$H58*MAX(0,MIN(Lists!C$21,N($J58)+$AO58)-MAX(Lists!C$22,N($J58)))/$AO58,IF($AP58="M",$H58/$AO58*(IF(Lists!C$21&lt;$J58,0,MIN($AO58,(((YEAR(Lists!C$21)-YEAR($J58))*12+MONTH(Lists!C$21)-MONTH($J58))-(EDATE($J58,((YEAR(Lists!C$21)-YEAR($J58))*12+MONTH(Lists!C$21)-MONTH($J58)))&gt;Lists!C$21)+1)))-IF(Lists!C$22&lt;$J58,0,MIN($AO58,(((YEAR(Lists!C$22)-YEAR($J58))*12+MONTH(Lists!C$22)-MONTH($J58))-(EDATE($J58,((YEAR(Lists!C$22)-YEAR($J58))*12+MONTH(Lists!C$22)-MONTH($J58)))&gt;Lists!C$22)+1)))),IF($AP58="F",IF(N($K58)&lt;=0,0,MIN(MAX(0,$H58),N($K58)*IF(Lists!C$21&lt;$J58,0,(((YEAR(Lists!C$21)-YEAR($J58))*12+MONTH(Lists!C$21)-MONTH($J58))-(EDATE($J58,((YEAR(Lists!C$21)-YEAR($J58))*12+MONTH(Lists!C$21)-MONTH($J58)))&gt;Lists!C$21)+1)))-MIN(MAX(0,$H58),N($K58)*IF(Lists!C$22&lt;$J58,0,(((YEAR(Lists!C$22)-YEAR($J58))*12+MONTH(Lists!C$22)-MONTH($J58))-(EDATE($J58,((YEAR(Lists!C$22)-YEAR($J58))*12+MONTH(Lists!C$22)-MONTH($J58)))&gt;Lists!C$22)+1)))),N($C58)*IF($AE58-$AD58&lt;1,($AD58&gt;Lists!C$22)*($AD58&lt;=Lists!C$21),MAX(0,MIN(Lists!C$21,$AE58)-MAX(Lists!C$22,$AD58))/($AE58-$AD58))+N($D58)*IF($AG58-$AF58&lt;1,($AF58&gt;Lists!C$22)*($AF58&lt;=Lists!C$21),MAX(0,MIN(Lists!C$21,$AG58)-MAX(Lists!C$22,$AF58))/($AG58-$AF58))+N($E58)*IF($AI58-$AH58&lt;1,($AH58&gt;Lists!C$22)*($AH58&lt;=Lists!C$21),MAX(0,MIN(Lists!C$21,$AI58)-MAX(Lists!C$22,$AH58))/($AI58-$AH58))+N($F58)*IF($AK58-$AJ58&lt;1,($AJ58&gt;Lists!C$22)*($AJ58&lt;=Lists!C$21),MAX(0,MIN(Lists!C$21,$AK58)-MAX(Lists!C$22,$AJ58))/($AK58-$AJ58))+N($G58)*IF($AM58-$AL58&lt;1,($AL58&gt;Lists!C$22)*($AL58&lt;=Lists!C$21),MAX(0,MIN(Lists!C$21,$AM58)-MAX(Lists!C$22,$AL58))/($AM58-$AL58))))))))</f>
        <v>0</v>
      </c>
      <c r="N58" s="53" t="n">
        <f aca="false">IF($H58=0,0,IF($AP58="X",0,IF($AP58="S",$H58/$AO58*(MIN($AO58,MAX(0,INT((Lists!D$21-N($J58))/7)+1))-MIN($AO58,MAX(0,INT((Lists!D$22-N($J58))/7)+1))),IF($AP58="D",$H58*MAX(0,MIN(Lists!D$21,N($J58)+$AO58)-MAX(Lists!D$22,N($J58)))/$AO58,IF($AP58="M",$H58/$AO58*(IF(Lists!D$21&lt;$J58,0,MIN($AO58,(((YEAR(Lists!D$21)-YEAR($J58))*12+MONTH(Lists!D$21)-MONTH($J58))-(EDATE($J58,((YEAR(Lists!D$21)-YEAR($J58))*12+MONTH(Lists!D$21)-MONTH($J58)))&gt;Lists!D$21)+1)))-IF(Lists!D$22&lt;$J58,0,MIN($AO58,(((YEAR(Lists!D$22)-YEAR($J58))*12+MONTH(Lists!D$22)-MONTH($J58))-(EDATE($J58,((YEAR(Lists!D$22)-YEAR($J58))*12+MONTH(Lists!D$22)-MONTH($J58)))&gt;Lists!D$22)+1)))),IF($AP58="F",IF(N($K58)&lt;=0,0,MIN(MAX(0,$H58),N($K58)*IF(Lists!D$21&lt;$J58,0,(((YEAR(Lists!D$21)-YEAR($J58))*12+MONTH(Lists!D$21)-MONTH($J58))-(EDATE($J58,((YEAR(Lists!D$21)-YEAR($J58))*12+MONTH(Lists!D$21)-MONTH($J58)))&gt;Lists!D$21)+1)))-MIN(MAX(0,$H58),N($K58)*IF(Lists!D$22&lt;$J58,0,(((YEAR(Lists!D$22)-YEAR($J58))*12+MONTH(Lists!D$22)-MONTH($J58))-(EDATE($J58,((YEAR(Lists!D$22)-YEAR($J58))*12+MONTH(Lists!D$22)-MONTH($J58)))&gt;Lists!D$22)+1)))),N($C58)*IF($AE58-$AD58&lt;1,($AD58&gt;Lists!D$22)*($AD58&lt;=Lists!D$21),MAX(0,MIN(Lists!D$21,$AE58)-MAX(Lists!D$22,$AD58))/($AE58-$AD58))+N($D58)*IF($AG58-$AF58&lt;1,($AF58&gt;Lists!D$22)*($AF58&lt;=Lists!D$21),MAX(0,MIN(Lists!D$21,$AG58)-MAX(Lists!D$22,$AF58))/($AG58-$AF58))+N($E58)*IF($AI58-$AH58&lt;1,($AH58&gt;Lists!D$22)*($AH58&lt;=Lists!D$21),MAX(0,MIN(Lists!D$21,$AI58)-MAX(Lists!D$22,$AH58))/($AI58-$AH58))+N($F58)*IF($AK58-$AJ58&lt;1,($AJ58&gt;Lists!D$22)*($AJ58&lt;=Lists!D$21),MAX(0,MIN(Lists!D$21,$AK58)-MAX(Lists!D$22,$AJ58))/($AK58-$AJ58))+N($G58)*IF($AM58-$AL58&lt;1,($AL58&gt;Lists!D$22)*($AL58&lt;=Lists!D$21),MAX(0,MIN(Lists!D$21,$AM58)-MAX(Lists!D$22,$AL58))/($AM58-$AL58))))))))</f>
        <v>0</v>
      </c>
      <c r="O58" s="53" t="n">
        <f aca="false">IF($H58=0,0,IF($AP58="X",0,IF($AP58="S",$H58/$AO58*(MIN($AO58,MAX(0,INT((Lists!E$21-N($J58))/7)+1))-MIN($AO58,MAX(0,INT((Lists!E$22-N($J58))/7)+1))),IF($AP58="D",$H58*MAX(0,MIN(Lists!E$21,N($J58)+$AO58)-MAX(Lists!E$22,N($J58)))/$AO58,IF($AP58="M",$H58/$AO58*(IF(Lists!E$21&lt;$J58,0,MIN($AO58,(((YEAR(Lists!E$21)-YEAR($J58))*12+MONTH(Lists!E$21)-MONTH($J58))-(EDATE($J58,((YEAR(Lists!E$21)-YEAR($J58))*12+MONTH(Lists!E$21)-MONTH($J58)))&gt;Lists!E$21)+1)))-IF(Lists!E$22&lt;$J58,0,MIN($AO58,(((YEAR(Lists!E$22)-YEAR($J58))*12+MONTH(Lists!E$22)-MONTH($J58))-(EDATE($J58,((YEAR(Lists!E$22)-YEAR($J58))*12+MONTH(Lists!E$22)-MONTH($J58)))&gt;Lists!E$22)+1)))),IF($AP58="F",IF(N($K58)&lt;=0,0,MIN(MAX(0,$H58),N($K58)*IF(Lists!E$21&lt;$J58,0,(((YEAR(Lists!E$21)-YEAR($J58))*12+MONTH(Lists!E$21)-MONTH($J58))-(EDATE($J58,((YEAR(Lists!E$21)-YEAR($J58))*12+MONTH(Lists!E$21)-MONTH($J58)))&gt;Lists!E$21)+1)))-MIN(MAX(0,$H58),N($K58)*IF(Lists!E$22&lt;$J58,0,(((YEAR(Lists!E$22)-YEAR($J58))*12+MONTH(Lists!E$22)-MONTH($J58))-(EDATE($J58,((YEAR(Lists!E$22)-YEAR($J58))*12+MONTH(Lists!E$22)-MONTH($J58)))&gt;Lists!E$22)+1)))),N($C58)*IF($AE58-$AD58&lt;1,($AD58&gt;Lists!E$22)*($AD58&lt;=Lists!E$21),MAX(0,MIN(Lists!E$21,$AE58)-MAX(Lists!E$22,$AD58))/($AE58-$AD58))+N($D58)*IF($AG58-$AF58&lt;1,($AF58&gt;Lists!E$22)*($AF58&lt;=Lists!E$21),MAX(0,MIN(Lists!E$21,$AG58)-MAX(Lists!E$22,$AF58))/($AG58-$AF58))+N($E58)*IF($AI58-$AH58&lt;1,($AH58&gt;Lists!E$22)*($AH58&lt;=Lists!E$21),MAX(0,MIN(Lists!E$21,$AI58)-MAX(Lists!E$22,$AH58))/($AI58-$AH58))+N($F58)*IF($AK58-$AJ58&lt;1,($AJ58&gt;Lists!E$22)*($AJ58&lt;=Lists!E$21),MAX(0,MIN(Lists!E$21,$AK58)-MAX(Lists!E$22,$AJ58))/($AK58-$AJ58))+N($G58)*IF($AM58-$AL58&lt;1,($AL58&gt;Lists!E$22)*($AL58&lt;=Lists!E$21),MAX(0,MIN(Lists!E$21,$AM58)-MAX(Lists!E$22,$AL58))/($AM58-$AL58))))))))</f>
        <v>0</v>
      </c>
      <c r="P58" s="53" t="n">
        <f aca="false">IF($H58=0,0,IF($AP58="X",0,IF($AP58="S",$H58/$AO58*(MIN($AO58,MAX(0,INT((Lists!F$21-N($J58))/7)+1))-MIN($AO58,MAX(0,INT((Lists!F$22-N($J58))/7)+1))),IF($AP58="D",$H58*MAX(0,MIN(Lists!F$21,N($J58)+$AO58)-MAX(Lists!F$22,N($J58)))/$AO58,IF($AP58="M",$H58/$AO58*(IF(Lists!F$21&lt;$J58,0,MIN($AO58,(((YEAR(Lists!F$21)-YEAR($J58))*12+MONTH(Lists!F$21)-MONTH($J58))-(EDATE($J58,((YEAR(Lists!F$21)-YEAR($J58))*12+MONTH(Lists!F$21)-MONTH($J58)))&gt;Lists!F$21)+1)))-IF(Lists!F$22&lt;$J58,0,MIN($AO58,(((YEAR(Lists!F$22)-YEAR($J58))*12+MONTH(Lists!F$22)-MONTH($J58))-(EDATE($J58,((YEAR(Lists!F$22)-YEAR($J58))*12+MONTH(Lists!F$22)-MONTH($J58)))&gt;Lists!F$22)+1)))),IF($AP58="F",IF(N($K58)&lt;=0,0,MIN(MAX(0,$H58),N($K58)*IF(Lists!F$21&lt;$J58,0,(((YEAR(Lists!F$21)-YEAR($J58))*12+MONTH(Lists!F$21)-MONTH($J58))-(EDATE($J58,((YEAR(Lists!F$21)-YEAR($J58))*12+MONTH(Lists!F$21)-MONTH($J58)))&gt;Lists!F$21)+1)))-MIN(MAX(0,$H58),N($K58)*IF(Lists!F$22&lt;$J58,0,(((YEAR(Lists!F$22)-YEAR($J58))*12+MONTH(Lists!F$22)-MONTH($J58))-(EDATE($J58,((YEAR(Lists!F$22)-YEAR($J58))*12+MONTH(Lists!F$22)-MONTH($J58)))&gt;Lists!F$22)+1)))),N($C58)*IF($AE58-$AD58&lt;1,($AD58&gt;Lists!F$22)*($AD58&lt;=Lists!F$21),MAX(0,MIN(Lists!F$21,$AE58)-MAX(Lists!F$22,$AD58))/($AE58-$AD58))+N($D58)*IF($AG58-$AF58&lt;1,($AF58&gt;Lists!F$22)*($AF58&lt;=Lists!F$21),MAX(0,MIN(Lists!F$21,$AG58)-MAX(Lists!F$22,$AF58))/($AG58-$AF58))+N($E58)*IF($AI58-$AH58&lt;1,($AH58&gt;Lists!F$22)*($AH58&lt;=Lists!F$21),MAX(0,MIN(Lists!F$21,$AI58)-MAX(Lists!F$22,$AH58))/($AI58-$AH58))+N($F58)*IF($AK58-$AJ58&lt;1,($AJ58&gt;Lists!F$22)*($AJ58&lt;=Lists!F$21),MAX(0,MIN(Lists!F$21,$AK58)-MAX(Lists!F$22,$AJ58))/($AK58-$AJ58))+N($G58)*IF($AM58-$AL58&lt;1,($AL58&gt;Lists!F$22)*($AL58&lt;=Lists!F$21),MAX(0,MIN(Lists!F$21,$AM58)-MAX(Lists!F$22,$AL58))/($AM58-$AL58))))))))</f>
        <v>0</v>
      </c>
      <c r="Q58" s="53" t="n">
        <f aca="false">IF($H58=0,0,IF($AP58="X",0,IF($AP58="S",$H58/$AO58*(MIN($AO58,MAX(0,INT((Lists!G$21-N($J58))/7)+1))-MIN($AO58,MAX(0,INT((Lists!G$22-N($J58))/7)+1))),IF($AP58="D",$H58*MAX(0,MIN(Lists!G$21,N($J58)+$AO58)-MAX(Lists!G$22,N($J58)))/$AO58,IF($AP58="M",$H58/$AO58*(IF(Lists!G$21&lt;$J58,0,MIN($AO58,(((YEAR(Lists!G$21)-YEAR($J58))*12+MONTH(Lists!G$21)-MONTH($J58))-(EDATE($J58,((YEAR(Lists!G$21)-YEAR($J58))*12+MONTH(Lists!G$21)-MONTH($J58)))&gt;Lists!G$21)+1)))-IF(Lists!G$22&lt;$J58,0,MIN($AO58,(((YEAR(Lists!G$22)-YEAR($J58))*12+MONTH(Lists!G$22)-MONTH($J58))-(EDATE($J58,((YEAR(Lists!G$22)-YEAR($J58))*12+MONTH(Lists!G$22)-MONTH($J58)))&gt;Lists!G$22)+1)))),IF($AP58="F",IF(N($K58)&lt;=0,0,MIN(MAX(0,$H58),N($K58)*IF(Lists!G$21&lt;$J58,0,(((YEAR(Lists!G$21)-YEAR($J58))*12+MONTH(Lists!G$21)-MONTH($J58))-(EDATE($J58,((YEAR(Lists!G$21)-YEAR($J58))*12+MONTH(Lists!G$21)-MONTH($J58)))&gt;Lists!G$21)+1)))-MIN(MAX(0,$H58),N($K58)*IF(Lists!G$22&lt;$J58,0,(((YEAR(Lists!G$22)-YEAR($J58))*12+MONTH(Lists!G$22)-MONTH($J58))-(EDATE($J58,((YEAR(Lists!G$22)-YEAR($J58))*12+MONTH(Lists!G$22)-MONTH($J58)))&gt;Lists!G$22)+1)))),N($C58)*IF($AE58-$AD58&lt;1,($AD58&gt;Lists!G$22)*($AD58&lt;=Lists!G$21),MAX(0,MIN(Lists!G$21,$AE58)-MAX(Lists!G$22,$AD58))/($AE58-$AD58))+N($D58)*IF($AG58-$AF58&lt;1,($AF58&gt;Lists!G$22)*($AF58&lt;=Lists!G$21),MAX(0,MIN(Lists!G$21,$AG58)-MAX(Lists!G$22,$AF58))/($AG58-$AF58))+N($E58)*IF($AI58-$AH58&lt;1,($AH58&gt;Lists!G$22)*($AH58&lt;=Lists!G$21),MAX(0,MIN(Lists!G$21,$AI58)-MAX(Lists!G$22,$AH58))/($AI58-$AH58))+N($F58)*IF($AK58-$AJ58&lt;1,($AJ58&gt;Lists!G$22)*($AJ58&lt;=Lists!G$21),MAX(0,MIN(Lists!G$21,$AK58)-MAX(Lists!G$22,$AJ58))/($AK58-$AJ58))+N($G58)*IF($AM58-$AL58&lt;1,($AL58&gt;Lists!G$22)*($AL58&lt;=Lists!G$21),MAX(0,MIN(Lists!G$21,$AM58)-MAX(Lists!G$22,$AL58))/($AM58-$AL58))))))))</f>
        <v>0</v>
      </c>
      <c r="R58" s="53" t="n">
        <f aca="false">IF($H58=0,0,IF($AP58="X",0,IF($AP58="S",$H58/$AO58*(MIN($AO58,MAX(0,INT((Lists!H$21-N($J58))/7)+1))-MIN($AO58,MAX(0,INT((Lists!H$22-N($J58))/7)+1))),IF($AP58="D",$H58*MAX(0,MIN(Lists!H$21,N($J58)+$AO58)-MAX(Lists!H$22,N($J58)))/$AO58,IF($AP58="M",$H58/$AO58*(IF(Lists!H$21&lt;$J58,0,MIN($AO58,(((YEAR(Lists!H$21)-YEAR($J58))*12+MONTH(Lists!H$21)-MONTH($J58))-(EDATE($J58,((YEAR(Lists!H$21)-YEAR($J58))*12+MONTH(Lists!H$21)-MONTH($J58)))&gt;Lists!H$21)+1)))-IF(Lists!H$22&lt;$J58,0,MIN($AO58,(((YEAR(Lists!H$22)-YEAR($J58))*12+MONTH(Lists!H$22)-MONTH($J58))-(EDATE($J58,((YEAR(Lists!H$22)-YEAR($J58))*12+MONTH(Lists!H$22)-MONTH($J58)))&gt;Lists!H$22)+1)))),IF($AP58="F",IF(N($K58)&lt;=0,0,MIN(MAX(0,$H58),N($K58)*IF(Lists!H$21&lt;$J58,0,(((YEAR(Lists!H$21)-YEAR($J58))*12+MONTH(Lists!H$21)-MONTH($J58))-(EDATE($J58,((YEAR(Lists!H$21)-YEAR($J58))*12+MONTH(Lists!H$21)-MONTH($J58)))&gt;Lists!H$21)+1)))-MIN(MAX(0,$H58),N($K58)*IF(Lists!H$22&lt;$J58,0,(((YEAR(Lists!H$22)-YEAR($J58))*12+MONTH(Lists!H$22)-MONTH($J58))-(EDATE($J58,((YEAR(Lists!H$22)-YEAR($J58))*12+MONTH(Lists!H$22)-MONTH($J58)))&gt;Lists!H$22)+1)))),N($C58)*IF($AE58-$AD58&lt;1,($AD58&gt;Lists!H$22)*($AD58&lt;=Lists!H$21),MAX(0,MIN(Lists!H$21,$AE58)-MAX(Lists!H$22,$AD58))/($AE58-$AD58))+N($D58)*IF($AG58-$AF58&lt;1,($AF58&gt;Lists!H$22)*($AF58&lt;=Lists!H$21),MAX(0,MIN(Lists!H$21,$AG58)-MAX(Lists!H$22,$AF58))/($AG58-$AF58))+N($E58)*IF($AI58-$AH58&lt;1,($AH58&gt;Lists!H$22)*($AH58&lt;=Lists!H$21),MAX(0,MIN(Lists!H$21,$AI58)-MAX(Lists!H$22,$AH58))/($AI58-$AH58))+N($F58)*IF($AK58-$AJ58&lt;1,($AJ58&gt;Lists!H$22)*($AJ58&lt;=Lists!H$21),MAX(0,MIN(Lists!H$21,$AK58)-MAX(Lists!H$22,$AJ58))/($AK58-$AJ58))+N($G58)*IF($AM58-$AL58&lt;1,($AL58&gt;Lists!H$22)*($AL58&lt;=Lists!H$21),MAX(0,MIN(Lists!H$21,$AM58)-MAX(Lists!H$22,$AL58))/($AM58-$AL58))))))))</f>
        <v>0</v>
      </c>
      <c r="S58" s="53" t="n">
        <f aca="false">IF($H58=0,0,IF($AP58="X",0,IF($AP58="S",$H58/$AO58*(MIN($AO58,MAX(0,INT((Lists!I$21-N($J58))/7)+1))-MIN($AO58,MAX(0,INT((Lists!I$22-N($J58))/7)+1))),IF($AP58="D",$H58*MAX(0,MIN(Lists!I$21,N($J58)+$AO58)-MAX(Lists!I$22,N($J58)))/$AO58,IF($AP58="M",$H58/$AO58*(IF(Lists!I$21&lt;$J58,0,MIN($AO58,(((YEAR(Lists!I$21)-YEAR($J58))*12+MONTH(Lists!I$21)-MONTH($J58))-(EDATE($J58,((YEAR(Lists!I$21)-YEAR($J58))*12+MONTH(Lists!I$21)-MONTH($J58)))&gt;Lists!I$21)+1)))-IF(Lists!I$22&lt;$J58,0,MIN($AO58,(((YEAR(Lists!I$22)-YEAR($J58))*12+MONTH(Lists!I$22)-MONTH($J58))-(EDATE($J58,((YEAR(Lists!I$22)-YEAR($J58))*12+MONTH(Lists!I$22)-MONTH($J58)))&gt;Lists!I$22)+1)))),IF($AP58="F",IF(N($K58)&lt;=0,0,MIN(MAX(0,$H58),N($K58)*IF(Lists!I$21&lt;$J58,0,(((YEAR(Lists!I$21)-YEAR($J58))*12+MONTH(Lists!I$21)-MONTH($J58))-(EDATE($J58,((YEAR(Lists!I$21)-YEAR($J58))*12+MONTH(Lists!I$21)-MONTH($J58)))&gt;Lists!I$21)+1)))-MIN(MAX(0,$H58),N($K58)*IF(Lists!I$22&lt;$J58,0,(((YEAR(Lists!I$22)-YEAR($J58))*12+MONTH(Lists!I$22)-MONTH($J58))-(EDATE($J58,((YEAR(Lists!I$22)-YEAR($J58))*12+MONTH(Lists!I$22)-MONTH($J58)))&gt;Lists!I$22)+1)))),N($C58)*IF($AE58-$AD58&lt;1,($AD58&gt;Lists!I$22)*($AD58&lt;=Lists!I$21),MAX(0,MIN(Lists!I$21,$AE58)-MAX(Lists!I$22,$AD58))/($AE58-$AD58))+N($D58)*IF($AG58-$AF58&lt;1,($AF58&gt;Lists!I$22)*($AF58&lt;=Lists!I$21),MAX(0,MIN(Lists!I$21,$AG58)-MAX(Lists!I$22,$AF58))/($AG58-$AF58))+N($E58)*IF($AI58-$AH58&lt;1,($AH58&gt;Lists!I$22)*($AH58&lt;=Lists!I$21),MAX(0,MIN(Lists!I$21,$AI58)-MAX(Lists!I$22,$AH58))/($AI58-$AH58))+N($F58)*IF($AK58-$AJ58&lt;1,($AJ58&gt;Lists!I$22)*($AJ58&lt;=Lists!I$21),MAX(0,MIN(Lists!I$21,$AK58)-MAX(Lists!I$22,$AJ58))/($AK58-$AJ58))+N($G58)*IF($AM58-$AL58&lt;1,($AL58&gt;Lists!I$22)*($AL58&lt;=Lists!I$21),MAX(0,MIN(Lists!I$21,$AM58)-MAX(Lists!I$22,$AL58))/($AM58-$AL58))))))))</f>
        <v>0</v>
      </c>
      <c r="T58" s="53" t="n">
        <f aca="false">IF($H58=0,0,IF($AP58="X",0,IF($AP58="S",$H58/$AO58*(MIN($AO58,MAX(0,INT((Lists!J$21-N($J58))/7)+1))-MIN($AO58,MAX(0,INT((Lists!J$22-N($J58))/7)+1))),IF($AP58="D",$H58*MAX(0,MIN(Lists!J$21,N($J58)+$AO58)-MAX(Lists!J$22,N($J58)))/$AO58,IF($AP58="M",$H58/$AO58*(IF(Lists!J$21&lt;$J58,0,MIN($AO58,(((YEAR(Lists!J$21)-YEAR($J58))*12+MONTH(Lists!J$21)-MONTH($J58))-(EDATE($J58,((YEAR(Lists!J$21)-YEAR($J58))*12+MONTH(Lists!J$21)-MONTH($J58)))&gt;Lists!J$21)+1)))-IF(Lists!J$22&lt;$J58,0,MIN($AO58,(((YEAR(Lists!J$22)-YEAR($J58))*12+MONTH(Lists!J$22)-MONTH($J58))-(EDATE($J58,((YEAR(Lists!J$22)-YEAR($J58))*12+MONTH(Lists!J$22)-MONTH($J58)))&gt;Lists!J$22)+1)))),IF($AP58="F",IF(N($K58)&lt;=0,0,MIN(MAX(0,$H58),N($K58)*IF(Lists!J$21&lt;$J58,0,(((YEAR(Lists!J$21)-YEAR($J58))*12+MONTH(Lists!J$21)-MONTH($J58))-(EDATE($J58,((YEAR(Lists!J$21)-YEAR($J58))*12+MONTH(Lists!J$21)-MONTH($J58)))&gt;Lists!J$21)+1)))-MIN(MAX(0,$H58),N($K58)*IF(Lists!J$22&lt;$J58,0,(((YEAR(Lists!J$22)-YEAR($J58))*12+MONTH(Lists!J$22)-MONTH($J58))-(EDATE($J58,((YEAR(Lists!J$22)-YEAR($J58))*12+MONTH(Lists!J$22)-MONTH($J58)))&gt;Lists!J$22)+1)))),N($C58)*IF($AE58-$AD58&lt;1,($AD58&gt;Lists!J$22)*($AD58&lt;=Lists!J$21),MAX(0,MIN(Lists!J$21,$AE58)-MAX(Lists!J$22,$AD58))/($AE58-$AD58))+N($D58)*IF($AG58-$AF58&lt;1,($AF58&gt;Lists!J$22)*($AF58&lt;=Lists!J$21),MAX(0,MIN(Lists!J$21,$AG58)-MAX(Lists!J$22,$AF58))/($AG58-$AF58))+N($E58)*IF($AI58-$AH58&lt;1,($AH58&gt;Lists!J$22)*($AH58&lt;=Lists!J$21),MAX(0,MIN(Lists!J$21,$AI58)-MAX(Lists!J$22,$AH58))/($AI58-$AH58))+N($F58)*IF($AK58-$AJ58&lt;1,($AJ58&gt;Lists!J$22)*($AJ58&lt;=Lists!J$21),MAX(0,MIN(Lists!J$21,$AK58)-MAX(Lists!J$22,$AJ58))/($AK58-$AJ58))+N($G58)*IF($AM58-$AL58&lt;1,($AL58&gt;Lists!J$22)*($AL58&lt;=Lists!J$21),MAX(0,MIN(Lists!J$21,$AM58)-MAX(Lists!J$22,$AL58))/($AM58-$AL58))))))))</f>
        <v>0</v>
      </c>
      <c r="U58" s="53" t="n">
        <f aca="false">IF($H58=0,0,IF($AP58="X",0,IF($AP58="S",$H58/$AO58*(MIN($AO58,MAX(0,INT((Lists!K$21-N($J58))/7)+1))-MIN($AO58,MAX(0,INT((Lists!K$22-N($J58))/7)+1))),IF($AP58="D",$H58*MAX(0,MIN(Lists!K$21,N($J58)+$AO58)-MAX(Lists!K$22,N($J58)))/$AO58,IF($AP58="M",$H58/$AO58*(IF(Lists!K$21&lt;$J58,0,MIN($AO58,(((YEAR(Lists!K$21)-YEAR($J58))*12+MONTH(Lists!K$21)-MONTH($J58))-(EDATE($J58,((YEAR(Lists!K$21)-YEAR($J58))*12+MONTH(Lists!K$21)-MONTH($J58)))&gt;Lists!K$21)+1)))-IF(Lists!K$22&lt;$J58,0,MIN($AO58,(((YEAR(Lists!K$22)-YEAR($J58))*12+MONTH(Lists!K$22)-MONTH($J58))-(EDATE($J58,((YEAR(Lists!K$22)-YEAR($J58))*12+MONTH(Lists!K$22)-MONTH($J58)))&gt;Lists!K$22)+1)))),IF($AP58="F",IF(N($K58)&lt;=0,0,MIN(MAX(0,$H58),N($K58)*IF(Lists!K$21&lt;$J58,0,(((YEAR(Lists!K$21)-YEAR($J58))*12+MONTH(Lists!K$21)-MONTH($J58))-(EDATE($J58,((YEAR(Lists!K$21)-YEAR($J58))*12+MONTH(Lists!K$21)-MONTH($J58)))&gt;Lists!K$21)+1)))-MIN(MAX(0,$H58),N($K58)*IF(Lists!K$22&lt;$J58,0,(((YEAR(Lists!K$22)-YEAR($J58))*12+MONTH(Lists!K$22)-MONTH($J58))-(EDATE($J58,((YEAR(Lists!K$22)-YEAR($J58))*12+MONTH(Lists!K$22)-MONTH($J58)))&gt;Lists!K$22)+1)))),N($C58)*IF($AE58-$AD58&lt;1,($AD58&gt;Lists!K$22)*($AD58&lt;=Lists!K$21),MAX(0,MIN(Lists!K$21,$AE58)-MAX(Lists!K$22,$AD58))/($AE58-$AD58))+N($D58)*IF($AG58-$AF58&lt;1,($AF58&gt;Lists!K$22)*($AF58&lt;=Lists!K$21),MAX(0,MIN(Lists!K$21,$AG58)-MAX(Lists!K$22,$AF58))/($AG58-$AF58))+N($E58)*IF($AI58-$AH58&lt;1,($AH58&gt;Lists!K$22)*($AH58&lt;=Lists!K$21),MAX(0,MIN(Lists!K$21,$AI58)-MAX(Lists!K$22,$AH58))/($AI58-$AH58))+N($F58)*IF($AK58-$AJ58&lt;1,($AJ58&gt;Lists!K$22)*($AJ58&lt;=Lists!K$21),MAX(0,MIN(Lists!K$21,$AK58)-MAX(Lists!K$22,$AJ58))/($AK58-$AJ58))+N($G58)*IF($AM58-$AL58&lt;1,($AL58&gt;Lists!K$22)*($AL58&lt;=Lists!K$21),MAX(0,MIN(Lists!K$21,$AM58)-MAX(Lists!K$22,$AL58))/($AM58-$AL58))))))))</f>
        <v>0</v>
      </c>
      <c r="V58" s="53" t="n">
        <f aca="false">IF($H58=0,0,IF($AP58="X",0,IF($AP58="S",$H58/$AO58*(MIN($AO58,MAX(0,INT((Lists!L$21-N($J58))/7)+1))-MIN($AO58,MAX(0,INT((Lists!L$22-N($J58))/7)+1))),IF($AP58="D",$H58*MAX(0,MIN(Lists!L$21,N($J58)+$AO58)-MAX(Lists!L$22,N($J58)))/$AO58,IF($AP58="M",$H58/$AO58*(IF(Lists!L$21&lt;$J58,0,MIN($AO58,(((YEAR(Lists!L$21)-YEAR($J58))*12+MONTH(Lists!L$21)-MONTH($J58))-(EDATE($J58,((YEAR(Lists!L$21)-YEAR($J58))*12+MONTH(Lists!L$21)-MONTH($J58)))&gt;Lists!L$21)+1)))-IF(Lists!L$22&lt;$J58,0,MIN($AO58,(((YEAR(Lists!L$22)-YEAR($J58))*12+MONTH(Lists!L$22)-MONTH($J58))-(EDATE($J58,((YEAR(Lists!L$22)-YEAR($J58))*12+MONTH(Lists!L$22)-MONTH($J58)))&gt;Lists!L$22)+1)))),IF($AP58="F",IF(N($K58)&lt;=0,0,MIN(MAX(0,$H58),N($K58)*IF(Lists!L$21&lt;$J58,0,(((YEAR(Lists!L$21)-YEAR($J58))*12+MONTH(Lists!L$21)-MONTH($J58))-(EDATE($J58,((YEAR(Lists!L$21)-YEAR($J58))*12+MONTH(Lists!L$21)-MONTH($J58)))&gt;Lists!L$21)+1)))-MIN(MAX(0,$H58),N($K58)*IF(Lists!L$22&lt;$J58,0,(((YEAR(Lists!L$22)-YEAR($J58))*12+MONTH(Lists!L$22)-MONTH($J58))-(EDATE($J58,((YEAR(Lists!L$22)-YEAR($J58))*12+MONTH(Lists!L$22)-MONTH($J58)))&gt;Lists!L$22)+1)))),N($C58)*IF($AE58-$AD58&lt;1,($AD58&gt;Lists!L$22)*($AD58&lt;=Lists!L$21),MAX(0,MIN(Lists!L$21,$AE58)-MAX(Lists!L$22,$AD58))/($AE58-$AD58))+N($D58)*IF($AG58-$AF58&lt;1,($AF58&gt;Lists!L$22)*($AF58&lt;=Lists!L$21),MAX(0,MIN(Lists!L$21,$AG58)-MAX(Lists!L$22,$AF58))/($AG58-$AF58))+N($E58)*IF($AI58-$AH58&lt;1,($AH58&gt;Lists!L$22)*($AH58&lt;=Lists!L$21),MAX(0,MIN(Lists!L$21,$AI58)-MAX(Lists!L$22,$AH58))/($AI58-$AH58))+N($F58)*IF($AK58-$AJ58&lt;1,($AJ58&gt;Lists!L$22)*($AJ58&lt;=Lists!L$21),MAX(0,MIN(Lists!L$21,$AK58)-MAX(Lists!L$22,$AJ58))/($AK58-$AJ58))+N($G58)*IF($AM58-$AL58&lt;1,($AL58&gt;Lists!L$22)*($AL58&lt;=Lists!L$21),MAX(0,MIN(Lists!L$21,$AM58)-MAX(Lists!L$22,$AL58))/($AM58-$AL58))))))))</f>
        <v>0</v>
      </c>
      <c r="W58" s="53" t="n">
        <f aca="false">IF($H58=0,0,IF($AP58="X",0,IF($AP58="S",$H58/$AO58*(MIN($AO58,MAX(0,INT((Lists!M$21-N($J58))/7)+1))-MIN($AO58,MAX(0,INT((Lists!M$22-N($J58))/7)+1))),IF($AP58="D",$H58*MAX(0,MIN(Lists!M$21,N($J58)+$AO58)-MAX(Lists!M$22,N($J58)))/$AO58,IF($AP58="M",$H58/$AO58*(IF(Lists!M$21&lt;$J58,0,MIN($AO58,(((YEAR(Lists!M$21)-YEAR($J58))*12+MONTH(Lists!M$21)-MONTH($J58))-(EDATE($J58,((YEAR(Lists!M$21)-YEAR($J58))*12+MONTH(Lists!M$21)-MONTH($J58)))&gt;Lists!M$21)+1)))-IF(Lists!M$22&lt;$J58,0,MIN($AO58,(((YEAR(Lists!M$22)-YEAR($J58))*12+MONTH(Lists!M$22)-MONTH($J58))-(EDATE($J58,((YEAR(Lists!M$22)-YEAR($J58))*12+MONTH(Lists!M$22)-MONTH($J58)))&gt;Lists!M$22)+1)))),IF($AP58="F",IF(N($K58)&lt;=0,0,MIN(MAX(0,$H58),N($K58)*IF(Lists!M$21&lt;$J58,0,(((YEAR(Lists!M$21)-YEAR($J58))*12+MONTH(Lists!M$21)-MONTH($J58))-(EDATE($J58,((YEAR(Lists!M$21)-YEAR($J58))*12+MONTH(Lists!M$21)-MONTH($J58)))&gt;Lists!M$21)+1)))-MIN(MAX(0,$H58),N($K58)*IF(Lists!M$22&lt;$J58,0,(((YEAR(Lists!M$22)-YEAR($J58))*12+MONTH(Lists!M$22)-MONTH($J58))-(EDATE($J58,((YEAR(Lists!M$22)-YEAR($J58))*12+MONTH(Lists!M$22)-MONTH($J58)))&gt;Lists!M$22)+1)))),N($C58)*IF($AE58-$AD58&lt;1,($AD58&gt;Lists!M$22)*($AD58&lt;=Lists!M$21),MAX(0,MIN(Lists!M$21,$AE58)-MAX(Lists!M$22,$AD58))/($AE58-$AD58))+N($D58)*IF($AG58-$AF58&lt;1,($AF58&gt;Lists!M$22)*($AF58&lt;=Lists!M$21),MAX(0,MIN(Lists!M$21,$AG58)-MAX(Lists!M$22,$AF58))/($AG58-$AF58))+N($E58)*IF($AI58-$AH58&lt;1,($AH58&gt;Lists!M$22)*($AH58&lt;=Lists!M$21),MAX(0,MIN(Lists!M$21,$AI58)-MAX(Lists!M$22,$AH58))/($AI58-$AH58))+N($F58)*IF($AK58-$AJ58&lt;1,($AJ58&gt;Lists!M$22)*($AJ58&lt;=Lists!M$21),MAX(0,MIN(Lists!M$21,$AK58)-MAX(Lists!M$22,$AJ58))/($AK58-$AJ58))+N($G58)*IF($AM58-$AL58&lt;1,($AL58&gt;Lists!M$22)*($AL58&lt;=Lists!M$21),MAX(0,MIN(Lists!M$21,$AM58)-MAX(Lists!M$22,$AL58))/($AM58-$AL58))))))))</f>
        <v>0</v>
      </c>
      <c r="X58" s="53" t="n">
        <f aca="false">IF($H58=0,0,IF($AP58="X",0,IF($AP58="S",$H58/$AO58*(MIN($AO58,MAX(0,INT((Lists!N$21-N($J58))/7)+1))-MIN($AO58,MAX(0,INT((Lists!N$22-N($J58))/7)+1))),IF($AP58="D",$H58*MAX(0,MIN(Lists!N$21,N($J58)+$AO58)-MAX(Lists!N$22,N($J58)))/$AO58,IF($AP58="M",$H58/$AO58*(IF(Lists!N$21&lt;$J58,0,MIN($AO58,(((YEAR(Lists!N$21)-YEAR($J58))*12+MONTH(Lists!N$21)-MONTH($J58))-(EDATE($J58,((YEAR(Lists!N$21)-YEAR($J58))*12+MONTH(Lists!N$21)-MONTH($J58)))&gt;Lists!N$21)+1)))-IF(Lists!N$22&lt;$J58,0,MIN($AO58,(((YEAR(Lists!N$22)-YEAR($J58))*12+MONTH(Lists!N$22)-MONTH($J58))-(EDATE($J58,((YEAR(Lists!N$22)-YEAR($J58))*12+MONTH(Lists!N$22)-MONTH($J58)))&gt;Lists!N$22)+1)))),IF($AP58="F",IF(N($K58)&lt;=0,0,MIN(MAX(0,$H58),N($K58)*IF(Lists!N$21&lt;$J58,0,(((YEAR(Lists!N$21)-YEAR($J58))*12+MONTH(Lists!N$21)-MONTH($J58))-(EDATE($J58,((YEAR(Lists!N$21)-YEAR($J58))*12+MONTH(Lists!N$21)-MONTH($J58)))&gt;Lists!N$21)+1)))-MIN(MAX(0,$H58),N($K58)*IF(Lists!N$22&lt;$J58,0,(((YEAR(Lists!N$22)-YEAR($J58))*12+MONTH(Lists!N$22)-MONTH($J58))-(EDATE($J58,((YEAR(Lists!N$22)-YEAR($J58))*12+MONTH(Lists!N$22)-MONTH($J58)))&gt;Lists!N$22)+1)))),N($C58)*IF($AE58-$AD58&lt;1,($AD58&gt;Lists!N$22)*($AD58&lt;=Lists!N$21),MAX(0,MIN(Lists!N$21,$AE58)-MAX(Lists!N$22,$AD58))/($AE58-$AD58))+N($D58)*IF($AG58-$AF58&lt;1,($AF58&gt;Lists!N$22)*($AF58&lt;=Lists!N$21),MAX(0,MIN(Lists!N$21,$AG58)-MAX(Lists!N$22,$AF58))/($AG58-$AF58))+N($E58)*IF($AI58-$AH58&lt;1,($AH58&gt;Lists!N$22)*($AH58&lt;=Lists!N$21),MAX(0,MIN(Lists!N$21,$AI58)-MAX(Lists!N$22,$AH58))/($AI58-$AH58))+N($F58)*IF($AK58-$AJ58&lt;1,($AJ58&gt;Lists!N$22)*($AJ58&lt;=Lists!N$21),MAX(0,MIN(Lists!N$21,$AK58)-MAX(Lists!N$22,$AJ58))/($AK58-$AJ58))+N($G58)*IF($AM58-$AL58&lt;1,($AL58&gt;Lists!N$22)*($AL58&lt;=Lists!N$21),MAX(0,MIN(Lists!N$21,$AM58)-MAX(Lists!N$22,$AL58))/($AM58-$AL58))))))))</f>
        <v>0</v>
      </c>
      <c r="Y58" s="53" t="n">
        <f aca="false">IF($H58=0,0,IF($AP58="X",0,IF($AP58="S",$H58/$AO58*(MIN($AO58,MAX(0,INT((Lists!O$21-N($J58))/7)+1))-MIN($AO58,MAX(0,INT((Lists!O$22-N($J58))/7)+1))),IF($AP58="D",$H58*MAX(0,MIN(Lists!O$21,N($J58)+$AO58)-MAX(Lists!O$22,N($J58)))/$AO58,IF($AP58="M",$H58/$AO58*(IF(Lists!O$21&lt;$J58,0,MIN($AO58,(((YEAR(Lists!O$21)-YEAR($J58))*12+MONTH(Lists!O$21)-MONTH($J58))-(EDATE($J58,((YEAR(Lists!O$21)-YEAR($J58))*12+MONTH(Lists!O$21)-MONTH($J58)))&gt;Lists!O$21)+1)))-IF(Lists!O$22&lt;$J58,0,MIN($AO58,(((YEAR(Lists!O$22)-YEAR($J58))*12+MONTH(Lists!O$22)-MONTH($J58))-(EDATE($J58,((YEAR(Lists!O$22)-YEAR($J58))*12+MONTH(Lists!O$22)-MONTH($J58)))&gt;Lists!O$22)+1)))),IF($AP58="F",IF(N($K58)&lt;=0,0,MIN(MAX(0,$H58),N($K58)*IF(Lists!O$21&lt;$J58,0,(((YEAR(Lists!O$21)-YEAR($J58))*12+MONTH(Lists!O$21)-MONTH($J58))-(EDATE($J58,((YEAR(Lists!O$21)-YEAR($J58))*12+MONTH(Lists!O$21)-MONTH($J58)))&gt;Lists!O$21)+1)))-MIN(MAX(0,$H58),N($K58)*IF(Lists!O$22&lt;$J58,0,(((YEAR(Lists!O$22)-YEAR($J58))*12+MONTH(Lists!O$22)-MONTH($J58))-(EDATE($J58,((YEAR(Lists!O$22)-YEAR($J58))*12+MONTH(Lists!O$22)-MONTH($J58)))&gt;Lists!O$22)+1)))),N($C58)*IF($AE58-$AD58&lt;1,($AD58&gt;Lists!O$22)*($AD58&lt;=Lists!O$21),MAX(0,MIN(Lists!O$21,$AE58)-MAX(Lists!O$22,$AD58))/($AE58-$AD58))+N($D58)*IF($AG58-$AF58&lt;1,($AF58&gt;Lists!O$22)*($AF58&lt;=Lists!O$21),MAX(0,MIN(Lists!O$21,$AG58)-MAX(Lists!O$22,$AF58))/($AG58-$AF58))+N($E58)*IF($AI58-$AH58&lt;1,($AH58&gt;Lists!O$22)*($AH58&lt;=Lists!O$21),MAX(0,MIN(Lists!O$21,$AI58)-MAX(Lists!O$22,$AH58))/($AI58-$AH58))+N($F58)*IF($AK58-$AJ58&lt;1,($AJ58&gt;Lists!O$22)*($AJ58&lt;=Lists!O$21),MAX(0,MIN(Lists!O$21,$AK58)-MAX(Lists!O$22,$AJ58))/($AK58-$AJ58))+N($G58)*IF($AM58-$AL58&lt;1,($AL58&gt;Lists!O$22)*($AL58&lt;=Lists!O$21),MAX(0,MIN(Lists!O$21,$AM58)-MAX(Lists!O$22,$AL58))/($AM58-$AL58))))))))</f>
        <v>0</v>
      </c>
      <c r="Z58" s="46" t="n">
        <f aca="false">SUM(M58:Y58)</f>
        <v>0</v>
      </c>
      <c r="AA58" s="92" t="n">
        <f aca="false">H58-Z58</f>
        <v>0</v>
      </c>
      <c r="AB58" s="55"/>
      <c r="AC58" s="2"/>
      <c r="AD58" s="93" t="n">
        <f aca="false">Setup!$D$10+MAX(0,$AN58-30)</f>
        <v>46345</v>
      </c>
      <c r="AE58" s="93" t="n">
        <f aca="false">Setup!$D$10+IF($AN58-30&lt;0,MAX(Setup!$D$22,$AN58-0),$AN58-0)</f>
        <v>46375</v>
      </c>
      <c r="AF58" s="93" t="n">
        <f aca="false">Setup!$D$10+MAX(0,$AN58-60)</f>
        <v>46335</v>
      </c>
      <c r="AG58" s="93" t="n">
        <f aca="false">Setup!$D$10+IF($AN58-60&lt;0,MAX(Setup!$D$22,$AN58-31),$AN58-31)</f>
        <v>46363</v>
      </c>
      <c r="AH58" s="93" t="n">
        <f aca="false">Setup!$D$10+MAX(0,$AN58-90)</f>
        <v>46335</v>
      </c>
      <c r="AI58" s="93" t="n">
        <f aca="false">Setup!$D$10+IF($AN58-90&lt;0,MAX(Setup!$D$22,$AN58-61),$AN58-61)</f>
        <v>46363</v>
      </c>
      <c r="AJ58" s="93" t="n">
        <f aca="false">Setup!$D$10+MAX(0,$AN58-120)</f>
        <v>46335</v>
      </c>
      <c r="AK58" s="93" t="n">
        <f aca="false">Setup!$D$10+IF($AN58-120&lt;0,MAX(Setup!$D$22,$AN58-91),$AN58-91)</f>
        <v>46363</v>
      </c>
      <c r="AL58" s="93" t="n">
        <f aca="false">Setup!$D$10</f>
        <v>46335</v>
      </c>
      <c r="AM58" s="93" t="n">
        <f aca="false">IF(AL58=2958465,AL58,Setup!$D$10+Setup!$D$22)</f>
        <v>46363</v>
      </c>
      <c r="AN58" s="94" t="n">
        <f aca="false">IF(N(L58)=0,Setup!$D$21,L58)</f>
        <v>40</v>
      </c>
      <c r="AO58" s="94" t="n">
        <f aca="false">MAX(1,ROUND(N(K58),0))</f>
        <v>1</v>
      </c>
      <c r="AP58" s="95" t="str">
        <f aca="false">IF(I58="On hold","X",IF(N(J58)=0,"A",IF(I58="Specific date","S",IF(I58="Spread over days","D",IF(I58="Monthly on set day","M",IF(I58="Monthly fixed amount","F","A"))))))</f>
        <v>A</v>
      </c>
    </row>
    <row r="59" customFormat="false" ht="15" hidden="false" customHeight="false" outlineLevel="0" collapsed="false">
      <c r="A59" s="87" t="n">
        <v>51</v>
      </c>
      <c r="B59" s="55"/>
      <c r="C59" s="88"/>
      <c r="D59" s="88"/>
      <c r="E59" s="88"/>
      <c r="F59" s="88"/>
      <c r="G59" s="88"/>
      <c r="H59" s="89" t="n">
        <f aca="false">SUM(C59:G59)</f>
        <v>0</v>
      </c>
      <c r="I59" s="58"/>
      <c r="J59" s="90"/>
      <c r="K59" s="91"/>
      <c r="L59" s="80"/>
      <c r="M59" s="53" t="n">
        <f aca="false">IF($H59=0,0,IF($AP59="X",0,IF($AP59="S",$H59/$AO59*(MIN($AO59,MAX(0,INT((Lists!C$21-N($J59))/7)+1))-MIN($AO59,MAX(0,INT((Lists!C$22-N($J59))/7)+1))),IF($AP59="D",$H59*MAX(0,MIN(Lists!C$21,N($J59)+$AO59)-MAX(Lists!C$22,N($J59)))/$AO59,IF($AP59="M",$H59/$AO59*(IF(Lists!C$21&lt;$J59,0,MIN($AO59,(((YEAR(Lists!C$21)-YEAR($J59))*12+MONTH(Lists!C$21)-MONTH($J59))-(EDATE($J59,((YEAR(Lists!C$21)-YEAR($J59))*12+MONTH(Lists!C$21)-MONTH($J59)))&gt;Lists!C$21)+1)))-IF(Lists!C$22&lt;$J59,0,MIN($AO59,(((YEAR(Lists!C$22)-YEAR($J59))*12+MONTH(Lists!C$22)-MONTH($J59))-(EDATE($J59,((YEAR(Lists!C$22)-YEAR($J59))*12+MONTH(Lists!C$22)-MONTH($J59)))&gt;Lists!C$22)+1)))),IF($AP59="F",IF(N($K59)&lt;=0,0,MIN(MAX(0,$H59),N($K59)*IF(Lists!C$21&lt;$J59,0,(((YEAR(Lists!C$21)-YEAR($J59))*12+MONTH(Lists!C$21)-MONTH($J59))-(EDATE($J59,((YEAR(Lists!C$21)-YEAR($J59))*12+MONTH(Lists!C$21)-MONTH($J59)))&gt;Lists!C$21)+1)))-MIN(MAX(0,$H59),N($K59)*IF(Lists!C$22&lt;$J59,0,(((YEAR(Lists!C$22)-YEAR($J59))*12+MONTH(Lists!C$22)-MONTH($J59))-(EDATE($J59,((YEAR(Lists!C$22)-YEAR($J59))*12+MONTH(Lists!C$22)-MONTH($J59)))&gt;Lists!C$22)+1)))),N($C59)*IF($AE59-$AD59&lt;1,($AD59&gt;Lists!C$22)*($AD59&lt;=Lists!C$21),MAX(0,MIN(Lists!C$21,$AE59)-MAX(Lists!C$22,$AD59))/($AE59-$AD59))+N($D59)*IF($AG59-$AF59&lt;1,($AF59&gt;Lists!C$22)*($AF59&lt;=Lists!C$21),MAX(0,MIN(Lists!C$21,$AG59)-MAX(Lists!C$22,$AF59))/($AG59-$AF59))+N($E59)*IF($AI59-$AH59&lt;1,($AH59&gt;Lists!C$22)*($AH59&lt;=Lists!C$21),MAX(0,MIN(Lists!C$21,$AI59)-MAX(Lists!C$22,$AH59))/($AI59-$AH59))+N($F59)*IF($AK59-$AJ59&lt;1,($AJ59&gt;Lists!C$22)*($AJ59&lt;=Lists!C$21),MAX(0,MIN(Lists!C$21,$AK59)-MAX(Lists!C$22,$AJ59))/($AK59-$AJ59))+N($G59)*IF($AM59-$AL59&lt;1,($AL59&gt;Lists!C$22)*($AL59&lt;=Lists!C$21),MAX(0,MIN(Lists!C$21,$AM59)-MAX(Lists!C$22,$AL59))/($AM59-$AL59))))))))</f>
        <v>0</v>
      </c>
      <c r="N59" s="53" t="n">
        <f aca="false">IF($H59=0,0,IF($AP59="X",0,IF($AP59="S",$H59/$AO59*(MIN($AO59,MAX(0,INT((Lists!D$21-N($J59))/7)+1))-MIN($AO59,MAX(0,INT((Lists!D$22-N($J59))/7)+1))),IF($AP59="D",$H59*MAX(0,MIN(Lists!D$21,N($J59)+$AO59)-MAX(Lists!D$22,N($J59)))/$AO59,IF($AP59="M",$H59/$AO59*(IF(Lists!D$21&lt;$J59,0,MIN($AO59,(((YEAR(Lists!D$21)-YEAR($J59))*12+MONTH(Lists!D$21)-MONTH($J59))-(EDATE($J59,((YEAR(Lists!D$21)-YEAR($J59))*12+MONTH(Lists!D$21)-MONTH($J59)))&gt;Lists!D$21)+1)))-IF(Lists!D$22&lt;$J59,0,MIN($AO59,(((YEAR(Lists!D$22)-YEAR($J59))*12+MONTH(Lists!D$22)-MONTH($J59))-(EDATE($J59,((YEAR(Lists!D$22)-YEAR($J59))*12+MONTH(Lists!D$22)-MONTH($J59)))&gt;Lists!D$22)+1)))),IF($AP59="F",IF(N($K59)&lt;=0,0,MIN(MAX(0,$H59),N($K59)*IF(Lists!D$21&lt;$J59,0,(((YEAR(Lists!D$21)-YEAR($J59))*12+MONTH(Lists!D$21)-MONTH($J59))-(EDATE($J59,((YEAR(Lists!D$21)-YEAR($J59))*12+MONTH(Lists!D$21)-MONTH($J59)))&gt;Lists!D$21)+1)))-MIN(MAX(0,$H59),N($K59)*IF(Lists!D$22&lt;$J59,0,(((YEAR(Lists!D$22)-YEAR($J59))*12+MONTH(Lists!D$22)-MONTH($J59))-(EDATE($J59,((YEAR(Lists!D$22)-YEAR($J59))*12+MONTH(Lists!D$22)-MONTH($J59)))&gt;Lists!D$22)+1)))),N($C59)*IF($AE59-$AD59&lt;1,($AD59&gt;Lists!D$22)*($AD59&lt;=Lists!D$21),MAX(0,MIN(Lists!D$21,$AE59)-MAX(Lists!D$22,$AD59))/($AE59-$AD59))+N($D59)*IF($AG59-$AF59&lt;1,($AF59&gt;Lists!D$22)*($AF59&lt;=Lists!D$21),MAX(0,MIN(Lists!D$21,$AG59)-MAX(Lists!D$22,$AF59))/($AG59-$AF59))+N($E59)*IF($AI59-$AH59&lt;1,($AH59&gt;Lists!D$22)*($AH59&lt;=Lists!D$21),MAX(0,MIN(Lists!D$21,$AI59)-MAX(Lists!D$22,$AH59))/($AI59-$AH59))+N($F59)*IF($AK59-$AJ59&lt;1,($AJ59&gt;Lists!D$22)*($AJ59&lt;=Lists!D$21),MAX(0,MIN(Lists!D$21,$AK59)-MAX(Lists!D$22,$AJ59))/($AK59-$AJ59))+N($G59)*IF($AM59-$AL59&lt;1,($AL59&gt;Lists!D$22)*($AL59&lt;=Lists!D$21),MAX(0,MIN(Lists!D$21,$AM59)-MAX(Lists!D$22,$AL59))/($AM59-$AL59))))))))</f>
        <v>0</v>
      </c>
      <c r="O59" s="53" t="n">
        <f aca="false">IF($H59=0,0,IF($AP59="X",0,IF($AP59="S",$H59/$AO59*(MIN($AO59,MAX(0,INT((Lists!E$21-N($J59))/7)+1))-MIN($AO59,MAX(0,INT((Lists!E$22-N($J59))/7)+1))),IF($AP59="D",$H59*MAX(0,MIN(Lists!E$21,N($J59)+$AO59)-MAX(Lists!E$22,N($J59)))/$AO59,IF($AP59="M",$H59/$AO59*(IF(Lists!E$21&lt;$J59,0,MIN($AO59,(((YEAR(Lists!E$21)-YEAR($J59))*12+MONTH(Lists!E$21)-MONTH($J59))-(EDATE($J59,((YEAR(Lists!E$21)-YEAR($J59))*12+MONTH(Lists!E$21)-MONTH($J59)))&gt;Lists!E$21)+1)))-IF(Lists!E$22&lt;$J59,0,MIN($AO59,(((YEAR(Lists!E$22)-YEAR($J59))*12+MONTH(Lists!E$22)-MONTH($J59))-(EDATE($J59,((YEAR(Lists!E$22)-YEAR($J59))*12+MONTH(Lists!E$22)-MONTH($J59)))&gt;Lists!E$22)+1)))),IF($AP59="F",IF(N($K59)&lt;=0,0,MIN(MAX(0,$H59),N($K59)*IF(Lists!E$21&lt;$J59,0,(((YEAR(Lists!E$21)-YEAR($J59))*12+MONTH(Lists!E$21)-MONTH($J59))-(EDATE($J59,((YEAR(Lists!E$21)-YEAR($J59))*12+MONTH(Lists!E$21)-MONTH($J59)))&gt;Lists!E$21)+1)))-MIN(MAX(0,$H59),N($K59)*IF(Lists!E$22&lt;$J59,0,(((YEAR(Lists!E$22)-YEAR($J59))*12+MONTH(Lists!E$22)-MONTH($J59))-(EDATE($J59,((YEAR(Lists!E$22)-YEAR($J59))*12+MONTH(Lists!E$22)-MONTH($J59)))&gt;Lists!E$22)+1)))),N($C59)*IF($AE59-$AD59&lt;1,($AD59&gt;Lists!E$22)*($AD59&lt;=Lists!E$21),MAX(0,MIN(Lists!E$21,$AE59)-MAX(Lists!E$22,$AD59))/($AE59-$AD59))+N($D59)*IF($AG59-$AF59&lt;1,($AF59&gt;Lists!E$22)*($AF59&lt;=Lists!E$21),MAX(0,MIN(Lists!E$21,$AG59)-MAX(Lists!E$22,$AF59))/($AG59-$AF59))+N($E59)*IF($AI59-$AH59&lt;1,($AH59&gt;Lists!E$22)*($AH59&lt;=Lists!E$21),MAX(0,MIN(Lists!E$21,$AI59)-MAX(Lists!E$22,$AH59))/($AI59-$AH59))+N($F59)*IF($AK59-$AJ59&lt;1,($AJ59&gt;Lists!E$22)*($AJ59&lt;=Lists!E$21),MAX(0,MIN(Lists!E$21,$AK59)-MAX(Lists!E$22,$AJ59))/($AK59-$AJ59))+N($G59)*IF($AM59-$AL59&lt;1,($AL59&gt;Lists!E$22)*($AL59&lt;=Lists!E$21),MAX(0,MIN(Lists!E$21,$AM59)-MAX(Lists!E$22,$AL59))/($AM59-$AL59))))))))</f>
        <v>0</v>
      </c>
      <c r="P59" s="53" t="n">
        <f aca="false">IF($H59=0,0,IF($AP59="X",0,IF($AP59="S",$H59/$AO59*(MIN($AO59,MAX(0,INT((Lists!F$21-N($J59))/7)+1))-MIN($AO59,MAX(0,INT((Lists!F$22-N($J59))/7)+1))),IF($AP59="D",$H59*MAX(0,MIN(Lists!F$21,N($J59)+$AO59)-MAX(Lists!F$22,N($J59)))/$AO59,IF($AP59="M",$H59/$AO59*(IF(Lists!F$21&lt;$J59,0,MIN($AO59,(((YEAR(Lists!F$21)-YEAR($J59))*12+MONTH(Lists!F$21)-MONTH($J59))-(EDATE($J59,((YEAR(Lists!F$21)-YEAR($J59))*12+MONTH(Lists!F$21)-MONTH($J59)))&gt;Lists!F$21)+1)))-IF(Lists!F$22&lt;$J59,0,MIN($AO59,(((YEAR(Lists!F$22)-YEAR($J59))*12+MONTH(Lists!F$22)-MONTH($J59))-(EDATE($J59,((YEAR(Lists!F$22)-YEAR($J59))*12+MONTH(Lists!F$22)-MONTH($J59)))&gt;Lists!F$22)+1)))),IF($AP59="F",IF(N($K59)&lt;=0,0,MIN(MAX(0,$H59),N($K59)*IF(Lists!F$21&lt;$J59,0,(((YEAR(Lists!F$21)-YEAR($J59))*12+MONTH(Lists!F$21)-MONTH($J59))-(EDATE($J59,((YEAR(Lists!F$21)-YEAR($J59))*12+MONTH(Lists!F$21)-MONTH($J59)))&gt;Lists!F$21)+1)))-MIN(MAX(0,$H59),N($K59)*IF(Lists!F$22&lt;$J59,0,(((YEAR(Lists!F$22)-YEAR($J59))*12+MONTH(Lists!F$22)-MONTH($J59))-(EDATE($J59,((YEAR(Lists!F$22)-YEAR($J59))*12+MONTH(Lists!F$22)-MONTH($J59)))&gt;Lists!F$22)+1)))),N($C59)*IF($AE59-$AD59&lt;1,($AD59&gt;Lists!F$22)*($AD59&lt;=Lists!F$21),MAX(0,MIN(Lists!F$21,$AE59)-MAX(Lists!F$22,$AD59))/($AE59-$AD59))+N($D59)*IF($AG59-$AF59&lt;1,($AF59&gt;Lists!F$22)*($AF59&lt;=Lists!F$21),MAX(0,MIN(Lists!F$21,$AG59)-MAX(Lists!F$22,$AF59))/($AG59-$AF59))+N($E59)*IF($AI59-$AH59&lt;1,($AH59&gt;Lists!F$22)*($AH59&lt;=Lists!F$21),MAX(0,MIN(Lists!F$21,$AI59)-MAX(Lists!F$22,$AH59))/($AI59-$AH59))+N($F59)*IF($AK59-$AJ59&lt;1,($AJ59&gt;Lists!F$22)*($AJ59&lt;=Lists!F$21),MAX(0,MIN(Lists!F$21,$AK59)-MAX(Lists!F$22,$AJ59))/($AK59-$AJ59))+N($G59)*IF($AM59-$AL59&lt;1,($AL59&gt;Lists!F$22)*($AL59&lt;=Lists!F$21),MAX(0,MIN(Lists!F$21,$AM59)-MAX(Lists!F$22,$AL59))/($AM59-$AL59))))))))</f>
        <v>0</v>
      </c>
      <c r="Q59" s="53" t="n">
        <f aca="false">IF($H59=0,0,IF($AP59="X",0,IF($AP59="S",$H59/$AO59*(MIN($AO59,MAX(0,INT((Lists!G$21-N($J59))/7)+1))-MIN($AO59,MAX(0,INT((Lists!G$22-N($J59))/7)+1))),IF($AP59="D",$H59*MAX(0,MIN(Lists!G$21,N($J59)+$AO59)-MAX(Lists!G$22,N($J59)))/$AO59,IF($AP59="M",$H59/$AO59*(IF(Lists!G$21&lt;$J59,0,MIN($AO59,(((YEAR(Lists!G$21)-YEAR($J59))*12+MONTH(Lists!G$21)-MONTH($J59))-(EDATE($J59,((YEAR(Lists!G$21)-YEAR($J59))*12+MONTH(Lists!G$21)-MONTH($J59)))&gt;Lists!G$21)+1)))-IF(Lists!G$22&lt;$J59,0,MIN($AO59,(((YEAR(Lists!G$22)-YEAR($J59))*12+MONTH(Lists!G$22)-MONTH($J59))-(EDATE($J59,((YEAR(Lists!G$22)-YEAR($J59))*12+MONTH(Lists!G$22)-MONTH($J59)))&gt;Lists!G$22)+1)))),IF($AP59="F",IF(N($K59)&lt;=0,0,MIN(MAX(0,$H59),N($K59)*IF(Lists!G$21&lt;$J59,0,(((YEAR(Lists!G$21)-YEAR($J59))*12+MONTH(Lists!G$21)-MONTH($J59))-(EDATE($J59,((YEAR(Lists!G$21)-YEAR($J59))*12+MONTH(Lists!G$21)-MONTH($J59)))&gt;Lists!G$21)+1)))-MIN(MAX(0,$H59),N($K59)*IF(Lists!G$22&lt;$J59,0,(((YEAR(Lists!G$22)-YEAR($J59))*12+MONTH(Lists!G$22)-MONTH($J59))-(EDATE($J59,((YEAR(Lists!G$22)-YEAR($J59))*12+MONTH(Lists!G$22)-MONTH($J59)))&gt;Lists!G$22)+1)))),N($C59)*IF($AE59-$AD59&lt;1,($AD59&gt;Lists!G$22)*($AD59&lt;=Lists!G$21),MAX(0,MIN(Lists!G$21,$AE59)-MAX(Lists!G$22,$AD59))/($AE59-$AD59))+N($D59)*IF($AG59-$AF59&lt;1,($AF59&gt;Lists!G$22)*($AF59&lt;=Lists!G$21),MAX(0,MIN(Lists!G$21,$AG59)-MAX(Lists!G$22,$AF59))/($AG59-$AF59))+N($E59)*IF($AI59-$AH59&lt;1,($AH59&gt;Lists!G$22)*($AH59&lt;=Lists!G$21),MAX(0,MIN(Lists!G$21,$AI59)-MAX(Lists!G$22,$AH59))/($AI59-$AH59))+N($F59)*IF($AK59-$AJ59&lt;1,($AJ59&gt;Lists!G$22)*($AJ59&lt;=Lists!G$21),MAX(0,MIN(Lists!G$21,$AK59)-MAX(Lists!G$22,$AJ59))/($AK59-$AJ59))+N($G59)*IF($AM59-$AL59&lt;1,($AL59&gt;Lists!G$22)*($AL59&lt;=Lists!G$21),MAX(0,MIN(Lists!G$21,$AM59)-MAX(Lists!G$22,$AL59))/($AM59-$AL59))))))))</f>
        <v>0</v>
      </c>
      <c r="R59" s="53" t="n">
        <f aca="false">IF($H59=0,0,IF($AP59="X",0,IF($AP59="S",$H59/$AO59*(MIN($AO59,MAX(0,INT((Lists!H$21-N($J59))/7)+1))-MIN($AO59,MAX(0,INT((Lists!H$22-N($J59))/7)+1))),IF($AP59="D",$H59*MAX(0,MIN(Lists!H$21,N($J59)+$AO59)-MAX(Lists!H$22,N($J59)))/$AO59,IF($AP59="M",$H59/$AO59*(IF(Lists!H$21&lt;$J59,0,MIN($AO59,(((YEAR(Lists!H$21)-YEAR($J59))*12+MONTH(Lists!H$21)-MONTH($J59))-(EDATE($J59,((YEAR(Lists!H$21)-YEAR($J59))*12+MONTH(Lists!H$21)-MONTH($J59)))&gt;Lists!H$21)+1)))-IF(Lists!H$22&lt;$J59,0,MIN($AO59,(((YEAR(Lists!H$22)-YEAR($J59))*12+MONTH(Lists!H$22)-MONTH($J59))-(EDATE($J59,((YEAR(Lists!H$22)-YEAR($J59))*12+MONTH(Lists!H$22)-MONTH($J59)))&gt;Lists!H$22)+1)))),IF($AP59="F",IF(N($K59)&lt;=0,0,MIN(MAX(0,$H59),N($K59)*IF(Lists!H$21&lt;$J59,0,(((YEAR(Lists!H$21)-YEAR($J59))*12+MONTH(Lists!H$21)-MONTH($J59))-(EDATE($J59,((YEAR(Lists!H$21)-YEAR($J59))*12+MONTH(Lists!H$21)-MONTH($J59)))&gt;Lists!H$21)+1)))-MIN(MAX(0,$H59),N($K59)*IF(Lists!H$22&lt;$J59,0,(((YEAR(Lists!H$22)-YEAR($J59))*12+MONTH(Lists!H$22)-MONTH($J59))-(EDATE($J59,((YEAR(Lists!H$22)-YEAR($J59))*12+MONTH(Lists!H$22)-MONTH($J59)))&gt;Lists!H$22)+1)))),N($C59)*IF($AE59-$AD59&lt;1,($AD59&gt;Lists!H$22)*($AD59&lt;=Lists!H$21),MAX(0,MIN(Lists!H$21,$AE59)-MAX(Lists!H$22,$AD59))/($AE59-$AD59))+N($D59)*IF($AG59-$AF59&lt;1,($AF59&gt;Lists!H$22)*($AF59&lt;=Lists!H$21),MAX(0,MIN(Lists!H$21,$AG59)-MAX(Lists!H$22,$AF59))/($AG59-$AF59))+N($E59)*IF($AI59-$AH59&lt;1,($AH59&gt;Lists!H$22)*($AH59&lt;=Lists!H$21),MAX(0,MIN(Lists!H$21,$AI59)-MAX(Lists!H$22,$AH59))/($AI59-$AH59))+N($F59)*IF($AK59-$AJ59&lt;1,($AJ59&gt;Lists!H$22)*($AJ59&lt;=Lists!H$21),MAX(0,MIN(Lists!H$21,$AK59)-MAX(Lists!H$22,$AJ59))/($AK59-$AJ59))+N($G59)*IF($AM59-$AL59&lt;1,($AL59&gt;Lists!H$22)*($AL59&lt;=Lists!H$21),MAX(0,MIN(Lists!H$21,$AM59)-MAX(Lists!H$22,$AL59))/($AM59-$AL59))))))))</f>
        <v>0</v>
      </c>
      <c r="S59" s="53" t="n">
        <f aca="false">IF($H59=0,0,IF($AP59="X",0,IF($AP59="S",$H59/$AO59*(MIN($AO59,MAX(0,INT((Lists!I$21-N($J59))/7)+1))-MIN($AO59,MAX(0,INT((Lists!I$22-N($J59))/7)+1))),IF($AP59="D",$H59*MAX(0,MIN(Lists!I$21,N($J59)+$AO59)-MAX(Lists!I$22,N($J59)))/$AO59,IF($AP59="M",$H59/$AO59*(IF(Lists!I$21&lt;$J59,0,MIN($AO59,(((YEAR(Lists!I$21)-YEAR($J59))*12+MONTH(Lists!I$21)-MONTH($J59))-(EDATE($J59,((YEAR(Lists!I$21)-YEAR($J59))*12+MONTH(Lists!I$21)-MONTH($J59)))&gt;Lists!I$21)+1)))-IF(Lists!I$22&lt;$J59,0,MIN($AO59,(((YEAR(Lists!I$22)-YEAR($J59))*12+MONTH(Lists!I$22)-MONTH($J59))-(EDATE($J59,((YEAR(Lists!I$22)-YEAR($J59))*12+MONTH(Lists!I$22)-MONTH($J59)))&gt;Lists!I$22)+1)))),IF($AP59="F",IF(N($K59)&lt;=0,0,MIN(MAX(0,$H59),N($K59)*IF(Lists!I$21&lt;$J59,0,(((YEAR(Lists!I$21)-YEAR($J59))*12+MONTH(Lists!I$21)-MONTH($J59))-(EDATE($J59,((YEAR(Lists!I$21)-YEAR($J59))*12+MONTH(Lists!I$21)-MONTH($J59)))&gt;Lists!I$21)+1)))-MIN(MAX(0,$H59),N($K59)*IF(Lists!I$22&lt;$J59,0,(((YEAR(Lists!I$22)-YEAR($J59))*12+MONTH(Lists!I$22)-MONTH($J59))-(EDATE($J59,((YEAR(Lists!I$22)-YEAR($J59))*12+MONTH(Lists!I$22)-MONTH($J59)))&gt;Lists!I$22)+1)))),N($C59)*IF($AE59-$AD59&lt;1,($AD59&gt;Lists!I$22)*($AD59&lt;=Lists!I$21),MAX(0,MIN(Lists!I$21,$AE59)-MAX(Lists!I$22,$AD59))/($AE59-$AD59))+N($D59)*IF($AG59-$AF59&lt;1,($AF59&gt;Lists!I$22)*($AF59&lt;=Lists!I$21),MAX(0,MIN(Lists!I$21,$AG59)-MAX(Lists!I$22,$AF59))/($AG59-$AF59))+N($E59)*IF($AI59-$AH59&lt;1,($AH59&gt;Lists!I$22)*($AH59&lt;=Lists!I$21),MAX(0,MIN(Lists!I$21,$AI59)-MAX(Lists!I$22,$AH59))/($AI59-$AH59))+N($F59)*IF($AK59-$AJ59&lt;1,($AJ59&gt;Lists!I$22)*($AJ59&lt;=Lists!I$21),MAX(0,MIN(Lists!I$21,$AK59)-MAX(Lists!I$22,$AJ59))/($AK59-$AJ59))+N($G59)*IF($AM59-$AL59&lt;1,($AL59&gt;Lists!I$22)*($AL59&lt;=Lists!I$21),MAX(0,MIN(Lists!I$21,$AM59)-MAX(Lists!I$22,$AL59))/($AM59-$AL59))))))))</f>
        <v>0</v>
      </c>
      <c r="T59" s="53" t="n">
        <f aca="false">IF($H59=0,0,IF($AP59="X",0,IF($AP59="S",$H59/$AO59*(MIN($AO59,MAX(0,INT((Lists!J$21-N($J59))/7)+1))-MIN($AO59,MAX(0,INT((Lists!J$22-N($J59))/7)+1))),IF($AP59="D",$H59*MAX(0,MIN(Lists!J$21,N($J59)+$AO59)-MAX(Lists!J$22,N($J59)))/$AO59,IF($AP59="M",$H59/$AO59*(IF(Lists!J$21&lt;$J59,0,MIN($AO59,(((YEAR(Lists!J$21)-YEAR($J59))*12+MONTH(Lists!J$21)-MONTH($J59))-(EDATE($J59,((YEAR(Lists!J$21)-YEAR($J59))*12+MONTH(Lists!J$21)-MONTH($J59)))&gt;Lists!J$21)+1)))-IF(Lists!J$22&lt;$J59,0,MIN($AO59,(((YEAR(Lists!J$22)-YEAR($J59))*12+MONTH(Lists!J$22)-MONTH($J59))-(EDATE($J59,((YEAR(Lists!J$22)-YEAR($J59))*12+MONTH(Lists!J$22)-MONTH($J59)))&gt;Lists!J$22)+1)))),IF($AP59="F",IF(N($K59)&lt;=0,0,MIN(MAX(0,$H59),N($K59)*IF(Lists!J$21&lt;$J59,0,(((YEAR(Lists!J$21)-YEAR($J59))*12+MONTH(Lists!J$21)-MONTH($J59))-(EDATE($J59,((YEAR(Lists!J$21)-YEAR($J59))*12+MONTH(Lists!J$21)-MONTH($J59)))&gt;Lists!J$21)+1)))-MIN(MAX(0,$H59),N($K59)*IF(Lists!J$22&lt;$J59,0,(((YEAR(Lists!J$22)-YEAR($J59))*12+MONTH(Lists!J$22)-MONTH($J59))-(EDATE($J59,((YEAR(Lists!J$22)-YEAR($J59))*12+MONTH(Lists!J$22)-MONTH($J59)))&gt;Lists!J$22)+1)))),N($C59)*IF($AE59-$AD59&lt;1,($AD59&gt;Lists!J$22)*($AD59&lt;=Lists!J$21),MAX(0,MIN(Lists!J$21,$AE59)-MAX(Lists!J$22,$AD59))/($AE59-$AD59))+N($D59)*IF($AG59-$AF59&lt;1,($AF59&gt;Lists!J$22)*($AF59&lt;=Lists!J$21),MAX(0,MIN(Lists!J$21,$AG59)-MAX(Lists!J$22,$AF59))/($AG59-$AF59))+N($E59)*IF($AI59-$AH59&lt;1,($AH59&gt;Lists!J$22)*($AH59&lt;=Lists!J$21),MAX(0,MIN(Lists!J$21,$AI59)-MAX(Lists!J$22,$AH59))/($AI59-$AH59))+N($F59)*IF($AK59-$AJ59&lt;1,($AJ59&gt;Lists!J$22)*($AJ59&lt;=Lists!J$21),MAX(0,MIN(Lists!J$21,$AK59)-MAX(Lists!J$22,$AJ59))/($AK59-$AJ59))+N($G59)*IF($AM59-$AL59&lt;1,($AL59&gt;Lists!J$22)*($AL59&lt;=Lists!J$21),MAX(0,MIN(Lists!J$21,$AM59)-MAX(Lists!J$22,$AL59))/($AM59-$AL59))))))))</f>
        <v>0</v>
      </c>
      <c r="U59" s="53" t="n">
        <f aca="false">IF($H59=0,0,IF($AP59="X",0,IF($AP59="S",$H59/$AO59*(MIN($AO59,MAX(0,INT((Lists!K$21-N($J59))/7)+1))-MIN($AO59,MAX(0,INT((Lists!K$22-N($J59))/7)+1))),IF($AP59="D",$H59*MAX(0,MIN(Lists!K$21,N($J59)+$AO59)-MAX(Lists!K$22,N($J59)))/$AO59,IF($AP59="M",$H59/$AO59*(IF(Lists!K$21&lt;$J59,0,MIN($AO59,(((YEAR(Lists!K$21)-YEAR($J59))*12+MONTH(Lists!K$21)-MONTH($J59))-(EDATE($J59,((YEAR(Lists!K$21)-YEAR($J59))*12+MONTH(Lists!K$21)-MONTH($J59)))&gt;Lists!K$21)+1)))-IF(Lists!K$22&lt;$J59,0,MIN($AO59,(((YEAR(Lists!K$22)-YEAR($J59))*12+MONTH(Lists!K$22)-MONTH($J59))-(EDATE($J59,((YEAR(Lists!K$22)-YEAR($J59))*12+MONTH(Lists!K$22)-MONTH($J59)))&gt;Lists!K$22)+1)))),IF($AP59="F",IF(N($K59)&lt;=0,0,MIN(MAX(0,$H59),N($K59)*IF(Lists!K$21&lt;$J59,0,(((YEAR(Lists!K$21)-YEAR($J59))*12+MONTH(Lists!K$21)-MONTH($J59))-(EDATE($J59,((YEAR(Lists!K$21)-YEAR($J59))*12+MONTH(Lists!K$21)-MONTH($J59)))&gt;Lists!K$21)+1)))-MIN(MAX(0,$H59),N($K59)*IF(Lists!K$22&lt;$J59,0,(((YEAR(Lists!K$22)-YEAR($J59))*12+MONTH(Lists!K$22)-MONTH($J59))-(EDATE($J59,((YEAR(Lists!K$22)-YEAR($J59))*12+MONTH(Lists!K$22)-MONTH($J59)))&gt;Lists!K$22)+1)))),N($C59)*IF($AE59-$AD59&lt;1,($AD59&gt;Lists!K$22)*($AD59&lt;=Lists!K$21),MAX(0,MIN(Lists!K$21,$AE59)-MAX(Lists!K$22,$AD59))/($AE59-$AD59))+N($D59)*IF($AG59-$AF59&lt;1,($AF59&gt;Lists!K$22)*($AF59&lt;=Lists!K$21),MAX(0,MIN(Lists!K$21,$AG59)-MAX(Lists!K$22,$AF59))/($AG59-$AF59))+N($E59)*IF($AI59-$AH59&lt;1,($AH59&gt;Lists!K$22)*($AH59&lt;=Lists!K$21),MAX(0,MIN(Lists!K$21,$AI59)-MAX(Lists!K$22,$AH59))/($AI59-$AH59))+N($F59)*IF($AK59-$AJ59&lt;1,($AJ59&gt;Lists!K$22)*($AJ59&lt;=Lists!K$21),MAX(0,MIN(Lists!K$21,$AK59)-MAX(Lists!K$22,$AJ59))/($AK59-$AJ59))+N($G59)*IF($AM59-$AL59&lt;1,($AL59&gt;Lists!K$22)*($AL59&lt;=Lists!K$21),MAX(0,MIN(Lists!K$21,$AM59)-MAX(Lists!K$22,$AL59))/($AM59-$AL59))))))))</f>
        <v>0</v>
      </c>
      <c r="V59" s="53" t="n">
        <f aca="false">IF($H59=0,0,IF($AP59="X",0,IF($AP59="S",$H59/$AO59*(MIN($AO59,MAX(0,INT((Lists!L$21-N($J59))/7)+1))-MIN($AO59,MAX(0,INT((Lists!L$22-N($J59))/7)+1))),IF($AP59="D",$H59*MAX(0,MIN(Lists!L$21,N($J59)+$AO59)-MAX(Lists!L$22,N($J59)))/$AO59,IF($AP59="M",$H59/$AO59*(IF(Lists!L$21&lt;$J59,0,MIN($AO59,(((YEAR(Lists!L$21)-YEAR($J59))*12+MONTH(Lists!L$21)-MONTH($J59))-(EDATE($J59,((YEAR(Lists!L$21)-YEAR($J59))*12+MONTH(Lists!L$21)-MONTH($J59)))&gt;Lists!L$21)+1)))-IF(Lists!L$22&lt;$J59,0,MIN($AO59,(((YEAR(Lists!L$22)-YEAR($J59))*12+MONTH(Lists!L$22)-MONTH($J59))-(EDATE($J59,((YEAR(Lists!L$22)-YEAR($J59))*12+MONTH(Lists!L$22)-MONTH($J59)))&gt;Lists!L$22)+1)))),IF($AP59="F",IF(N($K59)&lt;=0,0,MIN(MAX(0,$H59),N($K59)*IF(Lists!L$21&lt;$J59,0,(((YEAR(Lists!L$21)-YEAR($J59))*12+MONTH(Lists!L$21)-MONTH($J59))-(EDATE($J59,((YEAR(Lists!L$21)-YEAR($J59))*12+MONTH(Lists!L$21)-MONTH($J59)))&gt;Lists!L$21)+1)))-MIN(MAX(0,$H59),N($K59)*IF(Lists!L$22&lt;$J59,0,(((YEAR(Lists!L$22)-YEAR($J59))*12+MONTH(Lists!L$22)-MONTH($J59))-(EDATE($J59,((YEAR(Lists!L$22)-YEAR($J59))*12+MONTH(Lists!L$22)-MONTH($J59)))&gt;Lists!L$22)+1)))),N($C59)*IF($AE59-$AD59&lt;1,($AD59&gt;Lists!L$22)*($AD59&lt;=Lists!L$21),MAX(0,MIN(Lists!L$21,$AE59)-MAX(Lists!L$22,$AD59))/($AE59-$AD59))+N($D59)*IF($AG59-$AF59&lt;1,($AF59&gt;Lists!L$22)*($AF59&lt;=Lists!L$21),MAX(0,MIN(Lists!L$21,$AG59)-MAX(Lists!L$22,$AF59))/($AG59-$AF59))+N($E59)*IF($AI59-$AH59&lt;1,($AH59&gt;Lists!L$22)*($AH59&lt;=Lists!L$21),MAX(0,MIN(Lists!L$21,$AI59)-MAX(Lists!L$22,$AH59))/($AI59-$AH59))+N($F59)*IF($AK59-$AJ59&lt;1,($AJ59&gt;Lists!L$22)*($AJ59&lt;=Lists!L$21),MAX(0,MIN(Lists!L$21,$AK59)-MAX(Lists!L$22,$AJ59))/($AK59-$AJ59))+N($G59)*IF($AM59-$AL59&lt;1,($AL59&gt;Lists!L$22)*($AL59&lt;=Lists!L$21),MAX(0,MIN(Lists!L$21,$AM59)-MAX(Lists!L$22,$AL59))/($AM59-$AL59))))))))</f>
        <v>0</v>
      </c>
      <c r="W59" s="53" t="n">
        <f aca="false">IF($H59=0,0,IF($AP59="X",0,IF($AP59="S",$H59/$AO59*(MIN($AO59,MAX(0,INT((Lists!M$21-N($J59))/7)+1))-MIN($AO59,MAX(0,INT((Lists!M$22-N($J59))/7)+1))),IF($AP59="D",$H59*MAX(0,MIN(Lists!M$21,N($J59)+$AO59)-MAX(Lists!M$22,N($J59)))/$AO59,IF($AP59="M",$H59/$AO59*(IF(Lists!M$21&lt;$J59,0,MIN($AO59,(((YEAR(Lists!M$21)-YEAR($J59))*12+MONTH(Lists!M$21)-MONTH($J59))-(EDATE($J59,((YEAR(Lists!M$21)-YEAR($J59))*12+MONTH(Lists!M$21)-MONTH($J59)))&gt;Lists!M$21)+1)))-IF(Lists!M$22&lt;$J59,0,MIN($AO59,(((YEAR(Lists!M$22)-YEAR($J59))*12+MONTH(Lists!M$22)-MONTH($J59))-(EDATE($J59,((YEAR(Lists!M$22)-YEAR($J59))*12+MONTH(Lists!M$22)-MONTH($J59)))&gt;Lists!M$22)+1)))),IF($AP59="F",IF(N($K59)&lt;=0,0,MIN(MAX(0,$H59),N($K59)*IF(Lists!M$21&lt;$J59,0,(((YEAR(Lists!M$21)-YEAR($J59))*12+MONTH(Lists!M$21)-MONTH($J59))-(EDATE($J59,((YEAR(Lists!M$21)-YEAR($J59))*12+MONTH(Lists!M$21)-MONTH($J59)))&gt;Lists!M$21)+1)))-MIN(MAX(0,$H59),N($K59)*IF(Lists!M$22&lt;$J59,0,(((YEAR(Lists!M$22)-YEAR($J59))*12+MONTH(Lists!M$22)-MONTH($J59))-(EDATE($J59,((YEAR(Lists!M$22)-YEAR($J59))*12+MONTH(Lists!M$22)-MONTH($J59)))&gt;Lists!M$22)+1)))),N($C59)*IF($AE59-$AD59&lt;1,($AD59&gt;Lists!M$22)*($AD59&lt;=Lists!M$21),MAX(0,MIN(Lists!M$21,$AE59)-MAX(Lists!M$22,$AD59))/($AE59-$AD59))+N($D59)*IF($AG59-$AF59&lt;1,($AF59&gt;Lists!M$22)*($AF59&lt;=Lists!M$21),MAX(0,MIN(Lists!M$21,$AG59)-MAX(Lists!M$22,$AF59))/($AG59-$AF59))+N($E59)*IF($AI59-$AH59&lt;1,($AH59&gt;Lists!M$22)*($AH59&lt;=Lists!M$21),MAX(0,MIN(Lists!M$21,$AI59)-MAX(Lists!M$22,$AH59))/($AI59-$AH59))+N($F59)*IF($AK59-$AJ59&lt;1,($AJ59&gt;Lists!M$22)*($AJ59&lt;=Lists!M$21),MAX(0,MIN(Lists!M$21,$AK59)-MAX(Lists!M$22,$AJ59))/($AK59-$AJ59))+N($G59)*IF($AM59-$AL59&lt;1,($AL59&gt;Lists!M$22)*($AL59&lt;=Lists!M$21),MAX(0,MIN(Lists!M$21,$AM59)-MAX(Lists!M$22,$AL59))/($AM59-$AL59))))))))</f>
        <v>0</v>
      </c>
      <c r="X59" s="53" t="n">
        <f aca="false">IF($H59=0,0,IF($AP59="X",0,IF($AP59="S",$H59/$AO59*(MIN($AO59,MAX(0,INT((Lists!N$21-N($J59))/7)+1))-MIN($AO59,MAX(0,INT((Lists!N$22-N($J59))/7)+1))),IF($AP59="D",$H59*MAX(0,MIN(Lists!N$21,N($J59)+$AO59)-MAX(Lists!N$22,N($J59)))/$AO59,IF($AP59="M",$H59/$AO59*(IF(Lists!N$21&lt;$J59,0,MIN($AO59,(((YEAR(Lists!N$21)-YEAR($J59))*12+MONTH(Lists!N$21)-MONTH($J59))-(EDATE($J59,((YEAR(Lists!N$21)-YEAR($J59))*12+MONTH(Lists!N$21)-MONTH($J59)))&gt;Lists!N$21)+1)))-IF(Lists!N$22&lt;$J59,0,MIN($AO59,(((YEAR(Lists!N$22)-YEAR($J59))*12+MONTH(Lists!N$22)-MONTH($J59))-(EDATE($J59,((YEAR(Lists!N$22)-YEAR($J59))*12+MONTH(Lists!N$22)-MONTH($J59)))&gt;Lists!N$22)+1)))),IF($AP59="F",IF(N($K59)&lt;=0,0,MIN(MAX(0,$H59),N($K59)*IF(Lists!N$21&lt;$J59,0,(((YEAR(Lists!N$21)-YEAR($J59))*12+MONTH(Lists!N$21)-MONTH($J59))-(EDATE($J59,((YEAR(Lists!N$21)-YEAR($J59))*12+MONTH(Lists!N$21)-MONTH($J59)))&gt;Lists!N$21)+1)))-MIN(MAX(0,$H59),N($K59)*IF(Lists!N$22&lt;$J59,0,(((YEAR(Lists!N$22)-YEAR($J59))*12+MONTH(Lists!N$22)-MONTH($J59))-(EDATE($J59,((YEAR(Lists!N$22)-YEAR($J59))*12+MONTH(Lists!N$22)-MONTH($J59)))&gt;Lists!N$22)+1)))),N($C59)*IF($AE59-$AD59&lt;1,($AD59&gt;Lists!N$22)*($AD59&lt;=Lists!N$21),MAX(0,MIN(Lists!N$21,$AE59)-MAX(Lists!N$22,$AD59))/($AE59-$AD59))+N($D59)*IF($AG59-$AF59&lt;1,($AF59&gt;Lists!N$22)*($AF59&lt;=Lists!N$21),MAX(0,MIN(Lists!N$21,$AG59)-MAX(Lists!N$22,$AF59))/($AG59-$AF59))+N($E59)*IF($AI59-$AH59&lt;1,($AH59&gt;Lists!N$22)*($AH59&lt;=Lists!N$21),MAX(0,MIN(Lists!N$21,$AI59)-MAX(Lists!N$22,$AH59))/($AI59-$AH59))+N($F59)*IF($AK59-$AJ59&lt;1,($AJ59&gt;Lists!N$22)*($AJ59&lt;=Lists!N$21),MAX(0,MIN(Lists!N$21,$AK59)-MAX(Lists!N$22,$AJ59))/($AK59-$AJ59))+N($G59)*IF($AM59-$AL59&lt;1,($AL59&gt;Lists!N$22)*($AL59&lt;=Lists!N$21),MAX(0,MIN(Lists!N$21,$AM59)-MAX(Lists!N$22,$AL59))/($AM59-$AL59))))))))</f>
        <v>0</v>
      </c>
      <c r="Y59" s="53" t="n">
        <f aca="false">IF($H59=0,0,IF($AP59="X",0,IF($AP59="S",$H59/$AO59*(MIN($AO59,MAX(0,INT((Lists!O$21-N($J59))/7)+1))-MIN($AO59,MAX(0,INT((Lists!O$22-N($J59))/7)+1))),IF($AP59="D",$H59*MAX(0,MIN(Lists!O$21,N($J59)+$AO59)-MAX(Lists!O$22,N($J59)))/$AO59,IF($AP59="M",$H59/$AO59*(IF(Lists!O$21&lt;$J59,0,MIN($AO59,(((YEAR(Lists!O$21)-YEAR($J59))*12+MONTH(Lists!O$21)-MONTH($J59))-(EDATE($J59,((YEAR(Lists!O$21)-YEAR($J59))*12+MONTH(Lists!O$21)-MONTH($J59)))&gt;Lists!O$21)+1)))-IF(Lists!O$22&lt;$J59,0,MIN($AO59,(((YEAR(Lists!O$22)-YEAR($J59))*12+MONTH(Lists!O$22)-MONTH($J59))-(EDATE($J59,((YEAR(Lists!O$22)-YEAR($J59))*12+MONTH(Lists!O$22)-MONTH($J59)))&gt;Lists!O$22)+1)))),IF($AP59="F",IF(N($K59)&lt;=0,0,MIN(MAX(0,$H59),N($K59)*IF(Lists!O$21&lt;$J59,0,(((YEAR(Lists!O$21)-YEAR($J59))*12+MONTH(Lists!O$21)-MONTH($J59))-(EDATE($J59,((YEAR(Lists!O$21)-YEAR($J59))*12+MONTH(Lists!O$21)-MONTH($J59)))&gt;Lists!O$21)+1)))-MIN(MAX(0,$H59),N($K59)*IF(Lists!O$22&lt;$J59,0,(((YEAR(Lists!O$22)-YEAR($J59))*12+MONTH(Lists!O$22)-MONTH($J59))-(EDATE($J59,((YEAR(Lists!O$22)-YEAR($J59))*12+MONTH(Lists!O$22)-MONTH($J59)))&gt;Lists!O$22)+1)))),N($C59)*IF($AE59-$AD59&lt;1,($AD59&gt;Lists!O$22)*($AD59&lt;=Lists!O$21),MAX(0,MIN(Lists!O$21,$AE59)-MAX(Lists!O$22,$AD59))/($AE59-$AD59))+N($D59)*IF($AG59-$AF59&lt;1,($AF59&gt;Lists!O$22)*($AF59&lt;=Lists!O$21),MAX(0,MIN(Lists!O$21,$AG59)-MAX(Lists!O$22,$AF59))/($AG59-$AF59))+N($E59)*IF($AI59-$AH59&lt;1,($AH59&gt;Lists!O$22)*($AH59&lt;=Lists!O$21),MAX(0,MIN(Lists!O$21,$AI59)-MAX(Lists!O$22,$AH59))/($AI59-$AH59))+N($F59)*IF($AK59-$AJ59&lt;1,($AJ59&gt;Lists!O$22)*($AJ59&lt;=Lists!O$21),MAX(0,MIN(Lists!O$21,$AK59)-MAX(Lists!O$22,$AJ59))/($AK59-$AJ59))+N($G59)*IF($AM59-$AL59&lt;1,($AL59&gt;Lists!O$22)*($AL59&lt;=Lists!O$21),MAX(0,MIN(Lists!O$21,$AM59)-MAX(Lists!O$22,$AL59))/($AM59-$AL59))))))))</f>
        <v>0</v>
      </c>
      <c r="Z59" s="46" t="n">
        <f aca="false">SUM(M59:Y59)</f>
        <v>0</v>
      </c>
      <c r="AA59" s="92" t="n">
        <f aca="false">H59-Z59</f>
        <v>0</v>
      </c>
      <c r="AB59" s="55"/>
      <c r="AC59" s="2"/>
      <c r="AD59" s="93" t="n">
        <f aca="false">Setup!$D$10+MAX(0,$AN59-30)</f>
        <v>46345</v>
      </c>
      <c r="AE59" s="93" t="n">
        <f aca="false">Setup!$D$10+IF($AN59-30&lt;0,MAX(Setup!$D$22,$AN59-0),$AN59-0)</f>
        <v>46375</v>
      </c>
      <c r="AF59" s="93" t="n">
        <f aca="false">Setup!$D$10+MAX(0,$AN59-60)</f>
        <v>46335</v>
      </c>
      <c r="AG59" s="93" t="n">
        <f aca="false">Setup!$D$10+IF($AN59-60&lt;0,MAX(Setup!$D$22,$AN59-31),$AN59-31)</f>
        <v>46363</v>
      </c>
      <c r="AH59" s="93" t="n">
        <f aca="false">Setup!$D$10+MAX(0,$AN59-90)</f>
        <v>46335</v>
      </c>
      <c r="AI59" s="93" t="n">
        <f aca="false">Setup!$D$10+IF($AN59-90&lt;0,MAX(Setup!$D$22,$AN59-61),$AN59-61)</f>
        <v>46363</v>
      </c>
      <c r="AJ59" s="93" t="n">
        <f aca="false">Setup!$D$10+MAX(0,$AN59-120)</f>
        <v>46335</v>
      </c>
      <c r="AK59" s="93" t="n">
        <f aca="false">Setup!$D$10+IF($AN59-120&lt;0,MAX(Setup!$D$22,$AN59-91),$AN59-91)</f>
        <v>46363</v>
      </c>
      <c r="AL59" s="93" t="n">
        <f aca="false">Setup!$D$10</f>
        <v>46335</v>
      </c>
      <c r="AM59" s="93" t="n">
        <f aca="false">IF(AL59=2958465,AL59,Setup!$D$10+Setup!$D$22)</f>
        <v>46363</v>
      </c>
      <c r="AN59" s="94" t="n">
        <f aca="false">IF(N(L59)=0,Setup!$D$21,L59)</f>
        <v>40</v>
      </c>
      <c r="AO59" s="94" t="n">
        <f aca="false">MAX(1,ROUND(N(K59),0))</f>
        <v>1</v>
      </c>
      <c r="AP59" s="95" t="str">
        <f aca="false">IF(I59="On hold","X",IF(N(J59)=0,"A",IF(I59="Specific date","S",IF(I59="Spread over days","D",IF(I59="Monthly on set day","M",IF(I59="Monthly fixed amount","F","A"))))))</f>
        <v>A</v>
      </c>
    </row>
    <row r="60" customFormat="false" ht="15" hidden="false" customHeight="false" outlineLevel="0" collapsed="false">
      <c r="A60" s="87" t="n">
        <v>52</v>
      </c>
      <c r="B60" s="55"/>
      <c r="C60" s="88"/>
      <c r="D60" s="88"/>
      <c r="E60" s="88"/>
      <c r="F60" s="88"/>
      <c r="G60" s="88"/>
      <c r="H60" s="89" t="n">
        <f aca="false">SUM(C60:G60)</f>
        <v>0</v>
      </c>
      <c r="I60" s="58"/>
      <c r="J60" s="90"/>
      <c r="K60" s="91"/>
      <c r="L60" s="80"/>
      <c r="M60" s="53" t="n">
        <f aca="false">IF($H60=0,0,IF($AP60="X",0,IF($AP60="S",$H60/$AO60*(MIN($AO60,MAX(0,INT((Lists!C$21-N($J60))/7)+1))-MIN($AO60,MAX(0,INT((Lists!C$22-N($J60))/7)+1))),IF($AP60="D",$H60*MAX(0,MIN(Lists!C$21,N($J60)+$AO60)-MAX(Lists!C$22,N($J60)))/$AO60,IF($AP60="M",$H60/$AO60*(IF(Lists!C$21&lt;$J60,0,MIN($AO60,(((YEAR(Lists!C$21)-YEAR($J60))*12+MONTH(Lists!C$21)-MONTH($J60))-(EDATE($J60,((YEAR(Lists!C$21)-YEAR($J60))*12+MONTH(Lists!C$21)-MONTH($J60)))&gt;Lists!C$21)+1)))-IF(Lists!C$22&lt;$J60,0,MIN($AO60,(((YEAR(Lists!C$22)-YEAR($J60))*12+MONTH(Lists!C$22)-MONTH($J60))-(EDATE($J60,((YEAR(Lists!C$22)-YEAR($J60))*12+MONTH(Lists!C$22)-MONTH($J60)))&gt;Lists!C$22)+1)))),IF($AP60="F",IF(N($K60)&lt;=0,0,MIN(MAX(0,$H60),N($K60)*IF(Lists!C$21&lt;$J60,0,(((YEAR(Lists!C$21)-YEAR($J60))*12+MONTH(Lists!C$21)-MONTH($J60))-(EDATE($J60,((YEAR(Lists!C$21)-YEAR($J60))*12+MONTH(Lists!C$21)-MONTH($J60)))&gt;Lists!C$21)+1)))-MIN(MAX(0,$H60),N($K60)*IF(Lists!C$22&lt;$J60,0,(((YEAR(Lists!C$22)-YEAR($J60))*12+MONTH(Lists!C$22)-MONTH($J60))-(EDATE($J60,((YEAR(Lists!C$22)-YEAR($J60))*12+MONTH(Lists!C$22)-MONTH($J60)))&gt;Lists!C$22)+1)))),N($C60)*IF($AE60-$AD60&lt;1,($AD60&gt;Lists!C$22)*($AD60&lt;=Lists!C$21),MAX(0,MIN(Lists!C$21,$AE60)-MAX(Lists!C$22,$AD60))/($AE60-$AD60))+N($D60)*IF($AG60-$AF60&lt;1,($AF60&gt;Lists!C$22)*($AF60&lt;=Lists!C$21),MAX(0,MIN(Lists!C$21,$AG60)-MAX(Lists!C$22,$AF60))/($AG60-$AF60))+N($E60)*IF($AI60-$AH60&lt;1,($AH60&gt;Lists!C$22)*($AH60&lt;=Lists!C$21),MAX(0,MIN(Lists!C$21,$AI60)-MAX(Lists!C$22,$AH60))/($AI60-$AH60))+N($F60)*IF($AK60-$AJ60&lt;1,($AJ60&gt;Lists!C$22)*($AJ60&lt;=Lists!C$21),MAX(0,MIN(Lists!C$21,$AK60)-MAX(Lists!C$22,$AJ60))/($AK60-$AJ60))+N($G60)*IF($AM60-$AL60&lt;1,($AL60&gt;Lists!C$22)*($AL60&lt;=Lists!C$21),MAX(0,MIN(Lists!C$21,$AM60)-MAX(Lists!C$22,$AL60))/($AM60-$AL60))))))))</f>
        <v>0</v>
      </c>
      <c r="N60" s="53" t="n">
        <f aca="false">IF($H60=0,0,IF($AP60="X",0,IF($AP60="S",$H60/$AO60*(MIN($AO60,MAX(0,INT((Lists!D$21-N($J60))/7)+1))-MIN($AO60,MAX(0,INT((Lists!D$22-N($J60))/7)+1))),IF($AP60="D",$H60*MAX(0,MIN(Lists!D$21,N($J60)+$AO60)-MAX(Lists!D$22,N($J60)))/$AO60,IF($AP60="M",$H60/$AO60*(IF(Lists!D$21&lt;$J60,0,MIN($AO60,(((YEAR(Lists!D$21)-YEAR($J60))*12+MONTH(Lists!D$21)-MONTH($J60))-(EDATE($J60,((YEAR(Lists!D$21)-YEAR($J60))*12+MONTH(Lists!D$21)-MONTH($J60)))&gt;Lists!D$21)+1)))-IF(Lists!D$22&lt;$J60,0,MIN($AO60,(((YEAR(Lists!D$22)-YEAR($J60))*12+MONTH(Lists!D$22)-MONTH($J60))-(EDATE($J60,((YEAR(Lists!D$22)-YEAR($J60))*12+MONTH(Lists!D$22)-MONTH($J60)))&gt;Lists!D$22)+1)))),IF($AP60="F",IF(N($K60)&lt;=0,0,MIN(MAX(0,$H60),N($K60)*IF(Lists!D$21&lt;$J60,0,(((YEAR(Lists!D$21)-YEAR($J60))*12+MONTH(Lists!D$21)-MONTH($J60))-(EDATE($J60,((YEAR(Lists!D$21)-YEAR($J60))*12+MONTH(Lists!D$21)-MONTH($J60)))&gt;Lists!D$21)+1)))-MIN(MAX(0,$H60),N($K60)*IF(Lists!D$22&lt;$J60,0,(((YEAR(Lists!D$22)-YEAR($J60))*12+MONTH(Lists!D$22)-MONTH($J60))-(EDATE($J60,((YEAR(Lists!D$22)-YEAR($J60))*12+MONTH(Lists!D$22)-MONTH($J60)))&gt;Lists!D$22)+1)))),N($C60)*IF($AE60-$AD60&lt;1,($AD60&gt;Lists!D$22)*($AD60&lt;=Lists!D$21),MAX(0,MIN(Lists!D$21,$AE60)-MAX(Lists!D$22,$AD60))/($AE60-$AD60))+N($D60)*IF($AG60-$AF60&lt;1,($AF60&gt;Lists!D$22)*($AF60&lt;=Lists!D$21),MAX(0,MIN(Lists!D$21,$AG60)-MAX(Lists!D$22,$AF60))/($AG60-$AF60))+N($E60)*IF($AI60-$AH60&lt;1,($AH60&gt;Lists!D$22)*($AH60&lt;=Lists!D$21),MAX(0,MIN(Lists!D$21,$AI60)-MAX(Lists!D$22,$AH60))/($AI60-$AH60))+N($F60)*IF($AK60-$AJ60&lt;1,($AJ60&gt;Lists!D$22)*($AJ60&lt;=Lists!D$21),MAX(0,MIN(Lists!D$21,$AK60)-MAX(Lists!D$22,$AJ60))/($AK60-$AJ60))+N($G60)*IF($AM60-$AL60&lt;1,($AL60&gt;Lists!D$22)*($AL60&lt;=Lists!D$21),MAX(0,MIN(Lists!D$21,$AM60)-MAX(Lists!D$22,$AL60))/($AM60-$AL60))))))))</f>
        <v>0</v>
      </c>
      <c r="O60" s="53" t="n">
        <f aca="false">IF($H60=0,0,IF($AP60="X",0,IF($AP60="S",$H60/$AO60*(MIN($AO60,MAX(0,INT((Lists!E$21-N($J60))/7)+1))-MIN($AO60,MAX(0,INT((Lists!E$22-N($J60))/7)+1))),IF($AP60="D",$H60*MAX(0,MIN(Lists!E$21,N($J60)+$AO60)-MAX(Lists!E$22,N($J60)))/$AO60,IF($AP60="M",$H60/$AO60*(IF(Lists!E$21&lt;$J60,0,MIN($AO60,(((YEAR(Lists!E$21)-YEAR($J60))*12+MONTH(Lists!E$21)-MONTH($J60))-(EDATE($J60,((YEAR(Lists!E$21)-YEAR($J60))*12+MONTH(Lists!E$21)-MONTH($J60)))&gt;Lists!E$21)+1)))-IF(Lists!E$22&lt;$J60,0,MIN($AO60,(((YEAR(Lists!E$22)-YEAR($J60))*12+MONTH(Lists!E$22)-MONTH($J60))-(EDATE($J60,((YEAR(Lists!E$22)-YEAR($J60))*12+MONTH(Lists!E$22)-MONTH($J60)))&gt;Lists!E$22)+1)))),IF($AP60="F",IF(N($K60)&lt;=0,0,MIN(MAX(0,$H60),N($K60)*IF(Lists!E$21&lt;$J60,0,(((YEAR(Lists!E$21)-YEAR($J60))*12+MONTH(Lists!E$21)-MONTH($J60))-(EDATE($J60,((YEAR(Lists!E$21)-YEAR($J60))*12+MONTH(Lists!E$21)-MONTH($J60)))&gt;Lists!E$21)+1)))-MIN(MAX(0,$H60),N($K60)*IF(Lists!E$22&lt;$J60,0,(((YEAR(Lists!E$22)-YEAR($J60))*12+MONTH(Lists!E$22)-MONTH($J60))-(EDATE($J60,((YEAR(Lists!E$22)-YEAR($J60))*12+MONTH(Lists!E$22)-MONTH($J60)))&gt;Lists!E$22)+1)))),N($C60)*IF($AE60-$AD60&lt;1,($AD60&gt;Lists!E$22)*($AD60&lt;=Lists!E$21),MAX(0,MIN(Lists!E$21,$AE60)-MAX(Lists!E$22,$AD60))/($AE60-$AD60))+N($D60)*IF($AG60-$AF60&lt;1,($AF60&gt;Lists!E$22)*($AF60&lt;=Lists!E$21),MAX(0,MIN(Lists!E$21,$AG60)-MAX(Lists!E$22,$AF60))/($AG60-$AF60))+N($E60)*IF($AI60-$AH60&lt;1,($AH60&gt;Lists!E$22)*($AH60&lt;=Lists!E$21),MAX(0,MIN(Lists!E$21,$AI60)-MAX(Lists!E$22,$AH60))/($AI60-$AH60))+N($F60)*IF($AK60-$AJ60&lt;1,($AJ60&gt;Lists!E$22)*($AJ60&lt;=Lists!E$21),MAX(0,MIN(Lists!E$21,$AK60)-MAX(Lists!E$22,$AJ60))/($AK60-$AJ60))+N($G60)*IF($AM60-$AL60&lt;1,($AL60&gt;Lists!E$22)*($AL60&lt;=Lists!E$21),MAX(0,MIN(Lists!E$21,$AM60)-MAX(Lists!E$22,$AL60))/($AM60-$AL60))))))))</f>
        <v>0</v>
      </c>
      <c r="P60" s="53" t="n">
        <f aca="false">IF($H60=0,0,IF($AP60="X",0,IF($AP60="S",$H60/$AO60*(MIN($AO60,MAX(0,INT((Lists!F$21-N($J60))/7)+1))-MIN($AO60,MAX(0,INT((Lists!F$22-N($J60))/7)+1))),IF($AP60="D",$H60*MAX(0,MIN(Lists!F$21,N($J60)+$AO60)-MAX(Lists!F$22,N($J60)))/$AO60,IF($AP60="M",$H60/$AO60*(IF(Lists!F$21&lt;$J60,0,MIN($AO60,(((YEAR(Lists!F$21)-YEAR($J60))*12+MONTH(Lists!F$21)-MONTH($J60))-(EDATE($J60,((YEAR(Lists!F$21)-YEAR($J60))*12+MONTH(Lists!F$21)-MONTH($J60)))&gt;Lists!F$21)+1)))-IF(Lists!F$22&lt;$J60,0,MIN($AO60,(((YEAR(Lists!F$22)-YEAR($J60))*12+MONTH(Lists!F$22)-MONTH($J60))-(EDATE($J60,((YEAR(Lists!F$22)-YEAR($J60))*12+MONTH(Lists!F$22)-MONTH($J60)))&gt;Lists!F$22)+1)))),IF($AP60="F",IF(N($K60)&lt;=0,0,MIN(MAX(0,$H60),N($K60)*IF(Lists!F$21&lt;$J60,0,(((YEAR(Lists!F$21)-YEAR($J60))*12+MONTH(Lists!F$21)-MONTH($J60))-(EDATE($J60,((YEAR(Lists!F$21)-YEAR($J60))*12+MONTH(Lists!F$21)-MONTH($J60)))&gt;Lists!F$21)+1)))-MIN(MAX(0,$H60),N($K60)*IF(Lists!F$22&lt;$J60,0,(((YEAR(Lists!F$22)-YEAR($J60))*12+MONTH(Lists!F$22)-MONTH($J60))-(EDATE($J60,((YEAR(Lists!F$22)-YEAR($J60))*12+MONTH(Lists!F$22)-MONTH($J60)))&gt;Lists!F$22)+1)))),N($C60)*IF($AE60-$AD60&lt;1,($AD60&gt;Lists!F$22)*($AD60&lt;=Lists!F$21),MAX(0,MIN(Lists!F$21,$AE60)-MAX(Lists!F$22,$AD60))/($AE60-$AD60))+N($D60)*IF($AG60-$AF60&lt;1,($AF60&gt;Lists!F$22)*($AF60&lt;=Lists!F$21),MAX(0,MIN(Lists!F$21,$AG60)-MAX(Lists!F$22,$AF60))/($AG60-$AF60))+N($E60)*IF($AI60-$AH60&lt;1,($AH60&gt;Lists!F$22)*($AH60&lt;=Lists!F$21),MAX(0,MIN(Lists!F$21,$AI60)-MAX(Lists!F$22,$AH60))/($AI60-$AH60))+N($F60)*IF($AK60-$AJ60&lt;1,($AJ60&gt;Lists!F$22)*($AJ60&lt;=Lists!F$21),MAX(0,MIN(Lists!F$21,$AK60)-MAX(Lists!F$22,$AJ60))/($AK60-$AJ60))+N($G60)*IF($AM60-$AL60&lt;1,($AL60&gt;Lists!F$22)*($AL60&lt;=Lists!F$21),MAX(0,MIN(Lists!F$21,$AM60)-MAX(Lists!F$22,$AL60))/($AM60-$AL60))))))))</f>
        <v>0</v>
      </c>
      <c r="Q60" s="53" t="n">
        <f aca="false">IF($H60=0,0,IF($AP60="X",0,IF($AP60="S",$H60/$AO60*(MIN($AO60,MAX(0,INT((Lists!G$21-N($J60))/7)+1))-MIN($AO60,MAX(0,INT((Lists!G$22-N($J60))/7)+1))),IF($AP60="D",$H60*MAX(0,MIN(Lists!G$21,N($J60)+$AO60)-MAX(Lists!G$22,N($J60)))/$AO60,IF($AP60="M",$H60/$AO60*(IF(Lists!G$21&lt;$J60,0,MIN($AO60,(((YEAR(Lists!G$21)-YEAR($J60))*12+MONTH(Lists!G$21)-MONTH($J60))-(EDATE($J60,((YEAR(Lists!G$21)-YEAR($J60))*12+MONTH(Lists!G$21)-MONTH($J60)))&gt;Lists!G$21)+1)))-IF(Lists!G$22&lt;$J60,0,MIN($AO60,(((YEAR(Lists!G$22)-YEAR($J60))*12+MONTH(Lists!G$22)-MONTH($J60))-(EDATE($J60,((YEAR(Lists!G$22)-YEAR($J60))*12+MONTH(Lists!G$22)-MONTH($J60)))&gt;Lists!G$22)+1)))),IF($AP60="F",IF(N($K60)&lt;=0,0,MIN(MAX(0,$H60),N($K60)*IF(Lists!G$21&lt;$J60,0,(((YEAR(Lists!G$21)-YEAR($J60))*12+MONTH(Lists!G$21)-MONTH($J60))-(EDATE($J60,((YEAR(Lists!G$21)-YEAR($J60))*12+MONTH(Lists!G$21)-MONTH($J60)))&gt;Lists!G$21)+1)))-MIN(MAX(0,$H60),N($K60)*IF(Lists!G$22&lt;$J60,0,(((YEAR(Lists!G$22)-YEAR($J60))*12+MONTH(Lists!G$22)-MONTH($J60))-(EDATE($J60,((YEAR(Lists!G$22)-YEAR($J60))*12+MONTH(Lists!G$22)-MONTH($J60)))&gt;Lists!G$22)+1)))),N($C60)*IF($AE60-$AD60&lt;1,($AD60&gt;Lists!G$22)*($AD60&lt;=Lists!G$21),MAX(0,MIN(Lists!G$21,$AE60)-MAX(Lists!G$22,$AD60))/($AE60-$AD60))+N($D60)*IF($AG60-$AF60&lt;1,($AF60&gt;Lists!G$22)*($AF60&lt;=Lists!G$21),MAX(0,MIN(Lists!G$21,$AG60)-MAX(Lists!G$22,$AF60))/($AG60-$AF60))+N($E60)*IF($AI60-$AH60&lt;1,($AH60&gt;Lists!G$22)*($AH60&lt;=Lists!G$21),MAX(0,MIN(Lists!G$21,$AI60)-MAX(Lists!G$22,$AH60))/($AI60-$AH60))+N($F60)*IF($AK60-$AJ60&lt;1,($AJ60&gt;Lists!G$22)*($AJ60&lt;=Lists!G$21),MAX(0,MIN(Lists!G$21,$AK60)-MAX(Lists!G$22,$AJ60))/($AK60-$AJ60))+N($G60)*IF($AM60-$AL60&lt;1,($AL60&gt;Lists!G$22)*($AL60&lt;=Lists!G$21),MAX(0,MIN(Lists!G$21,$AM60)-MAX(Lists!G$22,$AL60))/($AM60-$AL60))))))))</f>
        <v>0</v>
      </c>
      <c r="R60" s="53" t="n">
        <f aca="false">IF($H60=0,0,IF($AP60="X",0,IF($AP60="S",$H60/$AO60*(MIN($AO60,MAX(0,INT((Lists!H$21-N($J60))/7)+1))-MIN($AO60,MAX(0,INT((Lists!H$22-N($J60))/7)+1))),IF($AP60="D",$H60*MAX(0,MIN(Lists!H$21,N($J60)+$AO60)-MAX(Lists!H$22,N($J60)))/$AO60,IF($AP60="M",$H60/$AO60*(IF(Lists!H$21&lt;$J60,0,MIN($AO60,(((YEAR(Lists!H$21)-YEAR($J60))*12+MONTH(Lists!H$21)-MONTH($J60))-(EDATE($J60,((YEAR(Lists!H$21)-YEAR($J60))*12+MONTH(Lists!H$21)-MONTH($J60)))&gt;Lists!H$21)+1)))-IF(Lists!H$22&lt;$J60,0,MIN($AO60,(((YEAR(Lists!H$22)-YEAR($J60))*12+MONTH(Lists!H$22)-MONTH($J60))-(EDATE($J60,((YEAR(Lists!H$22)-YEAR($J60))*12+MONTH(Lists!H$22)-MONTH($J60)))&gt;Lists!H$22)+1)))),IF($AP60="F",IF(N($K60)&lt;=0,0,MIN(MAX(0,$H60),N($K60)*IF(Lists!H$21&lt;$J60,0,(((YEAR(Lists!H$21)-YEAR($J60))*12+MONTH(Lists!H$21)-MONTH($J60))-(EDATE($J60,((YEAR(Lists!H$21)-YEAR($J60))*12+MONTH(Lists!H$21)-MONTH($J60)))&gt;Lists!H$21)+1)))-MIN(MAX(0,$H60),N($K60)*IF(Lists!H$22&lt;$J60,0,(((YEAR(Lists!H$22)-YEAR($J60))*12+MONTH(Lists!H$22)-MONTH($J60))-(EDATE($J60,((YEAR(Lists!H$22)-YEAR($J60))*12+MONTH(Lists!H$22)-MONTH($J60)))&gt;Lists!H$22)+1)))),N($C60)*IF($AE60-$AD60&lt;1,($AD60&gt;Lists!H$22)*($AD60&lt;=Lists!H$21),MAX(0,MIN(Lists!H$21,$AE60)-MAX(Lists!H$22,$AD60))/($AE60-$AD60))+N($D60)*IF($AG60-$AF60&lt;1,($AF60&gt;Lists!H$22)*($AF60&lt;=Lists!H$21),MAX(0,MIN(Lists!H$21,$AG60)-MAX(Lists!H$22,$AF60))/($AG60-$AF60))+N($E60)*IF($AI60-$AH60&lt;1,($AH60&gt;Lists!H$22)*($AH60&lt;=Lists!H$21),MAX(0,MIN(Lists!H$21,$AI60)-MAX(Lists!H$22,$AH60))/($AI60-$AH60))+N($F60)*IF($AK60-$AJ60&lt;1,($AJ60&gt;Lists!H$22)*($AJ60&lt;=Lists!H$21),MAX(0,MIN(Lists!H$21,$AK60)-MAX(Lists!H$22,$AJ60))/($AK60-$AJ60))+N($G60)*IF($AM60-$AL60&lt;1,($AL60&gt;Lists!H$22)*($AL60&lt;=Lists!H$21),MAX(0,MIN(Lists!H$21,$AM60)-MAX(Lists!H$22,$AL60))/($AM60-$AL60))))))))</f>
        <v>0</v>
      </c>
      <c r="S60" s="53" t="n">
        <f aca="false">IF($H60=0,0,IF($AP60="X",0,IF($AP60="S",$H60/$AO60*(MIN($AO60,MAX(0,INT((Lists!I$21-N($J60))/7)+1))-MIN($AO60,MAX(0,INT((Lists!I$22-N($J60))/7)+1))),IF($AP60="D",$H60*MAX(0,MIN(Lists!I$21,N($J60)+$AO60)-MAX(Lists!I$22,N($J60)))/$AO60,IF($AP60="M",$H60/$AO60*(IF(Lists!I$21&lt;$J60,0,MIN($AO60,(((YEAR(Lists!I$21)-YEAR($J60))*12+MONTH(Lists!I$21)-MONTH($J60))-(EDATE($J60,((YEAR(Lists!I$21)-YEAR($J60))*12+MONTH(Lists!I$21)-MONTH($J60)))&gt;Lists!I$21)+1)))-IF(Lists!I$22&lt;$J60,0,MIN($AO60,(((YEAR(Lists!I$22)-YEAR($J60))*12+MONTH(Lists!I$22)-MONTH($J60))-(EDATE($J60,((YEAR(Lists!I$22)-YEAR($J60))*12+MONTH(Lists!I$22)-MONTH($J60)))&gt;Lists!I$22)+1)))),IF($AP60="F",IF(N($K60)&lt;=0,0,MIN(MAX(0,$H60),N($K60)*IF(Lists!I$21&lt;$J60,0,(((YEAR(Lists!I$21)-YEAR($J60))*12+MONTH(Lists!I$21)-MONTH($J60))-(EDATE($J60,((YEAR(Lists!I$21)-YEAR($J60))*12+MONTH(Lists!I$21)-MONTH($J60)))&gt;Lists!I$21)+1)))-MIN(MAX(0,$H60),N($K60)*IF(Lists!I$22&lt;$J60,0,(((YEAR(Lists!I$22)-YEAR($J60))*12+MONTH(Lists!I$22)-MONTH($J60))-(EDATE($J60,((YEAR(Lists!I$22)-YEAR($J60))*12+MONTH(Lists!I$22)-MONTH($J60)))&gt;Lists!I$22)+1)))),N($C60)*IF($AE60-$AD60&lt;1,($AD60&gt;Lists!I$22)*($AD60&lt;=Lists!I$21),MAX(0,MIN(Lists!I$21,$AE60)-MAX(Lists!I$22,$AD60))/($AE60-$AD60))+N($D60)*IF($AG60-$AF60&lt;1,($AF60&gt;Lists!I$22)*($AF60&lt;=Lists!I$21),MAX(0,MIN(Lists!I$21,$AG60)-MAX(Lists!I$22,$AF60))/($AG60-$AF60))+N($E60)*IF($AI60-$AH60&lt;1,($AH60&gt;Lists!I$22)*($AH60&lt;=Lists!I$21),MAX(0,MIN(Lists!I$21,$AI60)-MAX(Lists!I$22,$AH60))/($AI60-$AH60))+N($F60)*IF($AK60-$AJ60&lt;1,($AJ60&gt;Lists!I$22)*($AJ60&lt;=Lists!I$21),MAX(0,MIN(Lists!I$21,$AK60)-MAX(Lists!I$22,$AJ60))/($AK60-$AJ60))+N($G60)*IF($AM60-$AL60&lt;1,($AL60&gt;Lists!I$22)*($AL60&lt;=Lists!I$21),MAX(0,MIN(Lists!I$21,$AM60)-MAX(Lists!I$22,$AL60))/($AM60-$AL60))))))))</f>
        <v>0</v>
      </c>
      <c r="T60" s="53" t="n">
        <f aca="false">IF($H60=0,0,IF($AP60="X",0,IF($AP60="S",$H60/$AO60*(MIN($AO60,MAX(0,INT((Lists!J$21-N($J60))/7)+1))-MIN($AO60,MAX(0,INT((Lists!J$22-N($J60))/7)+1))),IF($AP60="D",$H60*MAX(0,MIN(Lists!J$21,N($J60)+$AO60)-MAX(Lists!J$22,N($J60)))/$AO60,IF($AP60="M",$H60/$AO60*(IF(Lists!J$21&lt;$J60,0,MIN($AO60,(((YEAR(Lists!J$21)-YEAR($J60))*12+MONTH(Lists!J$21)-MONTH($J60))-(EDATE($J60,((YEAR(Lists!J$21)-YEAR($J60))*12+MONTH(Lists!J$21)-MONTH($J60)))&gt;Lists!J$21)+1)))-IF(Lists!J$22&lt;$J60,0,MIN($AO60,(((YEAR(Lists!J$22)-YEAR($J60))*12+MONTH(Lists!J$22)-MONTH($J60))-(EDATE($J60,((YEAR(Lists!J$22)-YEAR($J60))*12+MONTH(Lists!J$22)-MONTH($J60)))&gt;Lists!J$22)+1)))),IF($AP60="F",IF(N($K60)&lt;=0,0,MIN(MAX(0,$H60),N($K60)*IF(Lists!J$21&lt;$J60,0,(((YEAR(Lists!J$21)-YEAR($J60))*12+MONTH(Lists!J$21)-MONTH($J60))-(EDATE($J60,((YEAR(Lists!J$21)-YEAR($J60))*12+MONTH(Lists!J$21)-MONTH($J60)))&gt;Lists!J$21)+1)))-MIN(MAX(0,$H60),N($K60)*IF(Lists!J$22&lt;$J60,0,(((YEAR(Lists!J$22)-YEAR($J60))*12+MONTH(Lists!J$22)-MONTH($J60))-(EDATE($J60,((YEAR(Lists!J$22)-YEAR($J60))*12+MONTH(Lists!J$22)-MONTH($J60)))&gt;Lists!J$22)+1)))),N($C60)*IF($AE60-$AD60&lt;1,($AD60&gt;Lists!J$22)*($AD60&lt;=Lists!J$21),MAX(0,MIN(Lists!J$21,$AE60)-MAX(Lists!J$22,$AD60))/($AE60-$AD60))+N($D60)*IF($AG60-$AF60&lt;1,($AF60&gt;Lists!J$22)*($AF60&lt;=Lists!J$21),MAX(0,MIN(Lists!J$21,$AG60)-MAX(Lists!J$22,$AF60))/($AG60-$AF60))+N($E60)*IF($AI60-$AH60&lt;1,($AH60&gt;Lists!J$22)*($AH60&lt;=Lists!J$21),MAX(0,MIN(Lists!J$21,$AI60)-MAX(Lists!J$22,$AH60))/($AI60-$AH60))+N($F60)*IF($AK60-$AJ60&lt;1,($AJ60&gt;Lists!J$22)*($AJ60&lt;=Lists!J$21),MAX(0,MIN(Lists!J$21,$AK60)-MAX(Lists!J$22,$AJ60))/($AK60-$AJ60))+N($G60)*IF($AM60-$AL60&lt;1,($AL60&gt;Lists!J$22)*($AL60&lt;=Lists!J$21),MAX(0,MIN(Lists!J$21,$AM60)-MAX(Lists!J$22,$AL60))/($AM60-$AL60))))))))</f>
        <v>0</v>
      </c>
      <c r="U60" s="53" t="n">
        <f aca="false">IF($H60=0,0,IF($AP60="X",0,IF($AP60="S",$H60/$AO60*(MIN($AO60,MAX(0,INT((Lists!K$21-N($J60))/7)+1))-MIN($AO60,MAX(0,INT((Lists!K$22-N($J60))/7)+1))),IF($AP60="D",$H60*MAX(0,MIN(Lists!K$21,N($J60)+$AO60)-MAX(Lists!K$22,N($J60)))/$AO60,IF($AP60="M",$H60/$AO60*(IF(Lists!K$21&lt;$J60,0,MIN($AO60,(((YEAR(Lists!K$21)-YEAR($J60))*12+MONTH(Lists!K$21)-MONTH($J60))-(EDATE($J60,((YEAR(Lists!K$21)-YEAR($J60))*12+MONTH(Lists!K$21)-MONTH($J60)))&gt;Lists!K$21)+1)))-IF(Lists!K$22&lt;$J60,0,MIN($AO60,(((YEAR(Lists!K$22)-YEAR($J60))*12+MONTH(Lists!K$22)-MONTH($J60))-(EDATE($J60,((YEAR(Lists!K$22)-YEAR($J60))*12+MONTH(Lists!K$22)-MONTH($J60)))&gt;Lists!K$22)+1)))),IF($AP60="F",IF(N($K60)&lt;=0,0,MIN(MAX(0,$H60),N($K60)*IF(Lists!K$21&lt;$J60,0,(((YEAR(Lists!K$21)-YEAR($J60))*12+MONTH(Lists!K$21)-MONTH($J60))-(EDATE($J60,((YEAR(Lists!K$21)-YEAR($J60))*12+MONTH(Lists!K$21)-MONTH($J60)))&gt;Lists!K$21)+1)))-MIN(MAX(0,$H60),N($K60)*IF(Lists!K$22&lt;$J60,0,(((YEAR(Lists!K$22)-YEAR($J60))*12+MONTH(Lists!K$22)-MONTH($J60))-(EDATE($J60,((YEAR(Lists!K$22)-YEAR($J60))*12+MONTH(Lists!K$22)-MONTH($J60)))&gt;Lists!K$22)+1)))),N($C60)*IF($AE60-$AD60&lt;1,($AD60&gt;Lists!K$22)*($AD60&lt;=Lists!K$21),MAX(0,MIN(Lists!K$21,$AE60)-MAX(Lists!K$22,$AD60))/($AE60-$AD60))+N($D60)*IF($AG60-$AF60&lt;1,($AF60&gt;Lists!K$22)*($AF60&lt;=Lists!K$21),MAX(0,MIN(Lists!K$21,$AG60)-MAX(Lists!K$22,$AF60))/($AG60-$AF60))+N($E60)*IF($AI60-$AH60&lt;1,($AH60&gt;Lists!K$22)*($AH60&lt;=Lists!K$21),MAX(0,MIN(Lists!K$21,$AI60)-MAX(Lists!K$22,$AH60))/($AI60-$AH60))+N($F60)*IF($AK60-$AJ60&lt;1,($AJ60&gt;Lists!K$22)*($AJ60&lt;=Lists!K$21),MAX(0,MIN(Lists!K$21,$AK60)-MAX(Lists!K$22,$AJ60))/($AK60-$AJ60))+N($G60)*IF($AM60-$AL60&lt;1,($AL60&gt;Lists!K$22)*($AL60&lt;=Lists!K$21),MAX(0,MIN(Lists!K$21,$AM60)-MAX(Lists!K$22,$AL60))/($AM60-$AL60))))))))</f>
        <v>0</v>
      </c>
      <c r="V60" s="53" t="n">
        <f aca="false">IF($H60=0,0,IF($AP60="X",0,IF($AP60="S",$H60/$AO60*(MIN($AO60,MAX(0,INT((Lists!L$21-N($J60))/7)+1))-MIN($AO60,MAX(0,INT((Lists!L$22-N($J60))/7)+1))),IF($AP60="D",$H60*MAX(0,MIN(Lists!L$21,N($J60)+$AO60)-MAX(Lists!L$22,N($J60)))/$AO60,IF($AP60="M",$H60/$AO60*(IF(Lists!L$21&lt;$J60,0,MIN($AO60,(((YEAR(Lists!L$21)-YEAR($J60))*12+MONTH(Lists!L$21)-MONTH($J60))-(EDATE($J60,((YEAR(Lists!L$21)-YEAR($J60))*12+MONTH(Lists!L$21)-MONTH($J60)))&gt;Lists!L$21)+1)))-IF(Lists!L$22&lt;$J60,0,MIN($AO60,(((YEAR(Lists!L$22)-YEAR($J60))*12+MONTH(Lists!L$22)-MONTH($J60))-(EDATE($J60,((YEAR(Lists!L$22)-YEAR($J60))*12+MONTH(Lists!L$22)-MONTH($J60)))&gt;Lists!L$22)+1)))),IF($AP60="F",IF(N($K60)&lt;=0,0,MIN(MAX(0,$H60),N($K60)*IF(Lists!L$21&lt;$J60,0,(((YEAR(Lists!L$21)-YEAR($J60))*12+MONTH(Lists!L$21)-MONTH($J60))-(EDATE($J60,((YEAR(Lists!L$21)-YEAR($J60))*12+MONTH(Lists!L$21)-MONTH($J60)))&gt;Lists!L$21)+1)))-MIN(MAX(0,$H60),N($K60)*IF(Lists!L$22&lt;$J60,0,(((YEAR(Lists!L$22)-YEAR($J60))*12+MONTH(Lists!L$22)-MONTH($J60))-(EDATE($J60,((YEAR(Lists!L$22)-YEAR($J60))*12+MONTH(Lists!L$22)-MONTH($J60)))&gt;Lists!L$22)+1)))),N($C60)*IF($AE60-$AD60&lt;1,($AD60&gt;Lists!L$22)*($AD60&lt;=Lists!L$21),MAX(0,MIN(Lists!L$21,$AE60)-MAX(Lists!L$22,$AD60))/($AE60-$AD60))+N($D60)*IF($AG60-$AF60&lt;1,($AF60&gt;Lists!L$22)*($AF60&lt;=Lists!L$21),MAX(0,MIN(Lists!L$21,$AG60)-MAX(Lists!L$22,$AF60))/($AG60-$AF60))+N($E60)*IF($AI60-$AH60&lt;1,($AH60&gt;Lists!L$22)*($AH60&lt;=Lists!L$21),MAX(0,MIN(Lists!L$21,$AI60)-MAX(Lists!L$22,$AH60))/($AI60-$AH60))+N($F60)*IF($AK60-$AJ60&lt;1,($AJ60&gt;Lists!L$22)*($AJ60&lt;=Lists!L$21),MAX(0,MIN(Lists!L$21,$AK60)-MAX(Lists!L$22,$AJ60))/($AK60-$AJ60))+N($G60)*IF($AM60-$AL60&lt;1,($AL60&gt;Lists!L$22)*($AL60&lt;=Lists!L$21),MAX(0,MIN(Lists!L$21,$AM60)-MAX(Lists!L$22,$AL60))/($AM60-$AL60))))))))</f>
        <v>0</v>
      </c>
      <c r="W60" s="53" t="n">
        <f aca="false">IF($H60=0,0,IF($AP60="X",0,IF($AP60="S",$H60/$AO60*(MIN($AO60,MAX(0,INT((Lists!M$21-N($J60))/7)+1))-MIN($AO60,MAX(0,INT((Lists!M$22-N($J60))/7)+1))),IF($AP60="D",$H60*MAX(0,MIN(Lists!M$21,N($J60)+$AO60)-MAX(Lists!M$22,N($J60)))/$AO60,IF($AP60="M",$H60/$AO60*(IF(Lists!M$21&lt;$J60,0,MIN($AO60,(((YEAR(Lists!M$21)-YEAR($J60))*12+MONTH(Lists!M$21)-MONTH($J60))-(EDATE($J60,((YEAR(Lists!M$21)-YEAR($J60))*12+MONTH(Lists!M$21)-MONTH($J60)))&gt;Lists!M$21)+1)))-IF(Lists!M$22&lt;$J60,0,MIN($AO60,(((YEAR(Lists!M$22)-YEAR($J60))*12+MONTH(Lists!M$22)-MONTH($J60))-(EDATE($J60,((YEAR(Lists!M$22)-YEAR($J60))*12+MONTH(Lists!M$22)-MONTH($J60)))&gt;Lists!M$22)+1)))),IF($AP60="F",IF(N($K60)&lt;=0,0,MIN(MAX(0,$H60),N($K60)*IF(Lists!M$21&lt;$J60,0,(((YEAR(Lists!M$21)-YEAR($J60))*12+MONTH(Lists!M$21)-MONTH($J60))-(EDATE($J60,((YEAR(Lists!M$21)-YEAR($J60))*12+MONTH(Lists!M$21)-MONTH($J60)))&gt;Lists!M$21)+1)))-MIN(MAX(0,$H60),N($K60)*IF(Lists!M$22&lt;$J60,0,(((YEAR(Lists!M$22)-YEAR($J60))*12+MONTH(Lists!M$22)-MONTH($J60))-(EDATE($J60,((YEAR(Lists!M$22)-YEAR($J60))*12+MONTH(Lists!M$22)-MONTH($J60)))&gt;Lists!M$22)+1)))),N($C60)*IF($AE60-$AD60&lt;1,($AD60&gt;Lists!M$22)*($AD60&lt;=Lists!M$21),MAX(0,MIN(Lists!M$21,$AE60)-MAX(Lists!M$22,$AD60))/($AE60-$AD60))+N($D60)*IF($AG60-$AF60&lt;1,($AF60&gt;Lists!M$22)*($AF60&lt;=Lists!M$21),MAX(0,MIN(Lists!M$21,$AG60)-MAX(Lists!M$22,$AF60))/($AG60-$AF60))+N($E60)*IF($AI60-$AH60&lt;1,($AH60&gt;Lists!M$22)*($AH60&lt;=Lists!M$21),MAX(0,MIN(Lists!M$21,$AI60)-MAX(Lists!M$22,$AH60))/($AI60-$AH60))+N($F60)*IF($AK60-$AJ60&lt;1,($AJ60&gt;Lists!M$22)*($AJ60&lt;=Lists!M$21),MAX(0,MIN(Lists!M$21,$AK60)-MAX(Lists!M$22,$AJ60))/($AK60-$AJ60))+N($G60)*IF($AM60-$AL60&lt;1,($AL60&gt;Lists!M$22)*($AL60&lt;=Lists!M$21),MAX(0,MIN(Lists!M$21,$AM60)-MAX(Lists!M$22,$AL60))/($AM60-$AL60))))))))</f>
        <v>0</v>
      </c>
      <c r="X60" s="53" t="n">
        <f aca="false">IF($H60=0,0,IF($AP60="X",0,IF($AP60="S",$H60/$AO60*(MIN($AO60,MAX(0,INT((Lists!N$21-N($J60))/7)+1))-MIN($AO60,MAX(0,INT((Lists!N$22-N($J60))/7)+1))),IF($AP60="D",$H60*MAX(0,MIN(Lists!N$21,N($J60)+$AO60)-MAX(Lists!N$22,N($J60)))/$AO60,IF($AP60="M",$H60/$AO60*(IF(Lists!N$21&lt;$J60,0,MIN($AO60,(((YEAR(Lists!N$21)-YEAR($J60))*12+MONTH(Lists!N$21)-MONTH($J60))-(EDATE($J60,((YEAR(Lists!N$21)-YEAR($J60))*12+MONTH(Lists!N$21)-MONTH($J60)))&gt;Lists!N$21)+1)))-IF(Lists!N$22&lt;$J60,0,MIN($AO60,(((YEAR(Lists!N$22)-YEAR($J60))*12+MONTH(Lists!N$22)-MONTH($J60))-(EDATE($J60,((YEAR(Lists!N$22)-YEAR($J60))*12+MONTH(Lists!N$22)-MONTH($J60)))&gt;Lists!N$22)+1)))),IF($AP60="F",IF(N($K60)&lt;=0,0,MIN(MAX(0,$H60),N($K60)*IF(Lists!N$21&lt;$J60,0,(((YEAR(Lists!N$21)-YEAR($J60))*12+MONTH(Lists!N$21)-MONTH($J60))-(EDATE($J60,((YEAR(Lists!N$21)-YEAR($J60))*12+MONTH(Lists!N$21)-MONTH($J60)))&gt;Lists!N$21)+1)))-MIN(MAX(0,$H60),N($K60)*IF(Lists!N$22&lt;$J60,0,(((YEAR(Lists!N$22)-YEAR($J60))*12+MONTH(Lists!N$22)-MONTH($J60))-(EDATE($J60,((YEAR(Lists!N$22)-YEAR($J60))*12+MONTH(Lists!N$22)-MONTH($J60)))&gt;Lists!N$22)+1)))),N($C60)*IF($AE60-$AD60&lt;1,($AD60&gt;Lists!N$22)*($AD60&lt;=Lists!N$21),MAX(0,MIN(Lists!N$21,$AE60)-MAX(Lists!N$22,$AD60))/($AE60-$AD60))+N($D60)*IF($AG60-$AF60&lt;1,($AF60&gt;Lists!N$22)*($AF60&lt;=Lists!N$21),MAX(0,MIN(Lists!N$21,$AG60)-MAX(Lists!N$22,$AF60))/($AG60-$AF60))+N($E60)*IF($AI60-$AH60&lt;1,($AH60&gt;Lists!N$22)*($AH60&lt;=Lists!N$21),MAX(0,MIN(Lists!N$21,$AI60)-MAX(Lists!N$22,$AH60))/($AI60-$AH60))+N($F60)*IF($AK60-$AJ60&lt;1,($AJ60&gt;Lists!N$22)*($AJ60&lt;=Lists!N$21),MAX(0,MIN(Lists!N$21,$AK60)-MAX(Lists!N$22,$AJ60))/($AK60-$AJ60))+N($G60)*IF($AM60-$AL60&lt;1,($AL60&gt;Lists!N$22)*($AL60&lt;=Lists!N$21),MAX(0,MIN(Lists!N$21,$AM60)-MAX(Lists!N$22,$AL60))/($AM60-$AL60))))))))</f>
        <v>0</v>
      </c>
      <c r="Y60" s="53" t="n">
        <f aca="false">IF($H60=0,0,IF($AP60="X",0,IF($AP60="S",$H60/$AO60*(MIN($AO60,MAX(0,INT((Lists!O$21-N($J60))/7)+1))-MIN($AO60,MAX(0,INT((Lists!O$22-N($J60))/7)+1))),IF($AP60="D",$H60*MAX(0,MIN(Lists!O$21,N($J60)+$AO60)-MAX(Lists!O$22,N($J60)))/$AO60,IF($AP60="M",$H60/$AO60*(IF(Lists!O$21&lt;$J60,0,MIN($AO60,(((YEAR(Lists!O$21)-YEAR($J60))*12+MONTH(Lists!O$21)-MONTH($J60))-(EDATE($J60,((YEAR(Lists!O$21)-YEAR($J60))*12+MONTH(Lists!O$21)-MONTH($J60)))&gt;Lists!O$21)+1)))-IF(Lists!O$22&lt;$J60,0,MIN($AO60,(((YEAR(Lists!O$22)-YEAR($J60))*12+MONTH(Lists!O$22)-MONTH($J60))-(EDATE($J60,((YEAR(Lists!O$22)-YEAR($J60))*12+MONTH(Lists!O$22)-MONTH($J60)))&gt;Lists!O$22)+1)))),IF($AP60="F",IF(N($K60)&lt;=0,0,MIN(MAX(0,$H60),N($K60)*IF(Lists!O$21&lt;$J60,0,(((YEAR(Lists!O$21)-YEAR($J60))*12+MONTH(Lists!O$21)-MONTH($J60))-(EDATE($J60,((YEAR(Lists!O$21)-YEAR($J60))*12+MONTH(Lists!O$21)-MONTH($J60)))&gt;Lists!O$21)+1)))-MIN(MAX(0,$H60),N($K60)*IF(Lists!O$22&lt;$J60,0,(((YEAR(Lists!O$22)-YEAR($J60))*12+MONTH(Lists!O$22)-MONTH($J60))-(EDATE($J60,((YEAR(Lists!O$22)-YEAR($J60))*12+MONTH(Lists!O$22)-MONTH($J60)))&gt;Lists!O$22)+1)))),N($C60)*IF($AE60-$AD60&lt;1,($AD60&gt;Lists!O$22)*($AD60&lt;=Lists!O$21),MAX(0,MIN(Lists!O$21,$AE60)-MAX(Lists!O$22,$AD60))/($AE60-$AD60))+N($D60)*IF($AG60-$AF60&lt;1,($AF60&gt;Lists!O$22)*($AF60&lt;=Lists!O$21),MAX(0,MIN(Lists!O$21,$AG60)-MAX(Lists!O$22,$AF60))/($AG60-$AF60))+N($E60)*IF($AI60-$AH60&lt;1,($AH60&gt;Lists!O$22)*($AH60&lt;=Lists!O$21),MAX(0,MIN(Lists!O$21,$AI60)-MAX(Lists!O$22,$AH60))/($AI60-$AH60))+N($F60)*IF($AK60-$AJ60&lt;1,($AJ60&gt;Lists!O$22)*($AJ60&lt;=Lists!O$21),MAX(0,MIN(Lists!O$21,$AK60)-MAX(Lists!O$22,$AJ60))/($AK60-$AJ60))+N($G60)*IF($AM60-$AL60&lt;1,($AL60&gt;Lists!O$22)*($AL60&lt;=Lists!O$21),MAX(0,MIN(Lists!O$21,$AM60)-MAX(Lists!O$22,$AL60))/($AM60-$AL60))))))))</f>
        <v>0</v>
      </c>
      <c r="Z60" s="46" t="n">
        <f aca="false">SUM(M60:Y60)</f>
        <v>0</v>
      </c>
      <c r="AA60" s="92" t="n">
        <f aca="false">H60-Z60</f>
        <v>0</v>
      </c>
      <c r="AB60" s="55"/>
      <c r="AC60" s="2"/>
      <c r="AD60" s="93" t="n">
        <f aca="false">Setup!$D$10+MAX(0,$AN60-30)</f>
        <v>46345</v>
      </c>
      <c r="AE60" s="93" t="n">
        <f aca="false">Setup!$D$10+IF($AN60-30&lt;0,MAX(Setup!$D$22,$AN60-0),$AN60-0)</f>
        <v>46375</v>
      </c>
      <c r="AF60" s="93" t="n">
        <f aca="false">Setup!$D$10+MAX(0,$AN60-60)</f>
        <v>46335</v>
      </c>
      <c r="AG60" s="93" t="n">
        <f aca="false">Setup!$D$10+IF($AN60-60&lt;0,MAX(Setup!$D$22,$AN60-31),$AN60-31)</f>
        <v>46363</v>
      </c>
      <c r="AH60" s="93" t="n">
        <f aca="false">Setup!$D$10+MAX(0,$AN60-90)</f>
        <v>46335</v>
      </c>
      <c r="AI60" s="93" t="n">
        <f aca="false">Setup!$D$10+IF($AN60-90&lt;0,MAX(Setup!$D$22,$AN60-61),$AN60-61)</f>
        <v>46363</v>
      </c>
      <c r="AJ60" s="93" t="n">
        <f aca="false">Setup!$D$10+MAX(0,$AN60-120)</f>
        <v>46335</v>
      </c>
      <c r="AK60" s="93" t="n">
        <f aca="false">Setup!$D$10+IF($AN60-120&lt;0,MAX(Setup!$D$22,$AN60-91),$AN60-91)</f>
        <v>46363</v>
      </c>
      <c r="AL60" s="93" t="n">
        <f aca="false">Setup!$D$10</f>
        <v>46335</v>
      </c>
      <c r="AM60" s="93" t="n">
        <f aca="false">IF(AL60=2958465,AL60,Setup!$D$10+Setup!$D$22)</f>
        <v>46363</v>
      </c>
      <c r="AN60" s="94" t="n">
        <f aca="false">IF(N(L60)=0,Setup!$D$21,L60)</f>
        <v>40</v>
      </c>
      <c r="AO60" s="94" t="n">
        <f aca="false">MAX(1,ROUND(N(K60),0))</f>
        <v>1</v>
      </c>
      <c r="AP60" s="95" t="str">
        <f aca="false">IF(I60="On hold","X",IF(N(J60)=0,"A",IF(I60="Specific date","S",IF(I60="Spread over days","D",IF(I60="Monthly on set day","M",IF(I60="Monthly fixed amount","F","A"))))))</f>
        <v>A</v>
      </c>
    </row>
    <row r="61" customFormat="false" ht="15" hidden="false" customHeight="false" outlineLevel="0" collapsed="false">
      <c r="A61" s="87" t="n">
        <v>53</v>
      </c>
      <c r="B61" s="55"/>
      <c r="C61" s="88"/>
      <c r="D61" s="88"/>
      <c r="E61" s="88"/>
      <c r="F61" s="88"/>
      <c r="G61" s="88"/>
      <c r="H61" s="89" t="n">
        <f aca="false">SUM(C61:G61)</f>
        <v>0</v>
      </c>
      <c r="I61" s="58"/>
      <c r="J61" s="90"/>
      <c r="K61" s="91"/>
      <c r="L61" s="80"/>
      <c r="M61" s="53" t="n">
        <f aca="false">IF($H61=0,0,IF($AP61="X",0,IF($AP61="S",$H61/$AO61*(MIN($AO61,MAX(0,INT((Lists!C$21-N($J61))/7)+1))-MIN($AO61,MAX(0,INT((Lists!C$22-N($J61))/7)+1))),IF($AP61="D",$H61*MAX(0,MIN(Lists!C$21,N($J61)+$AO61)-MAX(Lists!C$22,N($J61)))/$AO61,IF($AP61="M",$H61/$AO61*(IF(Lists!C$21&lt;$J61,0,MIN($AO61,(((YEAR(Lists!C$21)-YEAR($J61))*12+MONTH(Lists!C$21)-MONTH($J61))-(EDATE($J61,((YEAR(Lists!C$21)-YEAR($J61))*12+MONTH(Lists!C$21)-MONTH($J61)))&gt;Lists!C$21)+1)))-IF(Lists!C$22&lt;$J61,0,MIN($AO61,(((YEAR(Lists!C$22)-YEAR($J61))*12+MONTH(Lists!C$22)-MONTH($J61))-(EDATE($J61,((YEAR(Lists!C$22)-YEAR($J61))*12+MONTH(Lists!C$22)-MONTH($J61)))&gt;Lists!C$22)+1)))),IF($AP61="F",IF(N($K61)&lt;=0,0,MIN(MAX(0,$H61),N($K61)*IF(Lists!C$21&lt;$J61,0,(((YEAR(Lists!C$21)-YEAR($J61))*12+MONTH(Lists!C$21)-MONTH($J61))-(EDATE($J61,((YEAR(Lists!C$21)-YEAR($J61))*12+MONTH(Lists!C$21)-MONTH($J61)))&gt;Lists!C$21)+1)))-MIN(MAX(0,$H61),N($K61)*IF(Lists!C$22&lt;$J61,0,(((YEAR(Lists!C$22)-YEAR($J61))*12+MONTH(Lists!C$22)-MONTH($J61))-(EDATE($J61,((YEAR(Lists!C$22)-YEAR($J61))*12+MONTH(Lists!C$22)-MONTH($J61)))&gt;Lists!C$22)+1)))),N($C61)*IF($AE61-$AD61&lt;1,($AD61&gt;Lists!C$22)*($AD61&lt;=Lists!C$21),MAX(0,MIN(Lists!C$21,$AE61)-MAX(Lists!C$22,$AD61))/($AE61-$AD61))+N($D61)*IF($AG61-$AF61&lt;1,($AF61&gt;Lists!C$22)*($AF61&lt;=Lists!C$21),MAX(0,MIN(Lists!C$21,$AG61)-MAX(Lists!C$22,$AF61))/($AG61-$AF61))+N($E61)*IF($AI61-$AH61&lt;1,($AH61&gt;Lists!C$22)*($AH61&lt;=Lists!C$21),MAX(0,MIN(Lists!C$21,$AI61)-MAX(Lists!C$22,$AH61))/($AI61-$AH61))+N($F61)*IF($AK61-$AJ61&lt;1,($AJ61&gt;Lists!C$22)*($AJ61&lt;=Lists!C$21),MAX(0,MIN(Lists!C$21,$AK61)-MAX(Lists!C$22,$AJ61))/($AK61-$AJ61))+N($G61)*IF($AM61-$AL61&lt;1,($AL61&gt;Lists!C$22)*($AL61&lt;=Lists!C$21),MAX(0,MIN(Lists!C$21,$AM61)-MAX(Lists!C$22,$AL61))/($AM61-$AL61))))))))</f>
        <v>0</v>
      </c>
      <c r="N61" s="53" t="n">
        <f aca="false">IF($H61=0,0,IF($AP61="X",0,IF($AP61="S",$H61/$AO61*(MIN($AO61,MAX(0,INT((Lists!D$21-N($J61))/7)+1))-MIN($AO61,MAX(0,INT((Lists!D$22-N($J61))/7)+1))),IF($AP61="D",$H61*MAX(0,MIN(Lists!D$21,N($J61)+$AO61)-MAX(Lists!D$22,N($J61)))/$AO61,IF($AP61="M",$H61/$AO61*(IF(Lists!D$21&lt;$J61,0,MIN($AO61,(((YEAR(Lists!D$21)-YEAR($J61))*12+MONTH(Lists!D$21)-MONTH($J61))-(EDATE($J61,((YEAR(Lists!D$21)-YEAR($J61))*12+MONTH(Lists!D$21)-MONTH($J61)))&gt;Lists!D$21)+1)))-IF(Lists!D$22&lt;$J61,0,MIN($AO61,(((YEAR(Lists!D$22)-YEAR($J61))*12+MONTH(Lists!D$22)-MONTH($J61))-(EDATE($J61,((YEAR(Lists!D$22)-YEAR($J61))*12+MONTH(Lists!D$22)-MONTH($J61)))&gt;Lists!D$22)+1)))),IF($AP61="F",IF(N($K61)&lt;=0,0,MIN(MAX(0,$H61),N($K61)*IF(Lists!D$21&lt;$J61,0,(((YEAR(Lists!D$21)-YEAR($J61))*12+MONTH(Lists!D$21)-MONTH($J61))-(EDATE($J61,((YEAR(Lists!D$21)-YEAR($J61))*12+MONTH(Lists!D$21)-MONTH($J61)))&gt;Lists!D$21)+1)))-MIN(MAX(0,$H61),N($K61)*IF(Lists!D$22&lt;$J61,0,(((YEAR(Lists!D$22)-YEAR($J61))*12+MONTH(Lists!D$22)-MONTH($J61))-(EDATE($J61,((YEAR(Lists!D$22)-YEAR($J61))*12+MONTH(Lists!D$22)-MONTH($J61)))&gt;Lists!D$22)+1)))),N($C61)*IF($AE61-$AD61&lt;1,($AD61&gt;Lists!D$22)*($AD61&lt;=Lists!D$21),MAX(0,MIN(Lists!D$21,$AE61)-MAX(Lists!D$22,$AD61))/($AE61-$AD61))+N($D61)*IF($AG61-$AF61&lt;1,($AF61&gt;Lists!D$22)*($AF61&lt;=Lists!D$21),MAX(0,MIN(Lists!D$21,$AG61)-MAX(Lists!D$22,$AF61))/($AG61-$AF61))+N($E61)*IF($AI61-$AH61&lt;1,($AH61&gt;Lists!D$22)*($AH61&lt;=Lists!D$21),MAX(0,MIN(Lists!D$21,$AI61)-MAX(Lists!D$22,$AH61))/($AI61-$AH61))+N($F61)*IF($AK61-$AJ61&lt;1,($AJ61&gt;Lists!D$22)*($AJ61&lt;=Lists!D$21),MAX(0,MIN(Lists!D$21,$AK61)-MAX(Lists!D$22,$AJ61))/($AK61-$AJ61))+N($G61)*IF($AM61-$AL61&lt;1,($AL61&gt;Lists!D$22)*($AL61&lt;=Lists!D$21),MAX(0,MIN(Lists!D$21,$AM61)-MAX(Lists!D$22,$AL61))/($AM61-$AL61))))))))</f>
        <v>0</v>
      </c>
      <c r="O61" s="53" t="n">
        <f aca="false">IF($H61=0,0,IF($AP61="X",0,IF($AP61="S",$H61/$AO61*(MIN($AO61,MAX(0,INT((Lists!E$21-N($J61))/7)+1))-MIN($AO61,MAX(0,INT((Lists!E$22-N($J61))/7)+1))),IF($AP61="D",$H61*MAX(0,MIN(Lists!E$21,N($J61)+$AO61)-MAX(Lists!E$22,N($J61)))/$AO61,IF($AP61="M",$H61/$AO61*(IF(Lists!E$21&lt;$J61,0,MIN($AO61,(((YEAR(Lists!E$21)-YEAR($J61))*12+MONTH(Lists!E$21)-MONTH($J61))-(EDATE($J61,((YEAR(Lists!E$21)-YEAR($J61))*12+MONTH(Lists!E$21)-MONTH($J61)))&gt;Lists!E$21)+1)))-IF(Lists!E$22&lt;$J61,0,MIN($AO61,(((YEAR(Lists!E$22)-YEAR($J61))*12+MONTH(Lists!E$22)-MONTH($J61))-(EDATE($J61,((YEAR(Lists!E$22)-YEAR($J61))*12+MONTH(Lists!E$22)-MONTH($J61)))&gt;Lists!E$22)+1)))),IF($AP61="F",IF(N($K61)&lt;=0,0,MIN(MAX(0,$H61),N($K61)*IF(Lists!E$21&lt;$J61,0,(((YEAR(Lists!E$21)-YEAR($J61))*12+MONTH(Lists!E$21)-MONTH($J61))-(EDATE($J61,((YEAR(Lists!E$21)-YEAR($J61))*12+MONTH(Lists!E$21)-MONTH($J61)))&gt;Lists!E$21)+1)))-MIN(MAX(0,$H61),N($K61)*IF(Lists!E$22&lt;$J61,0,(((YEAR(Lists!E$22)-YEAR($J61))*12+MONTH(Lists!E$22)-MONTH($J61))-(EDATE($J61,((YEAR(Lists!E$22)-YEAR($J61))*12+MONTH(Lists!E$22)-MONTH($J61)))&gt;Lists!E$22)+1)))),N($C61)*IF($AE61-$AD61&lt;1,($AD61&gt;Lists!E$22)*($AD61&lt;=Lists!E$21),MAX(0,MIN(Lists!E$21,$AE61)-MAX(Lists!E$22,$AD61))/($AE61-$AD61))+N($D61)*IF($AG61-$AF61&lt;1,($AF61&gt;Lists!E$22)*($AF61&lt;=Lists!E$21),MAX(0,MIN(Lists!E$21,$AG61)-MAX(Lists!E$22,$AF61))/($AG61-$AF61))+N($E61)*IF($AI61-$AH61&lt;1,($AH61&gt;Lists!E$22)*($AH61&lt;=Lists!E$21),MAX(0,MIN(Lists!E$21,$AI61)-MAX(Lists!E$22,$AH61))/($AI61-$AH61))+N($F61)*IF($AK61-$AJ61&lt;1,($AJ61&gt;Lists!E$22)*($AJ61&lt;=Lists!E$21),MAX(0,MIN(Lists!E$21,$AK61)-MAX(Lists!E$22,$AJ61))/($AK61-$AJ61))+N($G61)*IF($AM61-$AL61&lt;1,($AL61&gt;Lists!E$22)*($AL61&lt;=Lists!E$21),MAX(0,MIN(Lists!E$21,$AM61)-MAX(Lists!E$22,$AL61))/($AM61-$AL61))))))))</f>
        <v>0</v>
      </c>
      <c r="P61" s="53" t="n">
        <f aca="false">IF($H61=0,0,IF($AP61="X",0,IF($AP61="S",$H61/$AO61*(MIN($AO61,MAX(0,INT((Lists!F$21-N($J61))/7)+1))-MIN($AO61,MAX(0,INT((Lists!F$22-N($J61))/7)+1))),IF($AP61="D",$H61*MAX(0,MIN(Lists!F$21,N($J61)+$AO61)-MAX(Lists!F$22,N($J61)))/$AO61,IF($AP61="M",$H61/$AO61*(IF(Lists!F$21&lt;$J61,0,MIN($AO61,(((YEAR(Lists!F$21)-YEAR($J61))*12+MONTH(Lists!F$21)-MONTH($J61))-(EDATE($J61,((YEAR(Lists!F$21)-YEAR($J61))*12+MONTH(Lists!F$21)-MONTH($J61)))&gt;Lists!F$21)+1)))-IF(Lists!F$22&lt;$J61,0,MIN($AO61,(((YEAR(Lists!F$22)-YEAR($J61))*12+MONTH(Lists!F$22)-MONTH($J61))-(EDATE($J61,((YEAR(Lists!F$22)-YEAR($J61))*12+MONTH(Lists!F$22)-MONTH($J61)))&gt;Lists!F$22)+1)))),IF($AP61="F",IF(N($K61)&lt;=0,0,MIN(MAX(0,$H61),N($K61)*IF(Lists!F$21&lt;$J61,0,(((YEAR(Lists!F$21)-YEAR($J61))*12+MONTH(Lists!F$21)-MONTH($J61))-(EDATE($J61,((YEAR(Lists!F$21)-YEAR($J61))*12+MONTH(Lists!F$21)-MONTH($J61)))&gt;Lists!F$21)+1)))-MIN(MAX(0,$H61),N($K61)*IF(Lists!F$22&lt;$J61,0,(((YEAR(Lists!F$22)-YEAR($J61))*12+MONTH(Lists!F$22)-MONTH($J61))-(EDATE($J61,((YEAR(Lists!F$22)-YEAR($J61))*12+MONTH(Lists!F$22)-MONTH($J61)))&gt;Lists!F$22)+1)))),N($C61)*IF($AE61-$AD61&lt;1,($AD61&gt;Lists!F$22)*($AD61&lt;=Lists!F$21),MAX(0,MIN(Lists!F$21,$AE61)-MAX(Lists!F$22,$AD61))/($AE61-$AD61))+N($D61)*IF($AG61-$AF61&lt;1,($AF61&gt;Lists!F$22)*($AF61&lt;=Lists!F$21),MAX(0,MIN(Lists!F$21,$AG61)-MAX(Lists!F$22,$AF61))/($AG61-$AF61))+N($E61)*IF($AI61-$AH61&lt;1,($AH61&gt;Lists!F$22)*($AH61&lt;=Lists!F$21),MAX(0,MIN(Lists!F$21,$AI61)-MAX(Lists!F$22,$AH61))/($AI61-$AH61))+N($F61)*IF($AK61-$AJ61&lt;1,($AJ61&gt;Lists!F$22)*($AJ61&lt;=Lists!F$21),MAX(0,MIN(Lists!F$21,$AK61)-MAX(Lists!F$22,$AJ61))/($AK61-$AJ61))+N($G61)*IF($AM61-$AL61&lt;1,($AL61&gt;Lists!F$22)*($AL61&lt;=Lists!F$21),MAX(0,MIN(Lists!F$21,$AM61)-MAX(Lists!F$22,$AL61))/($AM61-$AL61))))))))</f>
        <v>0</v>
      </c>
      <c r="Q61" s="53" t="n">
        <f aca="false">IF($H61=0,0,IF($AP61="X",0,IF($AP61="S",$H61/$AO61*(MIN($AO61,MAX(0,INT((Lists!G$21-N($J61))/7)+1))-MIN($AO61,MAX(0,INT((Lists!G$22-N($J61))/7)+1))),IF($AP61="D",$H61*MAX(0,MIN(Lists!G$21,N($J61)+$AO61)-MAX(Lists!G$22,N($J61)))/$AO61,IF($AP61="M",$H61/$AO61*(IF(Lists!G$21&lt;$J61,0,MIN($AO61,(((YEAR(Lists!G$21)-YEAR($J61))*12+MONTH(Lists!G$21)-MONTH($J61))-(EDATE($J61,((YEAR(Lists!G$21)-YEAR($J61))*12+MONTH(Lists!G$21)-MONTH($J61)))&gt;Lists!G$21)+1)))-IF(Lists!G$22&lt;$J61,0,MIN($AO61,(((YEAR(Lists!G$22)-YEAR($J61))*12+MONTH(Lists!G$22)-MONTH($J61))-(EDATE($J61,((YEAR(Lists!G$22)-YEAR($J61))*12+MONTH(Lists!G$22)-MONTH($J61)))&gt;Lists!G$22)+1)))),IF($AP61="F",IF(N($K61)&lt;=0,0,MIN(MAX(0,$H61),N($K61)*IF(Lists!G$21&lt;$J61,0,(((YEAR(Lists!G$21)-YEAR($J61))*12+MONTH(Lists!G$21)-MONTH($J61))-(EDATE($J61,((YEAR(Lists!G$21)-YEAR($J61))*12+MONTH(Lists!G$21)-MONTH($J61)))&gt;Lists!G$21)+1)))-MIN(MAX(0,$H61),N($K61)*IF(Lists!G$22&lt;$J61,0,(((YEAR(Lists!G$22)-YEAR($J61))*12+MONTH(Lists!G$22)-MONTH($J61))-(EDATE($J61,((YEAR(Lists!G$22)-YEAR($J61))*12+MONTH(Lists!G$22)-MONTH($J61)))&gt;Lists!G$22)+1)))),N($C61)*IF($AE61-$AD61&lt;1,($AD61&gt;Lists!G$22)*($AD61&lt;=Lists!G$21),MAX(0,MIN(Lists!G$21,$AE61)-MAX(Lists!G$22,$AD61))/($AE61-$AD61))+N($D61)*IF($AG61-$AF61&lt;1,($AF61&gt;Lists!G$22)*($AF61&lt;=Lists!G$21),MAX(0,MIN(Lists!G$21,$AG61)-MAX(Lists!G$22,$AF61))/($AG61-$AF61))+N($E61)*IF($AI61-$AH61&lt;1,($AH61&gt;Lists!G$22)*($AH61&lt;=Lists!G$21),MAX(0,MIN(Lists!G$21,$AI61)-MAX(Lists!G$22,$AH61))/($AI61-$AH61))+N($F61)*IF($AK61-$AJ61&lt;1,($AJ61&gt;Lists!G$22)*($AJ61&lt;=Lists!G$21),MAX(0,MIN(Lists!G$21,$AK61)-MAX(Lists!G$22,$AJ61))/($AK61-$AJ61))+N($G61)*IF($AM61-$AL61&lt;1,($AL61&gt;Lists!G$22)*($AL61&lt;=Lists!G$21),MAX(0,MIN(Lists!G$21,$AM61)-MAX(Lists!G$22,$AL61))/($AM61-$AL61))))))))</f>
        <v>0</v>
      </c>
      <c r="R61" s="53" t="n">
        <f aca="false">IF($H61=0,0,IF($AP61="X",0,IF($AP61="S",$H61/$AO61*(MIN($AO61,MAX(0,INT((Lists!H$21-N($J61))/7)+1))-MIN($AO61,MAX(0,INT((Lists!H$22-N($J61))/7)+1))),IF($AP61="D",$H61*MAX(0,MIN(Lists!H$21,N($J61)+$AO61)-MAX(Lists!H$22,N($J61)))/$AO61,IF($AP61="M",$H61/$AO61*(IF(Lists!H$21&lt;$J61,0,MIN($AO61,(((YEAR(Lists!H$21)-YEAR($J61))*12+MONTH(Lists!H$21)-MONTH($J61))-(EDATE($J61,((YEAR(Lists!H$21)-YEAR($J61))*12+MONTH(Lists!H$21)-MONTH($J61)))&gt;Lists!H$21)+1)))-IF(Lists!H$22&lt;$J61,0,MIN($AO61,(((YEAR(Lists!H$22)-YEAR($J61))*12+MONTH(Lists!H$22)-MONTH($J61))-(EDATE($J61,((YEAR(Lists!H$22)-YEAR($J61))*12+MONTH(Lists!H$22)-MONTH($J61)))&gt;Lists!H$22)+1)))),IF($AP61="F",IF(N($K61)&lt;=0,0,MIN(MAX(0,$H61),N($K61)*IF(Lists!H$21&lt;$J61,0,(((YEAR(Lists!H$21)-YEAR($J61))*12+MONTH(Lists!H$21)-MONTH($J61))-(EDATE($J61,((YEAR(Lists!H$21)-YEAR($J61))*12+MONTH(Lists!H$21)-MONTH($J61)))&gt;Lists!H$21)+1)))-MIN(MAX(0,$H61),N($K61)*IF(Lists!H$22&lt;$J61,0,(((YEAR(Lists!H$22)-YEAR($J61))*12+MONTH(Lists!H$22)-MONTH($J61))-(EDATE($J61,((YEAR(Lists!H$22)-YEAR($J61))*12+MONTH(Lists!H$22)-MONTH($J61)))&gt;Lists!H$22)+1)))),N($C61)*IF($AE61-$AD61&lt;1,($AD61&gt;Lists!H$22)*($AD61&lt;=Lists!H$21),MAX(0,MIN(Lists!H$21,$AE61)-MAX(Lists!H$22,$AD61))/($AE61-$AD61))+N($D61)*IF($AG61-$AF61&lt;1,($AF61&gt;Lists!H$22)*($AF61&lt;=Lists!H$21),MAX(0,MIN(Lists!H$21,$AG61)-MAX(Lists!H$22,$AF61))/($AG61-$AF61))+N($E61)*IF($AI61-$AH61&lt;1,($AH61&gt;Lists!H$22)*($AH61&lt;=Lists!H$21),MAX(0,MIN(Lists!H$21,$AI61)-MAX(Lists!H$22,$AH61))/($AI61-$AH61))+N($F61)*IF($AK61-$AJ61&lt;1,($AJ61&gt;Lists!H$22)*($AJ61&lt;=Lists!H$21),MAX(0,MIN(Lists!H$21,$AK61)-MAX(Lists!H$22,$AJ61))/($AK61-$AJ61))+N($G61)*IF($AM61-$AL61&lt;1,($AL61&gt;Lists!H$22)*($AL61&lt;=Lists!H$21),MAX(0,MIN(Lists!H$21,$AM61)-MAX(Lists!H$22,$AL61))/($AM61-$AL61))))))))</f>
        <v>0</v>
      </c>
      <c r="S61" s="53" t="n">
        <f aca="false">IF($H61=0,0,IF($AP61="X",0,IF($AP61="S",$H61/$AO61*(MIN($AO61,MAX(0,INT((Lists!I$21-N($J61))/7)+1))-MIN($AO61,MAX(0,INT((Lists!I$22-N($J61))/7)+1))),IF($AP61="D",$H61*MAX(0,MIN(Lists!I$21,N($J61)+$AO61)-MAX(Lists!I$22,N($J61)))/$AO61,IF($AP61="M",$H61/$AO61*(IF(Lists!I$21&lt;$J61,0,MIN($AO61,(((YEAR(Lists!I$21)-YEAR($J61))*12+MONTH(Lists!I$21)-MONTH($J61))-(EDATE($J61,((YEAR(Lists!I$21)-YEAR($J61))*12+MONTH(Lists!I$21)-MONTH($J61)))&gt;Lists!I$21)+1)))-IF(Lists!I$22&lt;$J61,0,MIN($AO61,(((YEAR(Lists!I$22)-YEAR($J61))*12+MONTH(Lists!I$22)-MONTH($J61))-(EDATE($J61,((YEAR(Lists!I$22)-YEAR($J61))*12+MONTH(Lists!I$22)-MONTH($J61)))&gt;Lists!I$22)+1)))),IF($AP61="F",IF(N($K61)&lt;=0,0,MIN(MAX(0,$H61),N($K61)*IF(Lists!I$21&lt;$J61,0,(((YEAR(Lists!I$21)-YEAR($J61))*12+MONTH(Lists!I$21)-MONTH($J61))-(EDATE($J61,((YEAR(Lists!I$21)-YEAR($J61))*12+MONTH(Lists!I$21)-MONTH($J61)))&gt;Lists!I$21)+1)))-MIN(MAX(0,$H61),N($K61)*IF(Lists!I$22&lt;$J61,0,(((YEAR(Lists!I$22)-YEAR($J61))*12+MONTH(Lists!I$22)-MONTH($J61))-(EDATE($J61,((YEAR(Lists!I$22)-YEAR($J61))*12+MONTH(Lists!I$22)-MONTH($J61)))&gt;Lists!I$22)+1)))),N($C61)*IF($AE61-$AD61&lt;1,($AD61&gt;Lists!I$22)*($AD61&lt;=Lists!I$21),MAX(0,MIN(Lists!I$21,$AE61)-MAX(Lists!I$22,$AD61))/($AE61-$AD61))+N($D61)*IF($AG61-$AF61&lt;1,($AF61&gt;Lists!I$22)*($AF61&lt;=Lists!I$21),MAX(0,MIN(Lists!I$21,$AG61)-MAX(Lists!I$22,$AF61))/($AG61-$AF61))+N($E61)*IF($AI61-$AH61&lt;1,($AH61&gt;Lists!I$22)*($AH61&lt;=Lists!I$21),MAX(0,MIN(Lists!I$21,$AI61)-MAX(Lists!I$22,$AH61))/($AI61-$AH61))+N($F61)*IF($AK61-$AJ61&lt;1,($AJ61&gt;Lists!I$22)*($AJ61&lt;=Lists!I$21),MAX(0,MIN(Lists!I$21,$AK61)-MAX(Lists!I$22,$AJ61))/($AK61-$AJ61))+N($G61)*IF($AM61-$AL61&lt;1,($AL61&gt;Lists!I$22)*($AL61&lt;=Lists!I$21),MAX(0,MIN(Lists!I$21,$AM61)-MAX(Lists!I$22,$AL61))/($AM61-$AL61))))))))</f>
        <v>0</v>
      </c>
      <c r="T61" s="53" t="n">
        <f aca="false">IF($H61=0,0,IF($AP61="X",0,IF($AP61="S",$H61/$AO61*(MIN($AO61,MAX(0,INT((Lists!J$21-N($J61))/7)+1))-MIN($AO61,MAX(0,INT((Lists!J$22-N($J61))/7)+1))),IF($AP61="D",$H61*MAX(0,MIN(Lists!J$21,N($J61)+$AO61)-MAX(Lists!J$22,N($J61)))/$AO61,IF($AP61="M",$H61/$AO61*(IF(Lists!J$21&lt;$J61,0,MIN($AO61,(((YEAR(Lists!J$21)-YEAR($J61))*12+MONTH(Lists!J$21)-MONTH($J61))-(EDATE($J61,((YEAR(Lists!J$21)-YEAR($J61))*12+MONTH(Lists!J$21)-MONTH($J61)))&gt;Lists!J$21)+1)))-IF(Lists!J$22&lt;$J61,0,MIN($AO61,(((YEAR(Lists!J$22)-YEAR($J61))*12+MONTH(Lists!J$22)-MONTH($J61))-(EDATE($J61,((YEAR(Lists!J$22)-YEAR($J61))*12+MONTH(Lists!J$22)-MONTH($J61)))&gt;Lists!J$22)+1)))),IF($AP61="F",IF(N($K61)&lt;=0,0,MIN(MAX(0,$H61),N($K61)*IF(Lists!J$21&lt;$J61,0,(((YEAR(Lists!J$21)-YEAR($J61))*12+MONTH(Lists!J$21)-MONTH($J61))-(EDATE($J61,((YEAR(Lists!J$21)-YEAR($J61))*12+MONTH(Lists!J$21)-MONTH($J61)))&gt;Lists!J$21)+1)))-MIN(MAX(0,$H61),N($K61)*IF(Lists!J$22&lt;$J61,0,(((YEAR(Lists!J$22)-YEAR($J61))*12+MONTH(Lists!J$22)-MONTH($J61))-(EDATE($J61,((YEAR(Lists!J$22)-YEAR($J61))*12+MONTH(Lists!J$22)-MONTH($J61)))&gt;Lists!J$22)+1)))),N($C61)*IF($AE61-$AD61&lt;1,($AD61&gt;Lists!J$22)*($AD61&lt;=Lists!J$21),MAX(0,MIN(Lists!J$21,$AE61)-MAX(Lists!J$22,$AD61))/($AE61-$AD61))+N($D61)*IF($AG61-$AF61&lt;1,($AF61&gt;Lists!J$22)*($AF61&lt;=Lists!J$21),MAX(0,MIN(Lists!J$21,$AG61)-MAX(Lists!J$22,$AF61))/($AG61-$AF61))+N($E61)*IF($AI61-$AH61&lt;1,($AH61&gt;Lists!J$22)*($AH61&lt;=Lists!J$21),MAX(0,MIN(Lists!J$21,$AI61)-MAX(Lists!J$22,$AH61))/($AI61-$AH61))+N($F61)*IF($AK61-$AJ61&lt;1,($AJ61&gt;Lists!J$22)*($AJ61&lt;=Lists!J$21),MAX(0,MIN(Lists!J$21,$AK61)-MAX(Lists!J$22,$AJ61))/($AK61-$AJ61))+N($G61)*IF($AM61-$AL61&lt;1,($AL61&gt;Lists!J$22)*($AL61&lt;=Lists!J$21),MAX(0,MIN(Lists!J$21,$AM61)-MAX(Lists!J$22,$AL61))/($AM61-$AL61))))))))</f>
        <v>0</v>
      </c>
      <c r="U61" s="53" t="n">
        <f aca="false">IF($H61=0,0,IF($AP61="X",0,IF($AP61="S",$H61/$AO61*(MIN($AO61,MAX(0,INT((Lists!K$21-N($J61))/7)+1))-MIN($AO61,MAX(0,INT((Lists!K$22-N($J61))/7)+1))),IF($AP61="D",$H61*MAX(0,MIN(Lists!K$21,N($J61)+$AO61)-MAX(Lists!K$22,N($J61)))/$AO61,IF($AP61="M",$H61/$AO61*(IF(Lists!K$21&lt;$J61,0,MIN($AO61,(((YEAR(Lists!K$21)-YEAR($J61))*12+MONTH(Lists!K$21)-MONTH($J61))-(EDATE($J61,((YEAR(Lists!K$21)-YEAR($J61))*12+MONTH(Lists!K$21)-MONTH($J61)))&gt;Lists!K$21)+1)))-IF(Lists!K$22&lt;$J61,0,MIN($AO61,(((YEAR(Lists!K$22)-YEAR($J61))*12+MONTH(Lists!K$22)-MONTH($J61))-(EDATE($J61,((YEAR(Lists!K$22)-YEAR($J61))*12+MONTH(Lists!K$22)-MONTH($J61)))&gt;Lists!K$22)+1)))),IF($AP61="F",IF(N($K61)&lt;=0,0,MIN(MAX(0,$H61),N($K61)*IF(Lists!K$21&lt;$J61,0,(((YEAR(Lists!K$21)-YEAR($J61))*12+MONTH(Lists!K$21)-MONTH($J61))-(EDATE($J61,((YEAR(Lists!K$21)-YEAR($J61))*12+MONTH(Lists!K$21)-MONTH($J61)))&gt;Lists!K$21)+1)))-MIN(MAX(0,$H61),N($K61)*IF(Lists!K$22&lt;$J61,0,(((YEAR(Lists!K$22)-YEAR($J61))*12+MONTH(Lists!K$22)-MONTH($J61))-(EDATE($J61,((YEAR(Lists!K$22)-YEAR($J61))*12+MONTH(Lists!K$22)-MONTH($J61)))&gt;Lists!K$22)+1)))),N($C61)*IF($AE61-$AD61&lt;1,($AD61&gt;Lists!K$22)*($AD61&lt;=Lists!K$21),MAX(0,MIN(Lists!K$21,$AE61)-MAX(Lists!K$22,$AD61))/($AE61-$AD61))+N($D61)*IF($AG61-$AF61&lt;1,($AF61&gt;Lists!K$22)*($AF61&lt;=Lists!K$21),MAX(0,MIN(Lists!K$21,$AG61)-MAX(Lists!K$22,$AF61))/($AG61-$AF61))+N($E61)*IF($AI61-$AH61&lt;1,($AH61&gt;Lists!K$22)*($AH61&lt;=Lists!K$21),MAX(0,MIN(Lists!K$21,$AI61)-MAX(Lists!K$22,$AH61))/($AI61-$AH61))+N($F61)*IF($AK61-$AJ61&lt;1,($AJ61&gt;Lists!K$22)*($AJ61&lt;=Lists!K$21),MAX(0,MIN(Lists!K$21,$AK61)-MAX(Lists!K$22,$AJ61))/($AK61-$AJ61))+N($G61)*IF($AM61-$AL61&lt;1,($AL61&gt;Lists!K$22)*($AL61&lt;=Lists!K$21),MAX(0,MIN(Lists!K$21,$AM61)-MAX(Lists!K$22,$AL61))/($AM61-$AL61))))))))</f>
        <v>0</v>
      </c>
      <c r="V61" s="53" t="n">
        <f aca="false">IF($H61=0,0,IF($AP61="X",0,IF($AP61="S",$H61/$AO61*(MIN($AO61,MAX(0,INT((Lists!L$21-N($J61))/7)+1))-MIN($AO61,MAX(0,INT((Lists!L$22-N($J61))/7)+1))),IF($AP61="D",$H61*MAX(0,MIN(Lists!L$21,N($J61)+$AO61)-MAX(Lists!L$22,N($J61)))/$AO61,IF($AP61="M",$H61/$AO61*(IF(Lists!L$21&lt;$J61,0,MIN($AO61,(((YEAR(Lists!L$21)-YEAR($J61))*12+MONTH(Lists!L$21)-MONTH($J61))-(EDATE($J61,((YEAR(Lists!L$21)-YEAR($J61))*12+MONTH(Lists!L$21)-MONTH($J61)))&gt;Lists!L$21)+1)))-IF(Lists!L$22&lt;$J61,0,MIN($AO61,(((YEAR(Lists!L$22)-YEAR($J61))*12+MONTH(Lists!L$22)-MONTH($J61))-(EDATE($J61,((YEAR(Lists!L$22)-YEAR($J61))*12+MONTH(Lists!L$22)-MONTH($J61)))&gt;Lists!L$22)+1)))),IF($AP61="F",IF(N($K61)&lt;=0,0,MIN(MAX(0,$H61),N($K61)*IF(Lists!L$21&lt;$J61,0,(((YEAR(Lists!L$21)-YEAR($J61))*12+MONTH(Lists!L$21)-MONTH($J61))-(EDATE($J61,((YEAR(Lists!L$21)-YEAR($J61))*12+MONTH(Lists!L$21)-MONTH($J61)))&gt;Lists!L$21)+1)))-MIN(MAX(0,$H61),N($K61)*IF(Lists!L$22&lt;$J61,0,(((YEAR(Lists!L$22)-YEAR($J61))*12+MONTH(Lists!L$22)-MONTH($J61))-(EDATE($J61,((YEAR(Lists!L$22)-YEAR($J61))*12+MONTH(Lists!L$22)-MONTH($J61)))&gt;Lists!L$22)+1)))),N($C61)*IF($AE61-$AD61&lt;1,($AD61&gt;Lists!L$22)*($AD61&lt;=Lists!L$21),MAX(0,MIN(Lists!L$21,$AE61)-MAX(Lists!L$22,$AD61))/($AE61-$AD61))+N($D61)*IF($AG61-$AF61&lt;1,($AF61&gt;Lists!L$22)*($AF61&lt;=Lists!L$21),MAX(0,MIN(Lists!L$21,$AG61)-MAX(Lists!L$22,$AF61))/($AG61-$AF61))+N($E61)*IF($AI61-$AH61&lt;1,($AH61&gt;Lists!L$22)*($AH61&lt;=Lists!L$21),MAX(0,MIN(Lists!L$21,$AI61)-MAX(Lists!L$22,$AH61))/($AI61-$AH61))+N($F61)*IF($AK61-$AJ61&lt;1,($AJ61&gt;Lists!L$22)*($AJ61&lt;=Lists!L$21),MAX(0,MIN(Lists!L$21,$AK61)-MAX(Lists!L$22,$AJ61))/($AK61-$AJ61))+N($G61)*IF($AM61-$AL61&lt;1,($AL61&gt;Lists!L$22)*($AL61&lt;=Lists!L$21),MAX(0,MIN(Lists!L$21,$AM61)-MAX(Lists!L$22,$AL61))/($AM61-$AL61))))))))</f>
        <v>0</v>
      </c>
      <c r="W61" s="53" t="n">
        <f aca="false">IF($H61=0,0,IF($AP61="X",0,IF($AP61="S",$H61/$AO61*(MIN($AO61,MAX(0,INT((Lists!M$21-N($J61))/7)+1))-MIN($AO61,MAX(0,INT((Lists!M$22-N($J61))/7)+1))),IF($AP61="D",$H61*MAX(0,MIN(Lists!M$21,N($J61)+$AO61)-MAX(Lists!M$22,N($J61)))/$AO61,IF($AP61="M",$H61/$AO61*(IF(Lists!M$21&lt;$J61,0,MIN($AO61,(((YEAR(Lists!M$21)-YEAR($J61))*12+MONTH(Lists!M$21)-MONTH($J61))-(EDATE($J61,((YEAR(Lists!M$21)-YEAR($J61))*12+MONTH(Lists!M$21)-MONTH($J61)))&gt;Lists!M$21)+1)))-IF(Lists!M$22&lt;$J61,0,MIN($AO61,(((YEAR(Lists!M$22)-YEAR($J61))*12+MONTH(Lists!M$22)-MONTH($J61))-(EDATE($J61,((YEAR(Lists!M$22)-YEAR($J61))*12+MONTH(Lists!M$22)-MONTH($J61)))&gt;Lists!M$22)+1)))),IF($AP61="F",IF(N($K61)&lt;=0,0,MIN(MAX(0,$H61),N($K61)*IF(Lists!M$21&lt;$J61,0,(((YEAR(Lists!M$21)-YEAR($J61))*12+MONTH(Lists!M$21)-MONTH($J61))-(EDATE($J61,((YEAR(Lists!M$21)-YEAR($J61))*12+MONTH(Lists!M$21)-MONTH($J61)))&gt;Lists!M$21)+1)))-MIN(MAX(0,$H61),N($K61)*IF(Lists!M$22&lt;$J61,0,(((YEAR(Lists!M$22)-YEAR($J61))*12+MONTH(Lists!M$22)-MONTH($J61))-(EDATE($J61,((YEAR(Lists!M$22)-YEAR($J61))*12+MONTH(Lists!M$22)-MONTH($J61)))&gt;Lists!M$22)+1)))),N($C61)*IF($AE61-$AD61&lt;1,($AD61&gt;Lists!M$22)*($AD61&lt;=Lists!M$21),MAX(0,MIN(Lists!M$21,$AE61)-MAX(Lists!M$22,$AD61))/($AE61-$AD61))+N($D61)*IF($AG61-$AF61&lt;1,($AF61&gt;Lists!M$22)*($AF61&lt;=Lists!M$21),MAX(0,MIN(Lists!M$21,$AG61)-MAX(Lists!M$22,$AF61))/($AG61-$AF61))+N($E61)*IF($AI61-$AH61&lt;1,($AH61&gt;Lists!M$22)*($AH61&lt;=Lists!M$21),MAX(0,MIN(Lists!M$21,$AI61)-MAX(Lists!M$22,$AH61))/($AI61-$AH61))+N($F61)*IF($AK61-$AJ61&lt;1,($AJ61&gt;Lists!M$22)*($AJ61&lt;=Lists!M$21),MAX(0,MIN(Lists!M$21,$AK61)-MAX(Lists!M$22,$AJ61))/($AK61-$AJ61))+N($G61)*IF($AM61-$AL61&lt;1,($AL61&gt;Lists!M$22)*($AL61&lt;=Lists!M$21),MAX(0,MIN(Lists!M$21,$AM61)-MAX(Lists!M$22,$AL61))/($AM61-$AL61))))))))</f>
        <v>0</v>
      </c>
      <c r="X61" s="53" t="n">
        <f aca="false">IF($H61=0,0,IF($AP61="X",0,IF($AP61="S",$H61/$AO61*(MIN($AO61,MAX(0,INT((Lists!N$21-N($J61))/7)+1))-MIN($AO61,MAX(0,INT((Lists!N$22-N($J61))/7)+1))),IF($AP61="D",$H61*MAX(0,MIN(Lists!N$21,N($J61)+$AO61)-MAX(Lists!N$22,N($J61)))/$AO61,IF($AP61="M",$H61/$AO61*(IF(Lists!N$21&lt;$J61,0,MIN($AO61,(((YEAR(Lists!N$21)-YEAR($J61))*12+MONTH(Lists!N$21)-MONTH($J61))-(EDATE($J61,((YEAR(Lists!N$21)-YEAR($J61))*12+MONTH(Lists!N$21)-MONTH($J61)))&gt;Lists!N$21)+1)))-IF(Lists!N$22&lt;$J61,0,MIN($AO61,(((YEAR(Lists!N$22)-YEAR($J61))*12+MONTH(Lists!N$22)-MONTH($J61))-(EDATE($J61,((YEAR(Lists!N$22)-YEAR($J61))*12+MONTH(Lists!N$22)-MONTH($J61)))&gt;Lists!N$22)+1)))),IF($AP61="F",IF(N($K61)&lt;=0,0,MIN(MAX(0,$H61),N($K61)*IF(Lists!N$21&lt;$J61,0,(((YEAR(Lists!N$21)-YEAR($J61))*12+MONTH(Lists!N$21)-MONTH($J61))-(EDATE($J61,((YEAR(Lists!N$21)-YEAR($J61))*12+MONTH(Lists!N$21)-MONTH($J61)))&gt;Lists!N$21)+1)))-MIN(MAX(0,$H61),N($K61)*IF(Lists!N$22&lt;$J61,0,(((YEAR(Lists!N$22)-YEAR($J61))*12+MONTH(Lists!N$22)-MONTH($J61))-(EDATE($J61,((YEAR(Lists!N$22)-YEAR($J61))*12+MONTH(Lists!N$22)-MONTH($J61)))&gt;Lists!N$22)+1)))),N($C61)*IF($AE61-$AD61&lt;1,($AD61&gt;Lists!N$22)*($AD61&lt;=Lists!N$21),MAX(0,MIN(Lists!N$21,$AE61)-MAX(Lists!N$22,$AD61))/($AE61-$AD61))+N($D61)*IF($AG61-$AF61&lt;1,($AF61&gt;Lists!N$22)*($AF61&lt;=Lists!N$21),MAX(0,MIN(Lists!N$21,$AG61)-MAX(Lists!N$22,$AF61))/($AG61-$AF61))+N($E61)*IF($AI61-$AH61&lt;1,($AH61&gt;Lists!N$22)*($AH61&lt;=Lists!N$21),MAX(0,MIN(Lists!N$21,$AI61)-MAX(Lists!N$22,$AH61))/($AI61-$AH61))+N($F61)*IF($AK61-$AJ61&lt;1,($AJ61&gt;Lists!N$22)*($AJ61&lt;=Lists!N$21),MAX(0,MIN(Lists!N$21,$AK61)-MAX(Lists!N$22,$AJ61))/($AK61-$AJ61))+N($G61)*IF($AM61-$AL61&lt;1,($AL61&gt;Lists!N$22)*($AL61&lt;=Lists!N$21),MAX(0,MIN(Lists!N$21,$AM61)-MAX(Lists!N$22,$AL61))/($AM61-$AL61))))))))</f>
        <v>0</v>
      </c>
      <c r="Y61" s="53" t="n">
        <f aca="false">IF($H61=0,0,IF($AP61="X",0,IF($AP61="S",$H61/$AO61*(MIN($AO61,MAX(0,INT((Lists!O$21-N($J61))/7)+1))-MIN($AO61,MAX(0,INT((Lists!O$22-N($J61))/7)+1))),IF($AP61="D",$H61*MAX(0,MIN(Lists!O$21,N($J61)+$AO61)-MAX(Lists!O$22,N($J61)))/$AO61,IF($AP61="M",$H61/$AO61*(IF(Lists!O$21&lt;$J61,0,MIN($AO61,(((YEAR(Lists!O$21)-YEAR($J61))*12+MONTH(Lists!O$21)-MONTH($J61))-(EDATE($J61,((YEAR(Lists!O$21)-YEAR($J61))*12+MONTH(Lists!O$21)-MONTH($J61)))&gt;Lists!O$21)+1)))-IF(Lists!O$22&lt;$J61,0,MIN($AO61,(((YEAR(Lists!O$22)-YEAR($J61))*12+MONTH(Lists!O$22)-MONTH($J61))-(EDATE($J61,((YEAR(Lists!O$22)-YEAR($J61))*12+MONTH(Lists!O$22)-MONTH($J61)))&gt;Lists!O$22)+1)))),IF($AP61="F",IF(N($K61)&lt;=0,0,MIN(MAX(0,$H61),N($K61)*IF(Lists!O$21&lt;$J61,0,(((YEAR(Lists!O$21)-YEAR($J61))*12+MONTH(Lists!O$21)-MONTH($J61))-(EDATE($J61,((YEAR(Lists!O$21)-YEAR($J61))*12+MONTH(Lists!O$21)-MONTH($J61)))&gt;Lists!O$21)+1)))-MIN(MAX(0,$H61),N($K61)*IF(Lists!O$22&lt;$J61,0,(((YEAR(Lists!O$22)-YEAR($J61))*12+MONTH(Lists!O$22)-MONTH($J61))-(EDATE($J61,((YEAR(Lists!O$22)-YEAR($J61))*12+MONTH(Lists!O$22)-MONTH($J61)))&gt;Lists!O$22)+1)))),N($C61)*IF($AE61-$AD61&lt;1,($AD61&gt;Lists!O$22)*($AD61&lt;=Lists!O$21),MAX(0,MIN(Lists!O$21,$AE61)-MAX(Lists!O$22,$AD61))/($AE61-$AD61))+N($D61)*IF($AG61-$AF61&lt;1,($AF61&gt;Lists!O$22)*($AF61&lt;=Lists!O$21),MAX(0,MIN(Lists!O$21,$AG61)-MAX(Lists!O$22,$AF61))/($AG61-$AF61))+N($E61)*IF($AI61-$AH61&lt;1,($AH61&gt;Lists!O$22)*($AH61&lt;=Lists!O$21),MAX(0,MIN(Lists!O$21,$AI61)-MAX(Lists!O$22,$AH61))/($AI61-$AH61))+N($F61)*IF($AK61-$AJ61&lt;1,($AJ61&gt;Lists!O$22)*($AJ61&lt;=Lists!O$21),MAX(0,MIN(Lists!O$21,$AK61)-MAX(Lists!O$22,$AJ61))/($AK61-$AJ61))+N($G61)*IF($AM61-$AL61&lt;1,($AL61&gt;Lists!O$22)*($AL61&lt;=Lists!O$21),MAX(0,MIN(Lists!O$21,$AM61)-MAX(Lists!O$22,$AL61))/($AM61-$AL61))))))))</f>
        <v>0</v>
      </c>
      <c r="Z61" s="46" t="n">
        <f aca="false">SUM(M61:Y61)</f>
        <v>0</v>
      </c>
      <c r="AA61" s="92" t="n">
        <f aca="false">H61-Z61</f>
        <v>0</v>
      </c>
      <c r="AB61" s="55"/>
      <c r="AC61" s="2"/>
      <c r="AD61" s="93" t="n">
        <f aca="false">Setup!$D$10+MAX(0,$AN61-30)</f>
        <v>46345</v>
      </c>
      <c r="AE61" s="93" t="n">
        <f aca="false">Setup!$D$10+IF($AN61-30&lt;0,MAX(Setup!$D$22,$AN61-0),$AN61-0)</f>
        <v>46375</v>
      </c>
      <c r="AF61" s="93" t="n">
        <f aca="false">Setup!$D$10+MAX(0,$AN61-60)</f>
        <v>46335</v>
      </c>
      <c r="AG61" s="93" t="n">
        <f aca="false">Setup!$D$10+IF($AN61-60&lt;0,MAX(Setup!$D$22,$AN61-31),$AN61-31)</f>
        <v>46363</v>
      </c>
      <c r="AH61" s="93" t="n">
        <f aca="false">Setup!$D$10+MAX(0,$AN61-90)</f>
        <v>46335</v>
      </c>
      <c r="AI61" s="93" t="n">
        <f aca="false">Setup!$D$10+IF($AN61-90&lt;0,MAX(Setup!$D$22,$AN61-61),$AN61-61)</f>
        <v>46363</v>
      </c>
      <c r="AJ61" s="93" t="n">
        <f aca="false">Setup!$D$10+MAX(0,$AN61-120)</f>
        <v>46335</v>
      </c>
      <c r="AK61" s="93" t="n">
        <f aca="false">Setup!$D$10+IF($AN61-120&lt;0,MAX(Setup!$D$22,$AN61-91),$AN61-91)</f>
        <v>46363</v>
      </c>
      <c r="AL61" s="93" t="n">
        <f aca="false">Setup!$D$10</f>
        <v>46335</v>
      </c>
      <c r="AM61" s="93" t="n">
        <f aca="false">IF(AL61=2958465,AL61,Setup!$D$10+Setup!$D$22)</f>
        <v>46363</v>
      </c>
      <c r="AN61" s="94" t="n">
        <f aca="false">IF(N(L61)=0,Setup!$D$21,L61)</f>
        <v>40</v>
      </c>
      <c r="AO61" s="94" t="n">
        <f aca="false">MAX(1,ROUND(N(K61),0))</f>
        <v>1</v>
      </c>
      <c r="AP61" s="95" t="str">
        <f aca="false">IF(I61="On hold","X",IF(N(J61)=0,"A",IF(I61="Specific date","S",IF(I61="Spread over days","D",IF(I61="Monthly on set day","M",IF(I61="Monthly fixed amount","F","A"))))))</f>
        <v>A</v>
      </c>
    </row>
    <row r="62" customFormat="false" ht="15" hidden="false" customHeight="false" outlineLevel="0" collapsed="false">
      <c r="A62" s="87" t="n">
        <v>54</v>
      </c>
      <c r="B62" s="55"/>
      <c r="C62" s="88"/>
      <c r="D62" s="88"/>
      <c r="E62" s="88"/>
      <c r="F62" s="88"/>
      <c r="G62" s="88"/>
      <c r="H62" s="89" t="n">
        <f aca="false">SUM(C62:G62)</f>
        <v>0</v>
      </c>
      <c r="I62" s="58"/>
      <c r="J62" s="90"/>
      <c r="K62" s="91"/>
      <c r="L62" s="80"/>
      <c r="M62" s="53" t="n">
        <f aca="false">IF($H62=0,0,IF($AP62="X",0,IF($AP62="S",$H62/$AO62*(MIN($AO62,MAX(0,INT((Lists!C$21-N($J62))/7)+1))-MIN($AO62,MAX(0,INT((Lists!C$22-N($J62))/7)+1))),IF($AP62="D",$H62*MAX(0,MIN(Lists!C$21,N($J62)+$AO62)-MAX(Lists!C$22,N($J62)))/$AO62,IF($AP62="M",$H62/$AO62*(IF(Lists!C$21&lt;$J62,0,MIN($AO62,(((YEAR(Lists!C$21)-YEAR($J62))*12+MONTH(Lists!C$21)-MONTH($J62))-(EDATE($J62,((YEAR(Lists!C$21)-YEAR($J62))*12+MONTH(Lists!C$21)-MONTH($J62)))&gt;Lists!C$21)+1)))-IF(Lists!C$22&lt;$J62,0,MIN($AO62,(((YEAR(Lists!C$22)-YEAR($J62))*12+MONTH(Lists!C$22)-MONTH($J62))-(EDATE($J62,((YEAR(Lists!C$22)-YEAR($J62))*12+MONTH(Lists!C$22)-MONTH($J62)))&gt;Lists!C$22)+1)))),IF($AP62="F",IF(N($K62)&lt;=0,0,MIN(MAX(0,$H62),N($K62)*IF(Lists!C$21&lt;$J62,0,(((YEAR(Lists!C$21)-YEAR($J62))*12+MONTH(Lists!C$21)-MONTH($J62))-(EDATE($J62,((YEAR(Lists!C$21)-YEAR($J62))*12+MONTH(Lists!C$21)-MONTH($J62)))&gt;Lists!C$21)+1)))-MIN(MAX(0,$H62),N($K62)*IF(Lists!C$22&lt;$J62,0,(((YEAR(Lists!C$22)-YEAR($J62))*12+MONTH(Lists!C$22)-MONTH($J62))-(EDATE($J62,((YEAR(Lists!C$22)-YEAR($J62))*12+MONTH(Lists!C$22)-MONTH($J62)))&gt;Lists!C$22)+1)))),N($C62)*IF($AE62-$AD62&lt;1,($AD62&gt;Lists!C$22)*($AD62&lt;=Lists!C$21),MAX(0,MIN(Lists!C$21,$AE62)-MAX(Lists!C$22,$AD62))/($AE62-$AD62))+N($D62)*IF($AG62-$AF62&lt;1,($AF62&gt;Lists!C$22)*($AF62&lt;=Lists!C$21),MAX(0,MIN(Lists!C$21,$AG62)-MAX(Lists!C$22,$AF62))/($AG62-$AF62))+N($E62)*IF($AI62-$AH62&lt;1,($AH62&gt;Lists!C$22)*($AH62&lt;=Lists!C$21),MAX(0,MIN(Lists!C$21,$AI62)-MAX(Lists!C$22,$AH62))/($AI62-$AH62))+N($F62)*IF($AK62-$AJ62&lt;1,($AJ62&gt;Lists!C$22)*($AJ62&lt;=Lists!C$21),MAX(0,MIN(Lists!C$21,$AK62)-MAX(Lists!C$22,$AJ62))/($AK62-$AJ62))+N($G62)*IF($AM62-$AL62&lt;1,($AL62&gt;Lists!C$22)*($AL62&lt;=Lists!C$21),MAX(0,MIN(Lists!C$21,$AM62)-MAX(Lists!C$22,$AL62))/($AM62-$AL62))))))))</f>
        <v>0</v>
      </c>
      <c r="N62" s="53" t="n">
        <f aca="false">IF($H62=0,0,IF($AP62="X",0,IF($AP62="S",$H62/$AO62*(MIN($AO62,MAX(0,INT((Lists!D$21-N($J62))/7)+1))-MIN($AO62,MAX(0,INT((Lists!D$22-N($J62))/7)+1))),IF($AP62="D",$H62*MAX(0,MIN(Lists!D$21,N($J62)+$AO62)-MAX(Lists!D$22,N($J62)))/$AO62,IF($AP62="M",$H62/$AO62*(IF(Lists!D$21&lt;$J62,0,MIN($AO62,(((YEAR(Lists!D$21)-YEAR($J62))*12+MONTH(Lists!D$21)-MONTH($J62))-(EDATE($J62,((YEAR(Lists!D$21)-YEAR($J62))*12+MONTH(Lists!D$21)-MONTH($J62)))&gt;Lists!D$21)+1)))-IF(Lists!D$22&lt;$J62,0,MIN($AO62,(((YEAR(Lists!D$22)-YEAR($J62))*12+MONTH(Lists!D$22)-MONTH($J62))-(EDATE($J62,((YEAR(Lists!D$22)-YEAR($J62))*12+MONTH(Lists!D$22)-MONTH($J62)))&gt;Lists!D$22)+1)))),IF($AP62="F",IF(N($K62)&lt;=0,0,MIN(MAX(0,$H62),N($K62)*IF(Lists!D$21&lt;$J62,0,(((YEAR(Lists!D$21)-YEAR($J62))*12+MONTH(Lists!D$21)-MONTH($J62))-(EDATE($J62,((YEAR(Lists!D$21)-YEAR($J62))*12+MONTH(Lists!D$21)-MONTH($J62)))&gt;Lists!D$21)+1)))-MIN(MAX(0,$H62),N($K62)*IF(Lists!D$22&lt;$J62,0,(((YEAR(Lists!D$22)-YEAR($J62))*12+MONTH(Lists!D$22)-MONTH($J62))-(EDATE($J62,((YEAR(Lists!D$22)-YEAR($J62))*12+MONTH(Lists!D$22)-MONTH($J62)))&gt;Lists!D$22)+1)))),N($C62)*IF($AE62-$AD62&lt;1,($AD62&gt;Lists!D$22)*($AD62&lt;=Lists!D$21),MAX(0,MIN(Lists!D$21,$AE62)-MAX(Lists!D$22,$AD62))/($AE62-$AD62))+N($D62)*IF($AG62-$AF62&lt;1,($AF62&gt;Lists!D$22)*($AF62&lt;=Lists!D$21),MAX(0,MIN(Lists!D$21,$AG62)-MAX(Lists!D$22,$AF62))/($AG62-$AF62))+N($E62)*IF($AI62-$AH62&lt;1,($AH62&gt;Lists!D$22)*($AH62&lt;=Lists!D$21),MAX(0,MIN(Lists!D$21,$AI62)-MAX(Lists!D$22,$AH62))/($AI62-$AH62))+N($F62)*IF($AK62-$AJ62&lt;1,($AJ62&gt;Lists!D$22)*($AJ62&lt;=Lists!D$21),MAX(0,MIN(Lists!D$21,$AK62)-MAX(Lists!D$22,$AJ62))/($AK62-$AJ62))+N($G62)*IF($AM62-$AL62&lt;1,($AL62&gt;Lists!D$22)*($AL62&lt;=Lists!D$21),MAX(0,MIN(Lists!D$21,$AM62)-MAX(Lists!D$22,$AL62))/($AM62-$AL62))))))))</f>
        <v>0</v>
      </c>
      <c r="O62" s="53" t="n">
        <f aca="false">IF($H62=0,0,IF($AP62="X",0,IF($AP62="S",$H62/$AO62*(MIN($AO62,MAX(0,INT((Lists!E$21-N($J62))/7)+1))-MIN($AO62,MAX(0,INT((Lists!E$22-N($J62))/7)+1))),IF($AP62="D",$H62*MAX(0,MIN(Lists!E$21,N($J62)+$AO62)-MAX(Lists!E$22,N($J62)))/$AO62,IF($AP62="M",$H62/$AO62*(IF(Lists!E$21&lt;$J62,0,MIN($AO62,(((YEAR(Lists!E$21)-YEAR($J62))*12+MONTH(Lists!E$21)-MONTH($J62))-(EDATE($J62,((YEAR(Lists!E$21)-YEAR($J62))*12+MONTH(Lists!E$21)-MONTH($J62)))&gt;Lists!E$21)+1)))-IF(Lists!E$22&lt;$J62,0,MIN($AO62,(((YEAR(Lists!E$22)-YEAR($J62))*12+MONTH(Lists!E$22)-MONTH($J62))-(EDATE($J62,((YEAR(Lists!E$22)-YEAR($J62))*12+MONTH(Lists!E$22)-MONTH($J62)))&gt;Lists!E$22)+1)))),IF($AP62="F",IF(N($K62)&lt;=0,0,MIN(MAX(0,$H62),N($K62)*IF(Lists!E$21&lt;$J62,0,(((YEAR(Lists!E$21)-YEAR($J62))*12+MONTH(Lists!E$21)-MONTH($J62))-(EDATE($J62,((YEAR(Lists!E$21)-YEAR($J62))*12+MONTH(Lists!E$21)-MONTH($J62)))&gt;Lists!E$21)+1)))-MIN(MAX(0,$H62),N($K62)*IF(Lists!E$22&lt;$J62,0,(((YEAR(Lists!E$22)-YEAR($J62))*12+MONTH(Lists!E$22)-MONTH($J62))-(EDATE($J62,((YEAR(Lists!E$22)-YEAR($J62))*12+MONTH(Lists!E$22)-MONTH($J62)))&gt;Lists!E$22)+1)))),N($C62)*IF($AE62-$AD62&lt;1,($AD62&gt;Lists!E$22)*($AD62&lt;=Lists!E$21),MAX(0,MIN(Lists!E$21,$AE62)-MAX(Lists!E$22,$AD62))/($AE62-$AD62))+N($D62)*IF($AG62-$AF62&lt;1,($AF62&gt;Lists!E$22)*($AF62&lt;=Lists!E$21),MAX(0,MIN(Lists!E$21,$AG62)-MAX(Lists!E$22,$AF62))/($AG62-$AF62))+N($E62)*IF($AI62-$AH62&lt;1,($AH62&gt;Lists!E$22)*($AH62&lt;=Lists!E$21),MAX(0,MIN(Lists!E$21,$AI62)-MAX(Lists!E$22,$AH62))/($AI62-$AH62))+N($F62)*IF($AK62-$AJ62&lt;1,($AJ62&gt;Lists!E$22)*($AJ62&lt;=Lists!E$21),MAX(0,MIN(Lists!E$21,$AK62)-MAX(Lists!E$22,$AJ62))/($AK62-$AJ62))+N($G62)*IF($AM62-$AL62&lt;1,($AL62&gt;Lists!E$22)*($AL62&lt;=Lists!E$21),MAX(0,MIN(Lists!E$21,$AM62)-MAX(Lists!E$22,$AL62))/($AM62-$AL62))))))))</f>
        <v>0</v>
      </c>
      <c r="P62" s="53" t="n">
        <f aca="false">IF($H62=0,0,IF($AP62="X",0,IF($AP62="S",$H62/$AO62*(MIN($AO62,MAX(0,INT((Lists!F$21-N($J62))/7)+1))-MIN($AO62,MAX(0,INT((Lists!F$22-N($J62))/7)+1))),IF($AP62="D",$H62*MAX(0,MIN(Lists!F$21,N($J62)+$AO62)-MAX(Lists!F$22,N($J62)))/$AO62,IF($AP62="M",$H62/$AO62*(IF(Lists!F$21&lt;$J62,0,MIN($AO62,(((YEAR(Lists!F$21)-YEAR($J62))*12+MONTH(Lists!F$21)-MONTH($J62))-(EDATE($J62,((YEAR(Lists!F$21)-YEAR($J62))*12+MONTH(Lists!F$21)-MONTH($J62)))&gt;Lists!F$21)+1)))-IF(Lists!F$22&lt;$J62,0,MIN($AO62,(((YEAR(Lists!F$22)-YEAR($J62))*12+MONTH(Lists!F$22)-MONTH($J62))-(EDATE($J62,((YEAR(Lists!F$22)-YEAR($J62))*12+MONTH(Lists!F$22)-MONTH($J62)))&gt;Lists!F$22)+1)))),IF($AP62="F",IF(N($K62)&lt;=0,0,MIN(MAX(0,$H62),N($K62)*IF(Lists!F$21&lt;$J62,0,(((YEAR(Lists!F$21)-YEAR($J62))*12+MONTH(Lists!F$21)-MONTH($J62))-(EDATE($J62,((YEAR(Lists!F$21)-YEAR($J62))*12+MONTH(Lists!F$21)-MONTH($J62)))&gt;Lists!F$21)+1)))-MIN(MAX(0,$H62),N($K62)*IF(Lists!F$22&lt;$J62,0,(((YEAR(Lists!F$22)-YEAR($J62))*12+MONTH(Lists!F$22)-MONTH($J62))-(EDATE($J62,((YEAR(Lists!F$22)-YEAR($J62))*12+MONTH(Lists!F$22)-MONTH($J62)))&gt;Lists!F$22)+1)))),N($C62)*IF($AE62-$AD62&lt;1,($AD62&gt;Lists!F$22)*($AD62&lt;=Lists!F$21),MAX(0,MIN(Lists!F$21,$AE62)-MAX(Lists!F$22,$AD62))/($AE62-$AD62))+N($D62)*IF($AG62-$AF62&lt;1,($AF62&gt;Lists!F$22)*($AF62&lt;=Lists!F$21),MAX(0,MIN(Lists!F$21,$AG62)-MAX(Lists!F$22,$AF62))/($AG62-$AF62))+N($E62)*IF($AI62-$AH62&lt;1,($AH62&gt;Lists!F$22)*($AH62&lt;=Lists!F$21),MAX(0,MIN(Lists!F$21,$AI62)-MAX(Lists!F$22,$AH62))/($AI62-$AH62))+N($F62)*IF($AK62-$AJ62&lt;1,($AJ62&gt;Lists!F$22)*($AJ62&lt;=Lists!F$21),MAX(0,MIN(Lists!F$21,$AK62)-MAX(Lists!F$22,$AJ62))/($AK62-$AJ62))+N($G62)*IF($AM62-$AL62&lt;1,($AL62&gt;Lists!F$22)*($AL62&lt;=Lists!F$21),MAX(0,MIN(Lists!F$21,$AM62)-MAX(Lists!F$22,$AL62))/($AM62-$AL62))))))))</f>
        <v>0</v>
      </c>
      <c r="Q62" s="53" t="n">
        <f aca="false">IF($H62=0,0,IF($AP62="X",0,IF($AP62="S",$H62/$AO62*(MIN($AO62,MAX(0,INT((Lists!G$21-N($J62))/7)+1))-MIN($AO62,MAX(0,INT((Lists!G$22-N($J62))/7)+1))),IF($AP62="D",$H62*MAX(0,MIN(Lists!G$21,N($J62)+$AO62)-MAX(Lists!G$22,N($J62)))/$AO62,IF($AP62="M",$H62/$AO62*(IF(Lists!G$21&lt;$J62,0,MIN($AO62,(((YEAR(Lists!G$21)-YEAR($J62))*12+MONTH(Lists!G$21)-MONTH($J62))-(EDATE($J62,((YEAR(Lists!G$21)-YEAR($J62))*12+MONTH(Lists!G$21)-MONTH($J62)))&gt;Lists!G$21)+1)))-IF(Lists!G$22&lt;$J62,0,MIN($AO62,(((YEAR(Lists!G$22)-YEAR($J62))*12+MONTH(Lists!G$22)-MONTH($J62))-(EDATE($J62,((YEAR(Lists!G$22)-YEAR($J62))*12+MONTH(Lists!G$22)-MONTH($J62)))&gt;Lists!G$22)+1)))),IF($AP62="F",IF(N($K62)&lt;=0,0,MIN(MAX(0,$H62),N($K62)*IF(Lists!G$21&lt;$J62,0,(((YEAR(Lists!G$21)-YEAR($J62))*12+MONTH(Lists!G$21)-MONTH($J62))-(EDATE($J62,((YEAR(Lists!G$21)-YEAR($J62))*12+MONTH(Lists!G$21)-MONTH($J62)))&gt;Lists!G$21)+1)))-MIN(MAX(0,$H62),N($K62)*IF(Lists!G$22&lt;$J62,0,(((YEAR(Lists!G$22)-YEAR($J62))*12+MONTH(Lists!G$22)-MONTH($J62))-(EDATE($J62,((YEAR(Lists!G$22)-YEAR($J62))*12+MONTH(Lists!G$22)-MONTH($J62)))&gt;Lists!G$22)+1)))),N($C62)*IF($AE62-$AD62&lt;1,($AD62&gt;Lists!G$22)*($AD62&lt;=Lists!G$21),MAX(0,MIN(Lists!G$21,$AE62)-MAX(Lists!G$22,$AD62))/($AE62-$AD62))+N($D62)*IF($AG62-$AF62&lt;1,($AF62&gt;Lists!G$22)*($AF62&lt;=Lists!G$21),MAX(0,MIN(Lists!G$21,$AG62)-MAX(Lists!G$22,$AF62))/($AG62-$AF62))+N($E62)*IF($AI62-$AH62&lt;1,($AH62&gt;Lists!G$22)*($AH62&lt;=Lists!G$21),MAX(0,MIN(Lists!G$21,$AI62)-MAX(Lists!G$22,$AH62))/($AI62-$AH62))+N($F62)*IF($AK62-$AJ62&lt;1,($AJ62&gt;Lists!G$22)*($AJ62&lt;=Lists!G$21),MAX(0,MIN(Lists!G$21,$AK62)-MAX(Lists!G$22,$AJ62))/($AK62-$AJ62))+N($G62)*IF($AM62-$AL62&lt;1,($AL62&gt;Lists!G$22)*($AL62&lt;=Lists!G$21),MAX(0,MIN(Lists!G$21,$AM62)-MAX(Lists!G$22,$AL62))/($AM62-$AL62))))))))</f>
        <v>0</v>
      </c>
      <c r="R62" s="53" t="n">
        <f aca="false">IF($H62=0,0,IF($AP62="X",0,IF($AP62="S",$H62/$AO62*(MIN($AO62,MAX(0,INT((Lists!H$21-N($J62))/7)+1))-MIN($AO62,MAX(0,INT((Lists!H$22-N($J62))/7)+1))),IF($AP62="D",$H62*MAX(0,MIN(Lists!H$21,N($J62)+$AO62)-MAX(Lists!H$22,N($J62)))/$AO62,IF($AP62="M",$H62/$AO62*(IF(Lists!H$21&lt;$J62,0,MIN($AO62,(((YEAR(Lists!H$21)-YEAR($J62))*12+MONTH(Lists!H$21)-MONTH($J62))-(EDATE($J62,((YEAR(Lists!H$21)-YEAR($J62))*12+MONTH(Lists!H$21)-MONTH($J62)))&gt;Lists!H$21)+1)))-IF(Lists!H$22&lt;$J62,0,MIN($AO62,(((YEAR(Lists!H$22)-YEAR($J62))*12+MONTH(Lists!H$22)-MONTH($J62))-(EDATE($J62,((YEAR(Lists!H$22)-YEAR($J62))*12+MONTH(Lists!H$22)-MONTH($J62)))&gt;Lists!H$22)+1)))),IF($AP62="F",IF(N($K62)&lt;=0,0,MIN(MAX(0,$H62),N($K62)*IF(Lists!H$21&lt;$J62,0,(((YEAR(Lists!H$21)-YEAR($J62))*12+MONTH(Lists!H$21)-MONTH($J62))-(EDATE($J62,((YEAR(Lists!H$21)-YEAR($J62))*12+MONTH(Lists!H$21)-MONTH($J62)))&gt;Lists!H$21)+1)))-MIN(MAX(0,$H62),N($K62)*IF(Lists!H$22&lt;$J62,0,(((YEAR(Lists!H$22)-YEAR($J62))*12+MONTH(Lists!H$22)-MONTH($J62))-(EDATE($J62,((YEAR(Lists!H$22)-YEAR($J62))*12+MONTH(Lists!H$22)-MONTH($J62)))&gt;Lists!H$22)+1)))),N($C62)*IF($AE62-$AD62&lt;1,($AD62&gt;Lists!H$22)*($AD62&lt;=Lists!H$21),MAX(0,MIN(Lists!H$21,$AE62)-MAX(Lists!H$22,$AD62))/($AE62-$AD62))+N($D62)*IF($AG62-$AF62&lt;1,($AF62&gt;Lists!H$22)*($AF62&lt;=Lists!H$21),MAX(0,MIN(Lists!H$21,$AG62)-MAX(Lists!H$22,$AF62))/($AG62-$AF62))+N($E62)*IF($AI62-$AH62&lt;1,($AH62&gt;Lists!H$22)*($AH62&lt;=Lists!H$21),MAX(0,MIN(Lists!H$21,$AI62)-MAX(Lists!H$22,$AH62))/($AI62-$AH62))+N($F62)*IF($AK62-$AJ62&lt;1,($AJ62&gt;Lists!H$22)*($AJ62&lt;=Lists!H$21),MAX(0,MIN(Lists!H$21,$AK62)-MAX(Lists!H$22,$AJ62))/($AK62-$AJ62))+N($G62)*IF($AM62-$AL62&lt;1,($AL62&gt;Lists!H$22)*($AL62&lt;=Lists!H$21),MAX(0,MIN(Lists!H$21,$AM62)-MAX(Lists!H$22,$AL62))/($AM62-$AL62))))))))</f>
        <v>0</v>
      </c>
      <c r="S62" s="53" t="n">
        <f aca="false">IF($H62=0,0,IF($AP62="X",0,IF($AP62="S",$H62/$AO62*(MIN($AO62,MAX(0,INT((Lists!I$21-N($J62))/7)+1))-MIN($AO62,MAX(0,INT((Lists!I$22-N($J62))/7)+1))),IF($AP62="D",$H62*MAX(0,MIN(Lists!I$21,N($J62)+$AO62)-MAX(Lists!I$22,N($J62)))/$AO62,IF($AP62="M",$H62/$AO62*(IF(Lists!I$21&lt;$J62,0,MIN($AO62,(((YEAR(Lists!I$21)-YEAR($J62))*12+MONTH(Lists!I$21)-MONTH($J62))-(EDATE($J62,((YEAR(Lists!I$21)-YEAR($J62))*12+MONTH(Lists!I$21)-MONTH($J62)))&gt;Lists!I$21)+1)))-IF(Lists!I$22&lt;$J62,0,MIN($AO62,(((YEAR(Lists!I$22)-YEAR($J62))*12+MONTH(Lists!I$22)-MONTH($J62))-(EDATE($J62,((YEAR(Lists!I$22)-YEAR($J62))*12+MONTH(Lists!I$22)-MONTH($J62)))&gt;Lists!I$22)+1)))),IF($AP62="F",IF(N($K62)&lt;=0,0,MIN(MAX(0,$H62),N($K62)*IF(Lists!I$21&lt;$J62,0,(((YEAR(Lists!I$21)-YEAR($J62))*12+MONTH(Lists!I$21)-MONTH($J62))-(EDATE($J62,((YEAR(Lists!I$21)-YEAR($J62))*12+MONTH(Lists!I$21)-MONTH($J62)))&gt;Lists!I$21)+1)))-MIN(MAX(0,$H62),N($K62)*IF(Lists!I$22&lt;$J62,0,(((YEAR(Lists!I$22)-YEAR($J62))*12+MONTH(Lists!I$22)-MONTH($J62))-(EDATE($J62,((YEAR(Lists!I$22)-YEAR($J62))*12+MONTH(Lists!I$22)-MONTH($J62)))&gt;Lists!I$22)+1)))),N($C62)*IF($AE62-$AD62&lt;1,($AD62&gt;Lists!I$22)*($AD62&lt;=Lists!I$21),MAX(0,MIN(Lists!I$21,$AE62)-MAX(Lists!I$22,$AD62))/($AE62-$AD62))+N($D62)*IF($AG62-$AF62&lt;1,($AF62&gt;Lists!I$22)*($AF62&lt;=Lists!I$21),MAX(0,MIN(Lists!I$21,$AG62)-MAX(Lists!I$22,$AF62))/($AG62-$AF62))+N($E62)*IF($AI62-$AH62&lt;1,($AH62&gt;Lists!I$22)*($AH62&lt;=Lists!I$21),MAX(0,MIN(Lists!I$21,$AI62)-MAX(Lists!I$22,$AH62))/($AI62-$AH62))+N($F62)*IF($AK62-$AJ62&lt;1,($AJ62&gt;Lists!I$22)*($AJ62&lt;=Lists!I$21),MAX(0,MIN(Lists!I$21,$AK62)-MAX(Lists!I$22,$AJ62))/($AK62-$AJ62))+N($G62)*IF($AM62-$AL62&lt;1,($AL62&gt;Lists!I$22)*($AL62&lt;=Lists!I$21),MAX(0,MIN(Lists!I$21,$AM62)-MAX(Lists!I$22,$AL62))/($AM62-$AL62))))))))</f>
        <v>0</v>
      </c>
      <c r="T62" s="53" t="n">
        <f aca="false">IF($H62=0,0,IF($AP62="X",0,IF($AP62="S",$H62/$AO62*(MIN($AO62,MAX(0,INT((Lists!J$21-N($J62))/7)+1))-MIN($AO62,MAX(0,INT((Lists!J$22-N($J62))/7)+1))),IF($AP62="D",$H62*MAX(0,MIN(Lists!J$21,N($J62)+$AO62)-MAX(Lists!J$22,N($J62)))/$AO62,IF($AP62="M",$H62/$AO62*(IF(Lists!J$21&lt;$J62,0,MIN($AO62,(((YEAR(Lists!J$21)-YEAR($J62))*12+MONTH(Lists!J$21)-MONTH($J62))-(EDATE($J62,((YEAR(Lists!J$21)-YEAR($J62))*12+MONTH(Lists!J$21)-MONTH($J62)))&gt;Lists!J$21)+1)))-IF(Lists!J$22&lt;$J62,0,MIN($AO62,(((YEAR(Lists!J$22)-YEAR($J62))*12+MONTH(Lists!J$22)-MONTH($J62))-(EDATE($J62,((YEAR(Lists!J$22)-YEAR($J62))*12+MONTH(Lists!J$22)-MONTH($J62)))&gt;Lists!J$22)+1)))),IF($AP62="F",IF(N($K62)&lt;=0,0,MIN(MAX(0,$H62),N($K62)*IF(Lists!J$21&lt;$J62,0,(((YEAR(Lists!J$21)-YEAR($J62))*12+MONTH(Lists!J$21)-MONTH($J62))-(EDATE($J62,((YEAR(Lists!J$21)-YEAR($J62))*12+MONTH(Lists!J$21)-MONTH($J62)))&gt;Lists!J$21)+1)))-MIN(MAX(0,$H62),N($K62)*IF(Lists!J$22&lt;$J62,0,(((YEAR(Lists!J$22)-YEAR($J62))*12+MONTH(Lists!J$22)-MONTH($J62))-(EDATE($J62,((YEAR(Lists!J$22)-YEAR($J62))*12+MONTH(Lists!J$22)-MONTH($J62)))&gt;Lists!J$22)+1)))),N($C62)*IF($AE62-$AD62&lt;1,($AD62&gt;Lists!J$22)*($AD62&lt;=Lists!J$21),MAX(0,MIN(Lists!J$21,$AE62)-MAX(Lists!J$22,$AD62))/($AE62-$AD62))+N($D62)*IF($AG62-$AF62&lt;1,($AF62&gt;Lists!J$22)*($AF62&lt;=Lists!J$21),MAX(0,MIN(Lists!J$21,$AG62)-MAX(Lists!J$22,$AF62))/($AG62-$AF62))+N($E62)*IF($AI62-$AH62&lt;1,($AH62&gt;Lists!J$22)*($AH62&lt;=Lists!J$21),MAX(0,MIN(Lists!J$21,$AI62)-MAX(Lists!J$22,$AH62))/($AI62-$AH62))+N($F62)*IF($AK62-$AJ62&lt;1,($AJ62&gt;Lists!J$22)*($AJ62&lt;=Lists!J$21),MAX(0,MIN(Lists!J$21,$AK62)-MAX(Lists!J$22,$AJ62))/($AK62-$AJ62))+N($G62)*IF($AM62-$AL62&lt;1,($AL62&gt;Lists!J$22)*($AL62&lt;=Lists!J$21),MAX(0,MIN(Lists!J$21,$AM62)-MAX(Lists!J$22,$AL62))/($AM62-$AL62))))))))</f>
        <v>0</v>
      </c>
      <c r="U62" s="53" t="n">
        <f aca="false">IF($H62=0,0,IF($AP62="X",0,IF($AP62="S",$H62/$AO62*(MIN($AO62,MAX(0,INT((Lists!K$21-N($J62))/7)+1))-MIN($AO62,MAX(0,INT((Lists!K$22-N($J62))/7)+1))),IF($AP62="D",$H62*MAX(0,MIN(Lists!K$21,N($J62)+$AO62)-MAX(Lists!K$22,N($J62)))/$AO62,IF($AP62="M",$H62/$AO62*(IF(Lists!K$21&lt;$J62,0,MIN($AO62,(((YEAR(Lists!K$21)-YEAR($J62))*12+MONTH(Lists!K$21)-MONTH($J62))-(EDATE($J62,((YEAR(Lists!K$21)-YEAR($J62))*12+MONTH(Lists!K$21)-MONTH($J62)))&gt;Lists!K$21)+1)))-IF(Lists!K$22&lt;$J62,0,MIN($AO62,(((YEAR(Lists!K$22)-YEAR($J62))*12+MONTH(Lists!K$22)-MONTH($J62))-(EDATE($J62,((YEAR(Lists!K$22)-YEAR($J62))*12+MONTH(Lists!K$22)-MONTH($J62)))&gt;Lists!K$22)+1)))),IF($AP62="F",IF(N($K62)&lt;=0,0,MIN(MAX(0,$H62),N($K62)*IF(Lists!K$21&lt;$J62,0,(((YEAR(Lists!K$21)-YEAR($J62))*12+MONTH(Lists!K$21)-MONTH($J62))-(EDATE($J62,((YEAR(Lists!K$21)-YEAR($J62))*12+MONTH(Lists!K$21)-MONTH($J62)))&gt;Lists!K$21)+1)))-MIN(MAX(0,$H62),N($K62)*IF(Lists!K$22&lt;$J62,0,(((YEAR(Lists!K$22)-YEAR($J62))*12+MONTH(Lists!K$22)-MONTH($J62))-(EDATE($J62,((YEAR(Lists!K$22)-YEAR($J62))*12+MONTH(Lists!K$22)-MONTH($J62)))&gt;Lists!K$22)+1)))),N($C62)*IF($AE62-$AD62&lt;1,($AD62&gt;Lists!K$22)*($AD62&lt;=Lists!K$21),MAX(0,MIN(Lists!K$21,$AE62)-MAX(Lists!K$22,$AD62))/($AE62-$AD62))+N($D62)*IF($AG62-$AF62&lt;1,($AF62&gt;Lists!K$22)*($AF62&lt;=Lists!K$21),MAX(0,MIN(Lists!K$21,$AG62)-MAX(Lists!K$22,$AF62))/($AG62-$AF62))+N($E62)*IF($AI62-$AH62&lt;1,($AH62&gt;Lists!K$22)*($AH62&lt;=Lists!K$21),MAX(0,MIN(Lists!K$21,$AI62)-MAX(Lists!K$22,$AH62))/($AI62-$AH62))+N($F62)*IF($AK62-$AJ62&lt;1,($AJ62&gt;Lists!K$22)*($AJ62&lt;=Lists!K$21),MAX(0,MIN(Lists!K$21,$AK62)-MAX(Lists!K$22,$AJ62))/($AK62-$AJ62))+N($G62)*IF($AM62-$AL62&lt;1,($AL62&gt;Lists!K$22)*($AL62&lt;=Lists!K$21),MAX(0,MIN(Lists!K$21,$AM62)-MAX(Lists!K$22,$AL62))/($AM62-$AL62))))))))</f>
        <v>0</v>
      </c>
      <c r="V62" s="53" t="n">
        <f aca="false">IF($H62=0,0,IF($AP62="X",0,IF($AP62="S",$H62/$AO62*(MIN($AO62,MAX(0,INT((Lists!L$21-N($J62))/7)+1))-MIN($AO62,MAX(0,INT((Lists!L$22-N($J62))/7)+1))),IF($AP62="D",$H62*MAX(0,MIN(Lists!L$21,N($J62)+$AO62)-MAX(Lists!L$22,N($J62)))/$AO62,IF($AP62="M",$H62/$AO62*(IF(Lists!L$21&lt;$J62,0,MIN($AO62,(((YEAR(Lists!L$21)-YEAR($J62))*12+MONTH(Lists!L$21)-MONTH($J62))-(EDATE($J62,((YEAR(Lists!L$21)-YEAR($J62))*12+MONTH(Lists!L$21)-MONTH($J62)))&gt;Lists!L$21)+1)))-IF(Lists!L$22&lt;$J62,0,MIN($AO62,(((YEAR(Lists!L$22)-YEAR($J62))*12+MONTH(Lists!L$22)-MONTH($J62))-(EDATE($J62,((YEAR(Lists!L$22)-YEAR($J62))*12+MONTH(Lists!L$22)-MONTH($J62)))&gt;Lists!L$22)+1)))),IF($AP62="F",IF(N($K62)&lt;=0,0,MIN(MAX(0,$H62),N($K62)*IF(Lists!L$21&lt;$J62,0,(((YEAR(Lists!L$21)-YEAR($J62))*12+MONTH(Lists!L$21)-MONTH($J62))-(EDATE($J62,((YEAR(Lists!L$21)-YEAR($J62))*12+MONTH(Lists!L$21)-MONTH($J62)))&gt;Lists!L$21)+1)))-MIN(MAX(0,$H62),N($K62)*IF(Lists!L$22&lt;$J62,0,(((YEAR(Lists!L$22)-YEAR($J62))*12+MONTH(Lists!L$22)-MONTH($J62))-(EDATE($J62,((YEAR(Lists!L$22)-YEAR($J62))*12+MONTH(Lists!L$22)-MONTH($J62)))&gt;Lists!L$22)+1)))),N($C62)*IF($AE62-$AD62&lt;1,($AD62&gt;Lists!L$22)*($AD62&lt;=Lists!L$21),MAX(0,MIN(Lists!L$21,$AE62)-MAX(Lists!L$22,$AD62))/($AE62-$AD62))+N($D62)*IF($AG62-$AF62&lt;1,($AF62&gt;Lists!L$22)*($AF62&lt;=Lists!L$21),MAX(0,MIN(Lists!L$21,$AG62)-MAX(Lists!L$22,$AF62))/($AG62-$AF62))+N($E62)*IF($AI62-$AH62&lt;1,($AH62&gt;Lists!L$22)*($AH62&lt;=Lists!L$21),MAX(0,MIN(Lists!L$21,$AI62)-MAX(Lists!L$22,$AH62))/($AI62-$AH62))+N($F62)*IF($AK62-$AJ62&lt;1,($AJ62&gt;Lists!L$22)*($AJ62&lt;=Lists!L$21),MAX(0,MIN(Lists!L$21,$AK62)-MAX(Lists!L$22,$AJ62))/($AK62-$AJ62))+N($G62)*IF($AM62-$AL62&lt;1,($AL62&gt;Lists!L$22)*($AL62&lt;=Lists!L$21),MAX(0,MIN(Lists!L$21,$AM62)-MAX(Lists!L$22,$AL62))/($AM62-$AL62))))))))</f>
        <v>0</v>
      </c>
      <c r="W62" s="53" t="n">
        <f aca="false">IF($H62=0,0,IF($AP62="X",0,IF($AP62="S",$H62/$AO62*(MIN($AO62,MAX(0,INT((Lists!M$21-N($J62))/7)+1))-MIN($AO62,MAX(0,INT((Lists!M$22-N($J62))/7)+1))),IF($AP62="D",$H62*MAX(0,MIN(Lists!M$21,N($J62)+$AO62)-MAX(Lists!M$22,N($J62)))/$AO62,IF($AP62="M",$H62/$AO62*(IF(Lists!M$21&lt;$J62,0,MIN($AO62,(((YEAR(Lists!M$21)-YEAR($J62))*12+MONTH(Lists!M$21)-MONTH($J62))-(EDATE($J62,((YEAR(Lists!M$21)-YEAR($J62))*12+MONTH(Lists!M$21)-MONTH($J62)))&gt;Lists!M$21)+1)))-IF(Lists!M$22&lt;$J62,0,MIN($AO62,(((YEAR(Lists!M$22)-YEAR($J62))*12+MONTH(Lists!M$22)-MONTH($J62))-(EDATE($J62,((YEAR(Lists!M$22)-YEAR($J62))*12+MONTH(Lists!M$22)-MONTH($J62)))&gt;Lists!M$22)+1)))),IF($AP62="F",IF(N($K62)&lt;=0,0,MIN(MAX(0,$H62),N($K62)*IF(Lists!M$21&lt;$J62,0,(((YEAR(Lists!M$21)-YEAR($J62))*12+MONTH(Lists!M$21)-MONTH($J62))-(EDATE($J62,((YEAR(Lists!M$21)-YEAR($J62))*12+MONTH(Lists!M$21)-MONTH($J62)))&gt;Lists!M$21)+1)))-MIN(MAX(0,$H62),N($K62)*IF(Lists!M$22&lt;$J62,0,(((YEAR(Lists!M$22)-YEAR($J62))*12+MONTH(Lists!M$22)-MONTH($J62))-(EDATE($J62,((YEAR(Lists!M$22)-YEAR($J62))*12+MONTH(Lists!M$22)-MONTH($J62)))&gt;Lists!M$22)+1)))),N($C62)*IF($AE62-$AD62&lt;1,($AD62&gt;Lists!M$22)*($AD62&lt;=Lists!M$21),MAX(0,MIN(Lists!M$21,$AE62)-MAX(Lists!M$22,$AD62))/($AE62-$AD62))+N($D62)*IF($AG62-$AF62&lt;1,($AF62&gt;Lists!M$22)*($AF62&lt;=Lists!M$21),MAX(0,MIN(Lists!M$21,$AG62)-MAX(Lists!M$22,$AF62))/($AG62-$AF62))+N($E62)*IF($AI62-$AH62&lt;1,($AH62&gt;Lists!M$22)*($AH62&lt;=Lists!M$21),MAX(0,MIN(Lists!M$21,$AI62)-MAX(Lists!M$22,$AH62))/($AI62-$AH62))+N($F62)*IF($AK62-$AJ62&lt;1,($AJ62&gt;Lists!M$22)*($AJ62&lt;=Lists!M$21),MAX(0,MIN(Lists!M$21,$AK62)-MAX(Lists!M$22,$AJ62))/($AK62-$AJ62))+N($G62)*IF($AM62-$AL62&lt;1,($AL62&gt;Lists!M$22)*($AL62&lt;=Lists!M$21),MAX(0,MIN(Lists!M$21,$AM62)-MAX(Lists!M$22,$AL62))/($AM62-$AL62))))))))</f>
        <v>0</v>
      </c>
      <c r="X62" s="53" t="n">
        <f aca="false">IF($H62=0,0,IF($AP62="X",0,IF($AP62="S",$H62/$AO62*(MIN($AO62,MAX(0,INT((Lists!N$21-N($J62))/7)+1))-MIN($AO62,MAX(0,INT((Lists!N$22-N($J62))/7)+1))),IF($AP62="D",$H62*MAX(0,MIN(Lists!N$21,N($J62)+$AO62)-MAX(Lists!N$22,N($J62)))/$AO62,IF($AP62="M",$H62/$AO62*(IF(Lists!N$21&lt;$J62,0,MIN($AO62,(((YEAR(Lists!N$21)-YEAR($J62))*12+MONTH(Lists!N$21)-MONTH($J62))-(EDATE($J62,((YEAR(Lists!N$21)-YEAR($J62))*12+MONTH(Lists!N$21)-MONTH($J62)))&gt;Lists!N$21)+1)))-IF(Lists!N$22&lt;$J62,0,MIN($AO62,(((YEAR(Lists!N$22)-YEAR($J62))*12+MONTH(Lists!N$22)-MONTH($J62))-(EDATE($J62,((YEAR(Lists!N$22)-YEAR($J62))*12+MONTH(Lists!N$22)-MONTH($J62)))&gt;Lists!N$22)+1)))),IF($AP62="F",IF(N($K62)&lt;=0,0,MIN(MAX(0,$H62),N($K62)*IF(Lists!N$21&lt;$J62,0,(((YEAR(Lists!N$21)-YEAR($J62))*12+MONTH(Lists!N$21)-MONTH($J62))-(EDATE($J62,((YEAR(Lists!N$21)-YEAR($J62))*12+MONTH(Lists!N$21)-MONTH($J62)))&gt;Lists!N$21)+1)))-MIN(MAX(0,$H62),N($K62)*IF(Lists!N$22&lt;$J62,0,(((YEAR(Lists!N$22)-YEAR($J62))*12+MONTH(Lists!N$22)-MONTH($J62))-(EDATE($J62,((YEAR(Lists!N$22)-YEAR($J62))*12+MONTH(Lists!N$22)-MONTH($J62)))&gt;Lists!N$22)+1)))),N($C62)*IF($AE62-$AD62&lt;1,($AD62&gt;Lists!N$22)*($AD62&lt;=Lists!N$21),MAX(0,MIN(Lists!N$21,$AE62)-MAX(Lists!N$22,$AD62))/($AE62-$AD62))+N($D62)*IF($AG62-$AF62&lt;1,($AF62&gt;Lists!N$22)*($AF62&lt;=Lists!N$21),MAX(0,MIN(Lists!N$21,$AG62)-MAX(Lists!N$22,$AF62))/($AG62-$AF62))+N($E62)*IF($AI62-$AH62&lt;1,($AH62&gt;Lists!N$22)*($AH62&lt;=Lists!N$21),MAX(0,MIN(Lists!N$21,$AI62)-MAX(Lists!N$22,$AH62))/($AI62-$AH62))+N($F62)*IF($AK62-$AJ62&lt;1,($AJ62&gt;Lists!N$22)*($AJ62&lt;=Lists!N$21),MAX(0,MIN(Lists!N$21,$AK62)-MAX(Lists!N$22,$AJ62))/($AK62-$AJ62))+N($G62)*IF($AM62-$AL62&lt;1,($AL62&gt;Lists!N$22)*($AL62&lt;=Lists!N$21),MAX(0,MIN(Lists!N$21,$AM62)-MAX(Lists!N$22,$AL62))/($AM62-$AL62))))))))</f>
        <v>0</v>
      </c>
      <c r="Y62" s="53" t="n">
        <f aca="false">IF($H62=0,0,IF($AP62="X",0,IF($AP62="S",$H62/$AO62*(MIN($AO62,MAX(0,INT((Lists!O$21-N($J62))/7)+1))-MIN($AO62,MAX(0,INT((Lists!O$22-N($J62))/7)+1))),IF($AP62="D",$H62*MAX(0,MIN(Lists!O$21,N($J62)+$AO62)-MAX(Lists!O$22,N($J62)))/$AO62,IF($AP62="M",$H62/$AO62*(IF(Lists!O$21&lt;$J62,0,MIN($AO62,(((YEAR(Lists!O$21)-YEAR($J62))*12+MONTH(Lists!O$21)-MONTH($J62))-(EDATE($J62,((YEAR(Lists!O$21)-YEAR($J62))*12+MONTH(Lists!O$21)-MONTH($J62)))&gt;Lists!O$21)+1)))-IF(Lists!O$22&lt;$J62,0,MIN($AO62,(((YEAR(Lists!O$22)-YEAR($J62))*12+MONTH(Lists!O$22)-MONTH($J62))-(EDATE($J62,((YEAR(Lists!O$22)-YEAR($J62))*12+MONTH(Lists!O$22)-MONTH($J62)))&gt;Lists!O$22)+1)))),IF($AP62="F",IF(N($K62)&lt;=0,0,MIN(MAX(0,$H62),N($K62)*IF(Lists!O$21&lt;$J62,0,(((YEAR(Lists!O$21)-YEAR($J62))*12+MONTH(Lists!O$21)-MONTH($J62))-(EDATE($J62,((YEAR(Lists!O$21)-YEAR($J62))*12+MONTH(Lists!O$21)-MONTH($J62)))&gt;Lists!O$21)+1)))-MIN(MAX(0,$H62),N($K62)*IF(Lists!O$22&lt;$J62,0,(((YEAR(Lists!O$22)-YEAR($J62))*12+MONTH(Lists!O$22)-MONTH($J62))-(EDATE($J62,((YEAR(Lists!O$22)-YEAR($J62))*12+MONTH(Lists!O$22)-MONTH($J62)))&gt;Lists!O$22)+1)))),N($C62)*IF($AE62-$AD62&lt;1,($AD62&gt;Lists!O$22)*($AD62&lt;=Lists!O$21),MAX(0,MIN(Lists!O$21,$AE62)-MAX(Lists!O$22,$AD62))/($AE62-$AD62))+N($D62)*IF($AG62-$AF62&lt;1,($AF62&gt;Lists!O$22)*($AF62&lt;=Lists!O$21),MAX(0,MIN(Lists!O$21,$AG62)-MAX(Lists!O$22,$AF62))/($AG62-$AF62))+N($E62)*IF($AI62-$AH62&lt;1,($AH62&gt;Lists!O$22)*($AH62&lt;=Lists!O$21),MAX(0,MIN(Lists!O$21,$AI62)-MAX(Lists!O$22,$AH62))/($AI62-$AH62))+N($F62)*IF($AK62-$AJ62&lt;1,($AJ62&gt;Lists!O$22)*($AJ62&lt;=Lists!O$21),MAX(0,MIN(Lists!O$21,$AK62)-MAX(Lists!O$22,$AJ62))/($AK62-$AJ62))+N($G62)*IF($AM62-$AL62&lt;1,($AL62&gt;Lists!O$22)*($AL62&lt;=Lists!O$21),MAX(0,MIN(Lists!O$21,$AM62)-MAX(Lists!O$22,$AL62))/($AM62-$AL62))))))))</f>
        <v>0</v>
      </c>
      <c r="Z62" s="46" t="n">
        <f aca="false">SUM(M62:Y62)</f>
        <v>0</v>
      </c>
      <c r="AA62" s="92" t="n">
        <f aca="false">H62-Z62</f>
        <v>0</v>
      </c>
      <c r="AB62" s="55"/>
      <c r="AC62" s="2"/>
      <c r="AD62" s="93" t="n">
        <f aca="false">Setup!$D$10+MAX(0,$AN62-30)</f>
        <v>46345</v>
      </c>
      <c r="AE62" s="93" t="n">
        <f aca="false">Setup!$D$10+IF($AN62-30&lt;0,MAX(Setup!$D$22,$AN62-0),$AN62-0)</f>
        <v>46375</v>
      </c>
      <c r="AF62" s="93" t="n">
        <f aca="false">Setup!$D$10+MAX(0,$AN62-60)</f>
        <v>46335</v>
      </c>
      <c r="AG62" s="93" t="n">
        <f aca="false">Setup!$D$10+IF($AN62-60&lt;0,MAX(Setup!$D$22,$AN62-31),$AN62-31)</f>
        <v>46363</v>
      </c>
      <c r="AH62" s="93" t="n">
        <f aca="false">Setup!$D$10+MAX(0,$AN62-90)</f>
        <v>46335</v>
      </c>
      <c r="AI62" s="93" t="n">
        <f aca="false">Setup!$D$10+IF($AN62-90&lt;0,MAX(Setup!$D$22,$AN62-61),$AN62-61)</f>
        <v>46363</v>
      </c>
      <c r="AJ62" s="93" t="n">
        <f aca="false">Setup!$D$10+MAX(0,$AN62-120)</f>
        <v>46335</v>
      </c>
      <c r="AK62" s="93" t="n">
        <f aca="false">Setup!$D$10+IF($AN62-120&lt;0,MAX(Setup!$D$22,$AN62-91),$AN62-91)</f>
        <v>46363</v>
      </c>
      <c r="AL62" s="93" t="n">
        <f aca="false">Setup!$D$10</f>
        <v>46335</v>
      </c>
      <c r="AM62" s="93" t="n">
        <f aca="false">IF(AL62=2958465,AL62,Setup!$D$10+Setup!$D$22)</f>
        <v>46363</v>
      </c>
      <c r="AN62" s="94" t="n">
        <f aca="false">IF(N(L62)=0,Setup!$D$21,L62)</f>
        <v>40</v>
      </c>
      <c r="AO62" s="94" t="n">
        <f aca="false">MAX(1,ROUND(N(K62),0))</f>
        <v>1</v>
      </c>
      <c r="AP62" s="95" t="str">
        <f aca="false">IF(I62="On hold","X",IF(N(J62)=0,"A",IF(I62="Specific date","S",IF(I62="Spread over days","D",IF(I62="Monthly on set day","M",IF(I62="Monthly fixed amount","F","A"))))))</f>
        <v>A</v>
      </c>
    </row>
    <row r="63" customFormat="false" ht="15" hidden="false" customHeight="false" outlineLevel="0" collapsed="false">
      <c r="A63" s="87" t="n">
        <v>55</v>
      </c>
      <c r="B63" s="55"/>
      <c r="C63" s="88"/>
      <c r="D63" s="88"/>
      <c r="E63" s="88"/>
      <c r="F63" s="88"/>
      <c r="G63" s="88"/>
      <c r="H63" s="89" t="n">
        <f aca="false">SUM(C63:G63)</f>
        <v>0</v>
      </c>
      <c r="I63" s="58"/>
      <c r="J63" s="90"/>
      <c r="K63" s="91"/>
      <c r="L63" s="80"/>
      <c r="M63" s="53" t="n">
        <f aca="false">IF($H63=0,0,IF($AP63="X",0,IF($AP63="S",$H63/$AO63*(MIN($AO63,MAX(0,INT((Lists!C$21-N($J63))/7)+1))-MIN($AO63,MAX(0,INT((Lists!C$22-N($J63))/7)+1))),IF($AP63="D",$H63*MAX(0,MIN(Lists!C$21,N($J63)+$AO63)-MAX(Lists!C$22,N($J63)))/$AO63,IF($AP63="M",$H63/$AO63*(IF(Lists!C$21&lt;$J63,0,MIN($AO63,(((YEAR(Lists!C$21)-YEAR($J63))*12+MONTH(Lists!C$21)-MONTH($J63))-(EDATE($J63,((YEAR(Lists!C$21)-YEAR($J63))*12+MONTH(Lists!C$21)-MONTH($J63)))&gt;Lists!C$21)+1)))-IF(Lists!C$22&lt;$J63,0,MIN($AO63,(((YEAR(Lists!C$22)-YEAR($J63))*12+MONTH(Lists!C$22)-MONTH($J63))-(EDATE($J63,((YEAR(Lists!C$22)-YEAR($J63))*12+MONTH(Lists!C$22)-MONTH($J63)))&gt;Lists!C$22)+1)))),IF($AP63="F",IF(N($K63)&lt;=0,0,MIN(MAX(0,$H63),N($K63)*IF(Lists!C$21&lt;$J63,0,(((YEAR(Lists!C$21)-YEAR($J63))*12+MONTH(Lists!C$21)-MONTH($J63))-(EDATE($J63,((YEAR(Lists!C$21)-YEAR($J63))*12+MONTH(Lists!C$21)-MONTH($J63)))&gt;Lists!C$21)+1)))-MIN(MAX(0,$H63),N($K63)*IF(Lists!C$22&lt;$J63,0,(((YEAR(Lists!C$22)-YEAR($J63))*12+MONTH(Lists!C$22)-MONTH($J63))-(EDATE($J63,((YEAR(Lists!C$22)-YEAR($J63))*12+MONTH(Lists!C$22)-MONTH($J63)))&gt;Lists!C$22)+1)))),N($C63)*IF($AE63-$AD63&lt;1,($AD63&gt;Lists!C$22)*($AD63&lt;=Lists!C$21),MAX(0,MIN(Lists!C$21,$AE63)-MAX(Lists!C$22,$AD63))/($AE63-$AD63))+N($D63)*IF($AG63-$AF63&lt;1,($AF63&gt;Lists!C$22)*($AF63&lt;=Lists!C$21),MAX(0,MIN(Lists!C$21,$AG63)-MAX(Lists!C$22,$AF63))/($AG63-$AF63))+N($E63)*IF($AI63-$AH63&lt;1,($AH63&gt;Lists!C$22)*($AH63&lt;=Lists!C$21),MAX(0,MIN(Lists!C$21,$AI63)-MAX(Lists!C$22,$AH63))/($AI63-$AH63))+N($F63)*IF($AK63-$AJ63&lt;1,($AJ63&gt;Lists!C$22)*($AJ63&lt;=Lists!C$21),MAX(0,MIN(Lists!C$21,$AK63)-MAX(Lists!C$22,$AJ63))/($AK63-$AJ63))+N($G63)*IF($AM63-$AL63&lt;1,($AL63&gt;Lists!C$22)*($AL63&lt;=Lists!C$21),MAX(0,MIN(Lists!C$21,$AM63)-MAX(Lists!C$22,$AL63))/($AM63-$AL63))))))))</f>
        <v>0</v>
      </c>
      <c r="N63" s="53" t="n">
        <f aca="false">IF($H63=0,0,IF($AP63="X",0,IF($AP63="S",$H63/$AO63*(MIN($AO63,MAX(0,INT((Lists!D$21-N($J63))/7)+1))-MIN($AO63,MAX(0,INT((Lists!D$22-N($J63))/7)+1))),IF($AP63="D",$H63*MAX(0,MIN(Lists!D$21,N($J63)+$AO63)-MAX(Lists!D$22,N($J63)))/$AO63,IF($AP63="M",$H63/$AO63*(IF(Lists!D$21&lt;$J63,0,MIN($AO63,(((YEAR(Lists!D$21)-YEAR($J63))*12+MONTH(Lists!D$21)-MONTH($J63))-(EDATE($J63,((YEAR(Lists!D$21)-YEAR($J63))*12+MONTH(Lists!D$21)-MONTH($J63)))&gt;Lists!D$21)+1)))-IF(Lists!D$22&lt;$J63,0,MIN($AO63,(((YEAR(Lists!D$22)-YEAR($J63))*12+MONTH(Lists!D$22)-MONTH($J63))-(EDATE($J63,((YEAR(Lists!D$22)-YEAR($J63))*12+MONTH(Lists!D$22)-MONTH($J63)))&gt;Lists!D$22)+1)))),IF($AP63="F",IF(N($K63)&lt;=0,0,MIN(MAX(0,$H63),N($K63)*IF(Lists!D$21&lt;$J63,0,(((YEAR(Lists!D$21)-YEAR($J63))*12+MONTH(Lists!D$21)-MONTH($J63))-(EDATE($J63,((YEAR(Lists!D$21)-YEAR($J63))*12+MONTH(Lists!D$21)-MONTH($J63)))&gt;Lists!D$21)+1)))-MIN(MAX(0,$H63),N($K63)*IF(Lists!D$22&lt;$J63,0,(((YEAR(Lists!D$22)-YEAR($J63))*12+MONTH(Lists!D$22)-MONTH($J63))-(EDATE($J63,((YEAR(Lists!D$22)-YEAR($J63))*12+MONTH(Lists!D$22)-MONTH($J63)))&gt;Lists!D$22)+1)))),N($C63)*IF($AE63-$AD63&lt;1,($AD63&gt;Lists!D$22)*($AD63&lt;=Lists!D$21),MAX(0,MIN(Lists!D$21,$AE63)-MAX(Lists!D$22,$AD63))/($AE63-$AD63))+N($D63)*IF($AG63-$AF63&lt;1,($AF63&gt;Lists!D$22)*($AF63&lt;=Lists!D$21),MAX(0,MIN(Lists!D$21,$AG63)-MAX(Lists!D$22,$AF63))/($AG63-$AF63))+N($E63)*IF($AI63-$AH63&lt;1,($AH63&gt;Lists!D$22)*($AH63&lt;=Lists!D$21),MAX(0,MIN(Lists!D$21,$AI63)-MAX(Lists!D$22,$AH63))/($AI63-$AH63))+N($F63)*IF($AK63-$AJ63&lt;1,($AJ63&gt;Lists!D$22)*($AJ63&lt;=Lists!D$21),MAX(0,MIN(Lists!D$21,$AK63)-MAX(Lists!D$22,$AJ63))/($AK63-$AJ63))+N($G63)*IF($AM63-$AL63&lt;1,($AL63&gt;Lists!D$22)*($AL63&lt;=Lists!D$21),MAX(0,MIN(Lists!D$21,$AM63)-MAX(Lists!D$22,$AL63))/($AM63-$AL63))))))))</f>
        <v>0</v>
      </c>
      <c r="O63" s="53" t="n">
        <f aca="false">IF($H63=0,0,IF($AP63="X",0,IF($AP63="S",$H63/$AO63*(MIN($AO63,MAX(0,INT((Lists!E$21-N($J63))/7)+1))-MIN($AO63,MAX(0,INT((Lists!E$22-N($J63))/7)+1))),IF($AP63="D",$H63*MAX(0,MIN(Lists!E$21,N($J63)+$AO63)-MAX(Lists!E$22,N($J63)))/$AO63,IF($AP63="M",$H63/$AO63*(IF(Lists!E$21&lt;$J63,0,MIN($AO63,(((YEAR(Lists!E$21)-YEAR($J63))*12+MONTH(Lists!E$21)-MONTH($J63))-(EDATE($J63,((YEAR(Lists!E$21)-YEAR($J63))*12+MONTH(Lists!E$21)-MONTH($J63)))&gt;Lists!E$21)+1)))-IF(Lists!E$22&lt;$J63,0,MIN($AO63,(((YEAR(Lists!E$22)-YEAR($J63))*12+MONTH(Lists!E$22)-MONTH($J63))-(EDATE($J63,((YEAR(Lists!E$22)-YEAR($J63))*12+MONTH(Lists!E$22)-MONTH($J63)))&gt;Lists!E$22)+1)))),IF($AP63="F",IF(N($K63)&lt;=0,0,MIN(MAX(0,$H63),N($K63)*IF(Lists!E$21&lt;$J63,0,(((YEAR(Lists!E$21)-YEAR($J63))*12+MONTH(Lists!E$21)-MONTH($J63))-(EDATE($J63,((YEAR(Lists!E$21)-YEAR($J63))*12+MONTH(Lists!E$21)-MONTH($J63)))&gt;Lists!E$21)+1)))-MIN(MAX(0,$H63),N($K63)*IF(Lists!E$22&lt;$J63,0,(((YEAR(Lists!E$22)-YEAR($J63))*12+MONTH(Lists!E$22)-MONTH($J63))-(EDATE($J63,((YEAR(Lists!E$22)-YEAR($J63))*12+MONTH(Lists!E$22)-MONTH($J63)))&gt;Lists!E$22)+1)))),N($C63)*IF($AE63-$AD63&lt;1,($AD63&gt;Lists!E$22)*($AD63&lt;=Lists!E$21),MAX(0,MIN(Lists!E$21,$AE63)-MAX(Lists!E$22,$AD63))/($AE63-$AD63))+N($D63)*IF($AG63-$AF63&lt;1,($AF63&gt;Lists!E$22)*($AF63&lt;=Lists!E$21),MAX(0,MIN(Lists!E$21,$AG63)-MAX(Lists!E$22,$AF63))/($AG63-$AF63))+N($E63)*IF($AI63-$AH63&lt;1,($AH63&gt;Lists!E$22)*($AH63&lt;=Lists!E$21),MAX(0,MIN(Lists!E$21,$AI63)-MAX(Lists!E$22,$AH63))/($AI63-$AH63))+N($F63)*IF($AK63-$AJ63&lt;1,($AJ63&gt;Lists!E$22)*($AJ63&lt;=Lists!E$21),MAX(0,MIN(Lists!E$21,$AK63)-MAX(Lists!E$22,$AJ63))/($AK63-$AJ63))+N($G63)*IF($AM63-$AL63&lt;1,($AL63&gt;Lists!E$22)*($AL63&lt;=Lists!E$21),MAX(0,MIN(Lists!E$21,$AM63)-MAX(Lists!E$22,$AL63))/($AM63-$AL63))))))))</f>
        <v>0</v>
      </c>
      <c r="P63" s="53" t="n">
        <f aca="false">IF($H63=0,0,IF($AP63="X",0,IF($AP63="S",$H63/$AO63*(MIN($AO63,MAX(0,INT((Lists!F$21-N($J63))/7)+1))-MIN($AO63,MAX(0,INT((Lists!F$22-N($J63))/7)+1))),IF($AP63="D",$H63*MAX(0,MIN(Lists!F$21,N($J63)+$AO63)-MAX(Lists!F$22,N($J63)))/$AO63,IF($AP63="M",$H63/$AO63*(IF(Lists!F$21&lt;$J63,0,MIN($AO63,(((YEAR(Lists!F$21)-YEAR($J63))*12+MONTH(Lists!F$21)-MONTH($J63))-(EDATE($J63,((YEAR(Lists!F$21)-YEAR($J63))*12+MONTH(Lists!F$21)-MONTH($J63)))&gt;Lists!F$21)+1)))-IF(Lists!F$22&lt;$J63,0,MIN($AO63,(((YEAR(Lists!F$22)-YEAR($J63))*12+MONTH(Lists!F$22)-MONTH($J63))-(EDATE($J63,((YEAR(Lists!F$22)-YEAR($J63))*12+MONTH(Lists!F$22)-MONTH($J63)))&gt;Lists!F$22)+1)))),IF($AP63="F",IF(N($K63)&lt;=0,0,MIN(MAX(0,$H63),N($K63)*IF(Lists!F$21&lt;$J63,0,(((YEAR(Lists!F$21)-YEAR($J63))*12+MONTH(Lists!F$21)-MONTH($J63))-(EDATE($J63,((YEAR(Lists!F$21)-YEAR($J63))*12+MONTH(Lists!F$21)-MONTH($J63)))&gt;Lists!F$21)+1)))-MIN(MAX(0,$H63),N($K63)*IF(Lists!F$22&lt;$J63,0,(((YEAR(Lists!F$22)-YEAR($J63))*12+MONTH(Lists!F$22)-MONTH($J63))-(EDATE($J63,((YEAR(Lists!F$22)-YEAR($J63))*12+MONTH(Lists!F$22)-MONTH($J63)))&gt;Lists!F$22)+1)))),N($C63)*IF($AE63-$AD63&lt;1,($AD63&gt;Lists!F$22)*($AD63&lt;=Lists!F$21),MAX(0,MIN(Lists!F$21,$AE63)-MAX(Lists!F$22,$AD63))/($AE63-$AD63))+N($D63)*IF($AG63-$AF63&lt;1,($AF63&gt;Lists!F$22)*($AF63&lt;=Lists!F$21),MAX(0,MIN(Lists!F$21,$AG63)-MAX(Lists!F$22,$AF63))/($AG63-$AF63))+N($E63)*IF($AI63-$AH63&lt;1,($AH63&gt;Lists!F$22)*($AH63&lt;=Lists!F$21),MAX(0,MIN(Lists!F$21,$AI63)-MAX(Lists!F$22,$AH63))/($AI63-$AH63))+N($F63)*IF($AK63-$AJ63&lt;1,($AJ63&gt;Lists!F$22)*($AJ63&lt;=Lists!F$21),MAX(0,MIN(Lists!F$21,$AK63)-MAX(Lists!F$22,$AJ63))/($AK63-$AJ63))+N($G63)*IF($AM63-$AL63&lt;1,($AL63&gt;Lists!F$22)*($AL63&lt;=Lists!F$21),MAX(0,MIN(Lists!F$21,$AM63)-MAX(Lists!F$22,$AL63))/($AM63-$AL63))))))))</f>
        <v>0</v>
      </c>
      <c r="Q63" s="53" t="n">
        <f aca="false">IF($H63=0,0,IF($AP63="X",0,IF($AP63="S",$H63/$AO63*(MIN($AO63,MAX(0,INT((Lists!G$21-N($J63))/7)+1))-MIN($AO63,MAX(0,INT((Lists!G$22-N($J63))/7)+1))),IF($AP63="D",$H63*MAX(0,MIN(Lists!G$21,N($J63)+$AO63)-MAX(Lists!G$22,N($J63)))/$AO63,IF($AP63="M",$H63/$AO63*(IF(Lists!G$21&lt;$J63,0,MIN($AO63,(((YEAR(Lists!G$21)-YEAR($J63))*12+MONTH(Lists!G$21)-MONTH($J63))-(EDATE($J63,((YEAR(Lists!G$21)-YEAR($J63))*12+MONTH(Lists!G$21)-MONTH($J63)))&gt;Lists!G$21)+1)))-IF(Lists!G$22&lt;$J63,0,MIN($AO63,(((YEAR(Lists!G$22)-YEAR($J63))*12+MONTH(Lists!G$22)-MONTH($J63))-(EDATE($J63,((YEAR(Lists!G$22)-YEAR($J63))*12+MONTH(Lists!G$22)-MONTH($J63)))&gt;Lists!G$22)+1)))),IF($AP63="F",IF(N($K63)&lt;=0,0,MIN(MAX(0,$H63),N($K63)*IF(Lists!G$21&lt;$J63,0,(((YEAR(Lists!G$21)-YEAR($J63))*12+MONTH(Lists!G$21)-MONTH($J63))-(EDATE($J63,((YEAR(Lists!G$21)-YEAR($J63))*12+MONTH(Lists!G$21)-MONTH($J63)))&gt;Lists!G$21)+1)))-MIN(MAX(0,$H63),N($K63)*IF(Lists!G$22&lt;$J63,0,(((YEAR(Lists!G$22)-YEAR($J63))*12+MONTH(Lists!G$22)-MONTH($J63))-(EDATE($J63,((YEAR(Lists!G$22)-YEAR($J63))*12+MONTH(Lists!G$22)-MONTH($J63)))&gt;Lists!G$22)+1)))),N($C63)*IF($AE63-$AD63&lt;1,($AD63&gt;Lists!G$22)*($AD63&lt;=Lists!G$21),MAX(0,MIN(Lists!G$21,$AE63)-MAX(Lists!G$22,$AD63))/($AE63-$AD63))+N($D63)*IF($AG63-$AF63&lt;1,($AF63&gt;Lists!G$22)*($AF63&lt;=Lists!G$21),MAX(0,MIN(Lists!G$21,$AG63)-MAX(Lists!G$22,$AF63))/($AG63-$AF63))+N($E63)*IF($AI63-$AH63&lt;1,($AH63&gt;Lists!G$22)*($AH63&lt;=Lists!G$21),MAX(0,MIN(Lists!G$21,$AI63)-MAX(Lists!G$22,$AH63))/($AI63-$AH63))+N($F63)*IF($AK63-$AJ63&lt;1,($AJ63&gt;Lists!G$22)*($AJ63&lt;=Lists!G$21),MAX(0,MIN(Lists!G$21,$AK63)-MAX(Lists!G$22,$AJ63))/($AK63-$AJ63))+N($G63)*IF($AM63-$AL63&lt;1,($AL63&gt;Lists!G$22)*($AL63&lt;=Lists!G$21),MAX(0,MIN(Lists!G$21,$AM63)-MAX(Lists!G$22,$AL63))/($AM63-$AL63))))))))</f>
        <v>0</v>
      </c>
      <c r="R63" s="53" t="n">
        <f aca="false">IF($H63=0,0,IF($AP63="X",0,IF($AP63="S",$H63/$AO63*(MIN($AO63,MAX(0,INT((Lists!H$21-N($J63))/7)+1))-MIN($AO63,MAX(0,INT((Lists!H$22-N($J63))/7)+1))),IF($AP63="D",$H63*MAX(0,MIN(Lists!H$21,N($J63)+$AO63)-MAX(Lists!H$22,N($J63)))/$AO63,IF($AP63="M",$H63/$AO63*(IF(Lists!H$21&lt;$J63,0,MIN($AO63,(((YEAR(Lists!H$21)-YEAR($J63))*12+MONTH(Lists!H$21)-MONTH($J63))-(EDATE($J63,((YEAR(Lists!H$21)-YEAR($J63))*12+MONTH(Lists!H$21)-MONTH($J63)))&gt;Lists!H$21)+1)))-IF(Lists!H$22&lt;$J63,0,MIN($AO63,(((YEAR(Lists!H$22)-YEAR($J63))*12+MONTH(Lists!H$22)-MONTH($J63))-(EDATE($J63,((YEAR(Lists!H$22)-YEAR($J63))*12+MONTH(Lists!H$22)-MONTH($J63)))&gt;Lists!H$22)+1)))),IF($AP63="F",IF(N($K63)&lt;=0,0,MIN(MAX(0,$H63),N($K63)*IF(Lists!H$21&lt;$J63,0,(((YEAR(Lists!H$21)-YEAR($J63))*12+MONTH(Lists!H$21)-MONTH($J63))-(EDATE($J63,((YEAR(Lists!H$21)-YEAR($J63))*12+MONTH(Lists!H$21)-MONTH($J63)))&gt;Lists!H$21)+1)))-MIN(MAX(0,$H63),N($K63)*IF(Lists!H$22&lt;$J63,0,(((YEAR(Lists!H$22)-YEAR($J63))*12+MONTH(Lists!H$22)-MONTH($J63))-(EDATE($J63,((YEAR(Lists!H$22)-YEAR($J63))*12+MONTH(Lists!H$22)-MONTH($J63)))&gt;Lists!H$22)+1)))),N($C63)*IF($AE63-$AD63&lt;1,($AD63&gt;Lists!H$22)*($AD63&lt;=Lists!H$21),MAX(0,MIN(Lists!H$21,$AE63)-MAX(Lists!H$22,$AD63))/($AE63-$AD63))+N($D63)*IF($AG63-$AF63&lt;1,($AF63&gt;Lists!H$22)*($AF63&lt;=Lists!H$21),MAX(0,MIN(Lists!H$21,$AG63)-MAX(Lists!H$22,$AF63))/($AG63-$AF63))+N($E63)*IF($AI63-$AH63&lt;1,($AH63&gt;Lists!H$22)*($AH63&lt;=Lists!H$21),MAX(0,MIN(Lists!H$21,$AI63)-MAX(Lists!H$22,$AH63))/($AI63-$AH63))+N($F63)*IF($AK63-$AJ63&lt;1,($AJ63&gt;Lists!H$22)*($AJ63&lt;=Lists!H$21),MAX(0,MIN(Lists!H$21,$AK63)-MAX(Lists!H$22,$AJ63))/($AK63-$AJ63))+N($G63)*IF($AM63-$AL63&lt;1,($AL63&gt;Lists!H$22)*($AL63&lt;=Lists!H$21),MAX(0,MIN(Lists!H$21,$AM63)-MAX(Lists!H$22,$AL63))/($AM63-$AL63))))))))</f>
        <v>0</v>
      </c>
      <c r="S63" s="53" t="n">
        <f aca="false">IF($H63=0,0,IF($AP63="X",0,IF($AP63="S",$H63/$AO63*(MIN($AO63,MAX(0,INT((Lists!I$21-N($J63))/7)+1))-MIN($AO63,MAX(0,INT((Lists!I$22-N($J63))/7)+1))),IF($AP63="D",$H63*MAX(0,MIN(Lists!I$21,N($J63)+$AO63)-MAX(Lists!I$22,N($J63)))/$AO63,IF($AP63="M",$H63/$AO63*(IF(Lists!I$21&lt;$J63,0,MIN($AO63,(((YEAR(Lists!I$21)-YEAR($J63))*12+MONTH(Lists!I$21)-MONTH($J63))-(EDATE($J63,((YEAR(Lists!I$21)-YEAR($J63))*12+MONTH(Lists!I$21)-MONTH($J63)))&gt;Lists!I$21)+1)))-IF(Lists!I$22&lt;$J63,0,MIN($AO63,(((YEAR(Lists!I$22)-YEAR($J63))*12+MONTH(Lists!I$22)-MONTH($J63))-(EDATE($J63,((YEAR(Lists!I$22)-YEAR($J63))*12+MONTH(Lists!I$22)-MONTH($J63)))&gt;Lists!I$22)+1)))),IF($AP63="F",IF(N($K63)&lt;=0,0,MIN(MAX(0,$H63),N($K63)*IF(Lists!I$21&lt;$J63,0,(((YEAR(Lists!I$21)-YEAR($J63))*12+MONTH(Lists!I$21)-MONTH($J63))-(EDATE($J63,((YEAR(Lists!I$21)-YEAR($J63))*12+MONTH(Lists!I$21)-MONTH($J63)))&gt;Lists!I$21)+1)))-MIN(MAX(0,$H63),N($K63)*IF(Lists!I$22&lt;$J63,0,(((YEAR(Lists!I$22)-YEAR($J63))*12+MONTH(Lists!I$22)-MONTH($J63))-(EDATE($J63,((YEAR(Lists!I$22)-YEAR($J63))*12+MONTH(Lists!I$22)-MONTH($J63)))&gt;Lists!I$22)+1)))),N($C63)*IF($AE63-$AD63&lt;1,($AD63&gt;Lists!I$22)*($AD63&lt;=Lists!I$21),MAX(0,MIN(Lists!I$21,$AE63)-MAX(Lists!I$22,$AD63))/($AE63-$AD63))+N($D63)*IF($AG63-$AF63&lt;1,($AF63&gt;Lists!I$22)*($AF63&lt;=Lists!I$21),MAX(0,MIN(Lists!I$21,$AG63)-MAX(Lists!I$22,$AF63))/($AG63-$AF63))+N($E63)*IF($AI63-$AH63&lt;1,($AH63&gt;Lists!I$22)*($AH63&lt;=Lists!I$21),MAX(0,MIN(Lists!I$21,$AI63)-MAX(Lists!I$22,$AH63))/($AI63-$AH63))+N($F63)*IF($AK63-$AJ63&lt;1,($AJ63&gt;Lists!I$22)*($AJ63&lt;=Lists!I$21),MAX(0,MIN(Lists!I$21,$AK63)-MAX(Lists!I$22,$AJ63))/($AK63-$AJ63))+N($G63)*IF($AM63-$AL63&lt;1,($AL63&gt;Lists!I$22)*($AL63&lt;=Lists!I$21),MAX(0,MIN(Lists!I$21,$AM63)-MAX(Lists!I$22,$AL63))/($AM63-$AL63))))))))</f>
        <v>0</v>
      </c>
      <c r="T63" s="53" t="n">
        <f aca="false">IF($H63=0,0,IF($AP63="X",0,IF($AP63="S",$H63/$AO63*(MIN($AO63,MAX(0,INT((Lists!J$21-N($J63))/7)+1))-MIN($AO63,MAX(0,INT((Lists!J$22-N($J63))/7)+1))),IF($AP63="D",$H63*MAX(0,MIN(Lists!J$21,N($J63)+$AO63)-MAX(Lists!J$22,N($J63)))/$AO63,IF($AP63="M",$H63/$AO63*(IF(Lists!J$21&lt;$J63,0,MIN($AO63,(((YEAR(Lists!J$21)-YEAR($J63))*12+MONTH(Lists!J$21)-MONTH($J63))-(EDATE($J63,((YEAR(Lists!J$21)-YEAR($J63))*12+MONTH(Lists!J$21)-MONTH($J63)))&gt;Lists!J$21)+1)))-IF(Lists!J$22&lt;$J63,0,MIN($AO63,(((YEAR(Lists!J$22)-YEAR($J63))*12+MONTH(Lists!J$22)-MONTH($J63))-(EDATE($J63,((YEAR(Lists!J$22)-YEAR($J63))*12+MONTH(Lists!J$22)-MONTH($J63)))&gt;Lists!J$22)+1)))),IF($AP63="F",IF(N($K63)&lt;=0,0,MIN(MAX(0,$H63),N($K63)*IF(Lists!J$21&lt;$J63,0,(((YEAR(Lists!J$21)-YEAR($J63))*12+MONTH(Lists!J$21)-MONTH($J63))-(EDATE($J63,((YEAR(Lists!J$21)-YEAR($J63))*12+MONTH(Lists!J$21)-MONTH($J63)))&gt;Lists!J$21)+1)))-MIN(MAX(0,$H63),N($K63)*IF(Lists!J$22&lt;$J63,0,(((YEAR(Lists!J$22)-YEAR($J63))*12+MONTH(Lists!J$22)-MONTH($J63))-(EDATE($J63,((YEAR(Lists!J$22)-YEAR($J63))*12+MONTH(Lists!J$22)-MONTH($J63)))&gt;Lists!J$22)+1)))),N($C63)*IF($AE63-$AD63&lt;1,($AD63&gt;Lists!J$22)*($AD63&lt;=Lists!J$21),MAX(0,MIN(Lists!J$21,$AE63)-MAX(Lists!J$22,$AD63))/($AE63-$AD63))+N($D63)*IF($AG63-$AF63&lt;1,($AF63&gt;Lists!J$22)*($AF63&lt;=Lists!J$21),MAX(0,MIN(Lists!J$21,$AG63)-MAX(Lists!J$22,$AF63))/($AG63-$AF63))+N($E63)*IF($AI63-$AH63&lt;1,($AH63&gt;Lists!J$22)*($AH63&lt;=Lists!J$21),MAX(0,MIN(Lists!J$21,$AI63)-MAX(Lists!J$22,$AH63))/($AI63-$AH63))+N($F63)*IF($AK63-$AJ63&lt;1,($AJ63&gt;Lists!J$22)*($AJ63&lt;=Lists!J$21),MAX(0,MIN(Lists!J$21,$AK63)-MAX(Lists!J$22,$AJ63))/($AK63-$AJ63))+N($G63)*IF($AM63-$AL63&lt;1,($AL63&gt;Lists!J$22)*($AL63&lt;=Lists!J$21),MAX(0,MIN(Lists!J$21,$AM63)-MAX(Lists!J$22,$AL63))/($AM63-$AL63))))))))</f>
        <v>0</v>
      </c>
      <c r="U63" s="53" t="n">
        <f aca="false">IF($H63=0,0,IF($AP63="X",0,IF($AP63="S",$H63/$AO63*(MIN($AO63,MAX(0,INT((Lists!K$21-N($J63))/7)+1))-MIN($AO63,MAX(0,INT((Lists!K$22-N($J63))/7)+1))),IF($AP63="D",$H63*MAX(0,MIN(Lists!K$21,N($J63)+$AO63)-MAX(Lists!K$22,N($J63)))/$AO63,IF($AP63="M",$H63/$AO63*(IF(Lists!K$21&lt;$J63,0,MIN($AO63,(((YEAR(Lists!K$21)-YEAR($J63))*12+MONTH(Lists!K$21)-MONTH($J63))-(EDATE($J63,((YEAR(Lists!K$21)-YEAR($J63))*12+MONTH(Lists!K$21)-MONTH($J63)))&gt;Lists!K$21)+1)))-IF(Lists!K$22&lt;$J63,0,MIN($AO63,(((YEAR(Lists!K$22)-YEAR($J63))*12+MONTH(Lists!K$22)-MONTH($J63))-(EDATE($J63,((YEAR(Lists!K$22)-YEAR($J63))*12+MONTH(Lists!K$22)-MONTH($J63)))&gt;Lists!K$22)+1)))),IF($AP63="F",IF(N($K63)&lt;=0,0,MIN(MAX(0,$H63),N($K63)*IF(Lists!K$21&lt;$J63,0,(((YEAR(Lists!K$21)-YEAR($J63))*12+MONTH(Lists!K$21)-MONTH($J63))-(EDATE($J63,((YEAR(Lists!K$21)-YEAR($J63))*12+MONTH(Lists!K$21)-MONTH($J63)))&gt;Lists!K$21)+1)))-MIN(MAX(0,$H63),N($K63)*IF(Lists!K$22&lt;$J63,0,(((YEAR(Lists!K$22)-YEAR($J63))*12+MONTH(Lists!K$22)-MONTH($J63))-(EDATE($J63,((YEAR(Lists!K$22)-YEAR($J63))*12+MONTH(Lists!K$22)-MONTH($J63)))&gt;Lists!K$22)+1)))),N($C63)*IF($AE63-$AD63&lt;1,($AD63&gt;Lists!K$22)*($AD63&lt;=Lists!K$21),MAX(0,MIN(Lists!K$21,$AE63)-MAX(Lists!K$22,$AD63))/($AE63-$AD63))+N($D63)*IF($AG63-$AF63&lt;1,($AF63&gt;Lists!K$22)*($AF63&lt;=Lists!K$21),MAX(0,MIN(Lists!K$21,$AG63)-MAX(Lists!K$22,$AF63))/($AG63-$AF63))+N($E63)*IF($AI63-$AH63&lt;1,($AH63&gt;Lists!K$22)*($AH63&lt;=Lists!K$21),MAX(0,MIN(Lists!K$21,$AI63)-MAX(Lists!K$22,$AH63))/($AI63-$AH63))+N($F63)*IF($AK63-$AJ63&lt;1,($AJ63&gt;Lists!K$22)*($AJ63&lt;=Lists!K$21),MAX(0,MIN(Lists!K$21,$AK63)-MAX(Lists!K$22,$AJ63))/($AK63-$AJ63))+N($G63)*IF($AM63-$AL63&lt;1,($AL63&gt;Lists!K$22)*($AL63&lt;=Lists!K$21),MAX(0,MIN(Lists!K$21,$AM63)-MAX(Lists!K$22,$AL63))/($AM63-$AL63))))))))</f>
        <v>0</v>
      </c>
      <c r="V63" s="53" t="n">
        <f aca="false">IF($H63=0,0,IF($AP63="X",0,IF($AP63="S",$H63/$AO63*(MIN($AO63,MAX(0,INT((Lists!L$21-N($J63))/7)+1))-MIN($AO63,MAX(0,INT((Lists!L$22-N($J63))/7)+1))),IF($AP63="D",$H63*MAX(0,MIN(Lists!L$21,N($J63)+$AO63)-MAX(Lists!L$22,N($J63)))/$AO63,IF($AP63="M",$H63/$AO63*(IF(Lists!L$21&lt;$J63,0,MIN($AO63,(((YEAR(Lists!L$21)-YEAR($J63))*12+MONTH(Lists!L$21)-MONTH($J63))-(EDATE($J63,((YEAR(Lists!L$21)-YEAR($J63))*12+MONTH(Lists!L$21)-MONTH($J63)))&gt;Lists!L$21)+1)))-IF(Lists!L$22&lt;$J63,0,MIN($AO63,(((YEAR(Lists!L$22)-YEAR($J63))*12+MONTH(Lists!L$22)-MONTH($J63))-(EDATE($J63,((YEAR(Lists!L$22)-YEAR($J63))*12+MONTH(Lists!L$22)-MONTH($J63)))&gt;Lists!L$22)+1)))),IF($AP63="F",IF(N($K63)&lt;=0,0,MIN(MAX(0,$H63),N($K63)*IF(Lists!L$21&lt;$J63,0,(((YEAR(Lists!L$21)-YEAR($J63))*12+MONTH(Lists!L$21)-MONTH($J63))-(EDATE($J63,((YEAR(Lists!L$21)-YEAR($J63))*12+MONTH(Lists!L$21)-MONTH($J63)))&gt;Lists!L$21)+1)))-MIN(MAX(0,$H63),N($K63)*IF(Lists!L$22&lt;$J63,0,(((YEAR(Lists!L$22)-YEAR($J63))*12+MONTH(Lists!L$22)-MONTH($J63))-(EDATE($J63,((YEAR(Lists!L$22)-YEAR($J63))*12+MONTH(Lists!L$22)-MONTH($J63)))&gt;Lists!L$22)+1)))),N($C63)*IF($AE63-$AD63&lt;1,($AD63&gt;Lists!L$22)*($AD63&lt;=Lists!L$21),MAX(0,MIN(Lists!L$21,$AE63)-MAX(Lists!L$22,$AD63))/($AE63-$AD63))+N($D63)*IF($AG63-$AF63&lt;1,($AF63&gt;Lists!L$22)*($AF63&lt;=Lists!L$21),MAX(0,MIN(Lists!L$21,$AG63)-MAX(Lists!L$22,$AF63))/($AG63-$AF63))+N($E63)*IF($AI63-$AH63&lt;1,($AH63&gt;Lists!L$22)*($AH63&lt;=Lists!L$21),MAX(0,MIN(Lists!L$21,$AI63)-MAX(Lists!L$22,$AH63))/($AI63-$AH63))+N($F63)*IF($AK63-$AJ63&lt;1,($AJ63&gt;Lists!L$22)*($AJ63&lt;=Lists!L$21),MAX(0,MIN(Lists!L$21,$AK63)-MAX(Lists!L$22,$AJ63))/($AK63-$AJ63))+N($G63)*IF($AM63-$AL63&lt;1,($AL63&gt;Lists!L$22)*($AL63&lt;=Lists!L$21),MAX(0,MIN(Lists!L$21,$AM63)-MAX(Lists!L$22,$AL63))/($AM63-$AL63))))))))</f>
        <v>0</v>
      </c>
      <c r="W63" s="53" t="n">
        <f aca="false">IF($H63=0,0,IF($AP63="X",0,IF($AP63="S",$H63/$AO63*(MIN($AO63,MAX(0,INT((Lists!M$21-N($J63))/7)+1))-MIN($AO63,MAX(0,INT((Lists!M$22-N($J63))/7)+1))),IF($AP63="D",$H63*MAX(0,MIN(Lists!M$21,N($J63)+$AO63)-MAX(Lists!M$22,N($J63)))/$AO63,IF($AP63="M",$H63/$AO63*(IF(Lists!M$21&lt;$J63,0,MIN($AO63,(((YEAR(Lists!M$21)-YEAR($J63))*12+MONTH(Lists!M$21)-MONTH($J63))-(EDATE($J63,((YEAR(Lists!M$21)-YEAR($J63))*12+MONTH(Lists!M$21)-MONTH($J63)))&gt;Lists!M$21)+1)))-IF(Lists!M$22&lt;$J63,0,MIN($AO63,(((YEAR(Lists!M$22)-YEAR($J63))*12+MONTH(Lists!M$22)-MONTH($J63))-(EDATE($J63,((YEAR(Lists!M$22)-YEAR($J63))*12+MONTH(Lists!M$22)-MONTH($J63)))&gt;Lists!M$22)+1)))),IF($AP63="F",IF(N($K63)&lt;=0,0,MIN(MAX(0,$H63),N($K63)*IF(Lists!M$21&lt;$J63,0,(((YEAR(Lists!M$21)-YEAR($J63))*12+MONTH(Lists!M$21)-MONTH($J63))-(EDATE($J63,((YEAR(Lists!M$21)-YEAR($J63))*12+MONTH(Lists!M$21)-MONTH($J63)))&gt;Lists!M$21)+1)))-MIN(MAX(0,$H63),N($K63)*IF(Lists!M$22&lt;$J63,0,(((YEAR(Lists!M$22)-YEAR($J63))*12+MONTH(Lists!M$22)-MONTH($J63))-(EDATE($J63,((YEAR(Lists!M$22)-YEAR($J63))*12+MONTH(Lists!M$22)-MONTH($J63)))&gt;Lists!M$22)+1)))),N($C63)*IF($AE63-$AD63&lt;1,($AD63&gt;Lists!M$22)*($AD63&lt;=Lists!M$21),MAX(0,MIN(Lists!M$21,$AE63)-MAX(Lists!M$22,$AD63))/($AE63-$AD63))+N($D63)*IF($AG63-$AF63&lt;1,($AF63&gt;Lists!M$22)*($AF63&lt;=Lists!M$21),MAX(0,MIN(Lists!M$21,$AG63)-MAX(Lists!M$22,$AF63))/($AG63-$AF63))+N($E63)*IF($AI63-$AH63&lt;1,($AH63&gt;Lists!M$22)*($AH63&lt;=Lists!M$21),MAX(0,MIN(Lists!M$21,$AI63)-MAX(Lists!M$22,$AH63))/($AI63-$AH63))+N($F63)*IF($AK63-$AJ63&lt;1,($AJ63&gt;Lists!M$22)*($AJ63&lt;=Lists!M$21),MAX(0,MIN(Lists!M$21,$AK63)-MAX(Lists!M$22,$AJ63))/($AK63-$AJ63))+N($G63)*IF($AM63-$AL63&lt;1,($AL63&gt;Lists!M$22)*($AL63&lt;=Lists!M$21),MAX(0,MIN(Lists!M$21,$AM63)-MAX(Lists!M$22,$AL63))/($AM63-$AL63))))))))</f>
        <v>0</v>
      </c>
      <c r="X63" s="53" t="n">
        <f aca="false">IF($H63=0,0,IF($AP63="X",0,IF($AP63="S",$H63/$AO63*(MIN($AO63,MAX(0,INT((Lists!N$21-N($J63))/7)+1))-MIN($AO63,MAX(0,INT((Lists!N$22-N($J63))/7)+1))),IF($AP63="D",$H63*MAX(0,MIN(Lists!N$21,N($J63)+$AO63)-MAX(Lists!N$22,N($J63)))/$AO63,IF($AP63="M",$H63/$AO63*(IF(Lists!N$21&lt;$J63,0,MIN($AO63,(((YEAR(Lists!N$21)-YEAR($J63))*12+MONTH(Lists!N$21)-MONTH($J63))-(EDATE($J63,((YEAR(Lists!N$21)-YEAR($J63))*12+MONTH(Lists!N$21)-MONTH($J63)))&gt;Lists!N$21)+1)))-IF(Lists!N$22&lt;$J63,0,MIN($AO63,(((YEAR(Lists!N$22)-YEAR($J63))*12+MONTH(Lists!N$22)-MONTH($J63))-(EDATE($J63,((YEAR(Lists!N$22)-YEAR($J63))*12+MONTH(Lists!N$22)-MONTH($J63)))&gt;Lists!N$22)+1)))),IF($AP63="F",IF(N($K63)&lt;=0,0,MIN(MAX(0,$H63),N($K63)*IF(Lists!N$21&lt;$J63,0,(((YEAR(Lists!N$21)-YEAR($J63))*12+MONTH(Lists!N$21)-MONTH($J63))-(EDATE($J63,((YEAR(Lists!N$21)-YEAR($J63))*12+MONTH(Lists!N$21)-MONTH($J63)))&gt;Lists!N$21)+1)))-MIN(MAX(0,$H63),N($K63)*IF(Lists!N$22&lt;$J63,0,(((YEAR(Lists!N$22)-YEAR($J63))*12+MONTH(Lists!N$22)-MONTH($J63))-(EDATE($J63,((YEAR(Lists!N$22)-YEAR($J63))*12+MONTH(Lists!N$22)-MONTH($J63)))&gt;Lists!N$22)+1)))),N($C63)*IF($AE63-$AD63&lt;1,($AD63&gt;Lists!N$22)*($AD63&lt;=Lists!N$21),MAX(0,MIN(Lists!N$21,$AE63)-MAX(Lists!N$22,$AD63))/($AE63-$AD63))+N($D63)*IF($AG63-$AF63&lt;1,($AF63&gt;Lists!N$22)*($AF63&lt;=Lists!N$21),MAX(0,MIN(Lists!N$21,$AG63)-MAX(Lists!N$22,$AF63))/($AG63-$AF63))+N($E63)*IF($AI63-$AH63&lt;1,($AH63&gt;Lists!N$22)*($AH63&lt;=Lists!N$21),MAX(0,MIN(Lists!N$21,$AI63)-MAX(Lists!N$22,$AH63))/($AI63-$AH63))+N($F63)*IF($AK63-$AJ63&lt;1,($AJ63&gt;Lists!N$22)*($AJ63&lt;=Lists!N$21),MAX(0,MIN(Lists!N$21,$AK63)-MAX(Lists!N$22,$AJ63))/($AK63-$AJ63))+N($G63)*IF($AM63-$AL63&lt;1,($AL63&gt;Lists!N$22)*($AL63&lt;=Lists!N$21),MAX(0,MIN(Lists!N$21,$AM63)-MAX(Lists!N$22,$AL63))/($AM63-$AL63))))))))</f>
        <v>0</v>
      </c>
      <c r="Y63" s="53" t="n">
        <f aca="false">IF($H63=0,0,IF($AP63="X",0,IF($AP63="S",$H63/$AO63*(MIN($AO63,MAX(0,INT((Lists!O$21-N($J63))/7)+1))-MIN($AO63,MAX(0,INT((Lists!O$22-N($J63))/7)+1))),IF($AP63="D",$H63*MAX(0,MIN(Lists!O$21,N($J63)+$AO63)-MAX(Lists!O$22,N($J63)))/$AO63,IF($AP63="M",$H63/$AO63*(IF(Lists!O$21&lt;$J63,0,MIN($AO63,(((YEAR(Lists!O$21)-YEAR($J63))*12+MONTH(Lists!O$21)-MONTH($J63))-(EDATE($J63,((YEAR(Lists!O$21)-YEAR($J63))*12+MONTH(Lists!O$21)-MONTH($J63)))&gt;Lists!O$21)+1)))-IF(Lists!O$22&lt;$J63,0,MIN($AO63,(((YEAR(Lists!O$22)-YEAR($J63))*12+MONTH(Lists!O$22)-MONTH($J63))-(EDATE($J63,((YEAR(Lists!O$22)-YEAR($J63))*12+MONTH(Lists!O$22)-MONTH($J63)))&gt;Lists!O$22)+1)))),IF($AP63="F",IF(N($K63)&lt;=0,0,MIN(MAX(0,$H63),N($K63)*IF(Lists!O$21&lt;$J63,0,(((YEAR(Lists!O$21)-YEAR($J63))*12+MONTH(Lists!O$21)-MONTH($J63))-(EDATE($J63,((YEAR(Lists!O$21)-YEAR($J63))*12+MONTH(Lists!O$21)-MONTH($J63)))&gt;Lists!O$21)+1)))-MIN(MAX(0,$H63),N($K63)*IF(Lists!O$22&lt;$J63,0,(((YEAR(Lists!O$22)-YEAR($J63))*12+MONTH(Lists!O$22)-MONTH($J63))-(EDATE($J63,((YEAR(Lists!O$22)-YEAR($J63))*12+MONTH(Lists!O$22)-MONTH($J63)))&gt;Lists!O$22)+1)))),N($C63)*IF($AE63-$AD63&lt;1,($AD63&gt;Lists!O$22)*($AD63&lt;=Lists!O$21),MAX(0,MIN(Lists!O$21,$AE63)-MAX(Lists!O$22,$AD63))/($AE63-$AD63))+N($D63)*IF($AG63-$AF63&lt;1,($AF63&gt;Lists!O$22)*($AF63&lt;=Lists!O$21),MAX(0,MIN(Lists!O$21,$AG63)-MAX(Lists!O$22,$AF63))/($AG63-$AF63))+N($E63)*IF($AI63-$AH63&lt;1,($AH63&gt;Lists!O$22)*($AH63&lt;=Lists!O$21),MAX(0,MIN(Lists!O$21,$AI63)-MAX(Lists!O$22,$AH63))/($AI63-$AH63))+N($F63)*IF($AK63-$AJ63&lt;1,($AJ63&gt;Lists!O$22)*($AJ63&lt;=Lists!O$21),MAX(0,MIN(Lists!O$21,$AK63)-MAX(Lists!O$22,$AJ63))/($AK63-$AJ63))+N($G63)*IF($AM63-$AL63&lt;1,($AL63&gt;Lists!O$22)*($AL63&lt;=Lists!O$21),MAX(0,MIN(Lists!O$21,$AM63)-MAX(Lists!O$22,$AL63))/($AM63-$AL63))))))))</f>
        <v>0</v>
      </c>
      <c r="Z63" s="46" t="n">
        <f aca="false">SUM(M63:Y63)</f>
        <v>0</v>
      </c>
      <c r="AA63" s="92" t="n">
        <f aca="false">H63-Z63</f>
        <v>0</v>
      </c>
      <c r="AB63" s="55"/>
      <c r="AC63" s="2"/>
      <c r="AD63" s="93" t="n">
        <f aca="false">Setup!$D$10+MAX(0,$AN63-30)</f>
        <v>46345</v>
      </c>
      <c r="AE63" s="93" t="n">
        <f aca="false">Setup!$D$10+IF($AN63-30&lt;0,MAX(Setup!$D$22,$AN63-0),$AN63-0)</f>
        <v>46375</v>
      </c>
      <c r="AF63" s="93" t="n">
        <f aca="false">Setup!$D$10+MAX(0,$AN63-60)</f>
        <v>46335</v>
      </c>
      <c r="AG63" s="93" t="n">
        <f aca="false">Setup!$D$10+IF($AN63-60&lt;0,MAX(Setup!$D$22,$AN63-31),$AN63-31)</f>
        <v>46363</v>
      </c>
      <c r="AH63" s="93" t="n">
        <f aca="false">Setup!$D$10+MAX(0,$AN63-90)</f>
        <v>46335</v>
      </c>
      <c r="AI63" s="93" t="n">
        <f aca="false">Setup!$D$10+IF($AN63-90&lt;0,MAX(Setup!$D$22,$AN63-61),$AN63-61)</f>
        <v>46363</v>
      </c>
      <c r="AJ63" s="93" t="n">
        <f aca="false">Setup!$D$10+MAX(0,$AN63-120)</f>
        <v>46335</v>
      </c>
      <c r="AK63" s="93" t="n">
        <f aca="false">Setup!$D$10+IF($AN63-120&lt;0,MAX(Setup!$D$22,$AN63-91),$AN63-91)</f>
        <v>46363</v>
      </c>
      <c r="AL63" s="93" t="n">
        <f aca="false">Setup!$D$10</f>
        <v>46335</v>
      </c>
      <c r="AM63" s="93" t="n">
        <f aca="false">IF(AL63=2958465,AL63,Setup!$D$10+Setup!$D$22)</f>
        <v>46363</v>
      </c>
      <c r="AN63" s="94" t="n">
        <f aca="false">IF(N(L63)=0,Setup!$D$21,L63)</f>
        <v>40</v>
      </c>
      <c r="AO63" s="94" t="n">
        <f aca="false">MAX(1,ROUND(N(K63),0))</f>
        <v>1</v>
      </c>
      <c r="AP63" s="95" t="str">
        <f aca="false">IF(I63="On hold","X",IF(N(J63)=0,"A",IF(I63="Specific date","S",IF(I63="Spread over days","D",IF(I63="Monthly on set day","M",IF(I63="Monthly fixed amount","F","A"))))))</f>
        <v>A</v>
      </c>
    </row>
    <row r="64" customFormat="false" ht="15" hidden="false" customHeight="false" outlineLevel="0" collapsed="false">
      <c r="A64" s="87" t="n">
        <v>56</v>
      </c>
      <c r="B64" s="55"/>
      <c r="C64" s="88"/>
      <c r="D64" s="88"/>
      <c r="E64" s="88"/>
      <c r="F64" s="88"/>
      <c r="G64" s="88"/>
      <c r="H64" s="89" t="n">
        <f aca="false">SUM(C64:G64)</f>
        <v>0</v>
      </c>
      <c r="I64" s="58"/>
      <c r="J64" s="90"/>
      <c r="K64" s="91"/>
      <c r="L64" s="80"/>
      <c r="M64" s="53" t="n">
        <f aca="false">IF($H64=0,0,IF($AP64="X",0,IF($AP64="S",$H64/$AO64*(MIN($AO64,MAX(0,INT((Lists!C$21-N($J64))/7)+1))-MIN($AO64,MAX(0,INT((Lists!C$22-N($J64))/7)+1))),IF($AP64="D",$H64*MAX(0,MIN(Lists!C$21,N($J64)+$AO64)-MAX(Lists!C$22,N($J64)))/$AO64,IF($AP64="M",$H64/$AO64*(IF(Lists!C$21&lt;$J64,0,MIN($AO64,(((YEAR(Lists!C$21)-YEAR($J64))*12+MONTH(Lists!C$21)-MONTH($J64))-(EDATE($J64,((YEAR(Lists!C$21)-YEAR($J64))*12+MONTH(Lists!C$21)-MONTH($J64)))&gt;Lists!C$21)+1)))-IF(Lists!C$22&lt;$J64,0,MIN($AO64,(((YEAR(Lists!C$22)-YEAR($J64))*12+MONTH(Lists!C$22)-MONTH($J64))-(EDATE($J64,((YEAR(Lists!C$22)-YEAR($J64))*12+MONTH(Lists!C$22)-MONTH($J64)))&gt;Lists!C$22)+1)))),IF($AP64="F",IF(N($K64)&lt;=0,0,MIN(MAX(0,$H64),N($K64)*IF(Lists!C$21&lt;$J64,0,(((YEAR(Lists!C$21)-YEAR($J64))*12+MONTH(Lists!C$21)-MONTH($J64))-(EDATE($J64,((YEAR(Lists!C$21)-YEAR($J64))*12+MONTH(Lists!C$21)-MONTH($J64)))&gt;Lists!C$21)+1)))-MIN(MAX(0,$H64),N($K64)*IF(Lists!C$22&lt;$J64,0,(((YEAR(Lists!C$22)-YEAR($J64))*12+MONTH(Lists!C$22)-MONTH($J64))-(EDATE($J64,((YEAR(Lists!C$22)-YEAR($J64))*12+MONTH(Lists!C$22)-MONTH($J64)))&gt;Lists!C$22)+1)))),N($C64)*IF($AE64-$AD64&lt;1,($AD64&gt;Lists!C$22)*($AD64&lt;=Lists!C$21),MAX(0,MIN(Lists!C$21,$AE64)-MAX(Lists!C$22,$AD64))/($AE64-$AD64))+N($D64)*IF($AG64-$AF64&lt;1,($AF64&gt;Lists!C$22)*($AF64&lt;=Lists!C$21),MAX(0,MIN(Lists!C$21,$AG64)-MAX(Lists!C$22,$AF64))/($AG64-$AF64))+N($E64)*IF($AI64-$AH64&lt;1,($AH64&gt;Lists!C$22)*($AH64&lt;=Lists!C$21),MAX(0,MIN(Lists!C$21,$AI64)-MAX(Lists!C$22,$AH64))/($AI64-$AH64))+N($F64)*IF($AK64-$AJ64&lt;1,($AJ64&gt;Lists!C$22)*($AJ64&lt;=Lists!C$21),MAX(0,MIN(Lists!C$21,$AK64)-MAX(Lists!C$22,$AJ64))/($AK64-$AJ64))+N($G64)*IF($AM64-$AL64&lt;1,($AL64&gt;Lists!C$22)*($AL64&lt;=Lists!C$21),MAX(0,MIN(Lists!C$21,$AM64)-MAX(Lists!C$22,$AL64))/($AM64-$AL64))))))))</f>
        <v>0</v>
      </c>
      <c r="N64" s="53" t="n">
        <f aca="false">IF($H64=0,0,IF($AP64="X",0,IF($AP64="S",$H64/$AO64*(MIN($AO64,MAX(0,INT((Lists!D$21-N($J64))/7)+1))-MIN($AO64,MAX(0,INT((Lists!D$22-N($J64))/7)+1))),IF($AP64="D",$H64*MAX(0,MIN(Lists!D$21,N($J64)+$AO64)-MAX(Lists!D$22,N($J64)))/$AO64,IF($AP64="M",$H64/$AO64*(IF(Lists!D$21&lt;$J64,0,MIN($AO64,(((YEAR(Lists!D$21)-YEAR($J64))*12+MONTH(Lists!D$21)-MONTH($J64))-(EDATE($J64,((YEAR(Lists!D$21)-YEAR($J64))*12+MONTH(Lists!D$21)-MONTH($J64)))&gt;Lists!D$21)+1)))-IF(Lists!D$22&lt;$J64,0,MIN($AO64,(((YEAR(Lists!D$22)-YEAR($J64))*12+MONTH(Lists!D$22)-MONTH($J64))-(EDATE($J64,((YEAR(Lists!D$22)-YEAR($J64))*12+MONTH(Lists!D$22)-MONTH($J64)))&gt;Lists!D$22)+1)))),IF($AP64="F",IF(N($K64)&lt;=0,0,MIN(MAX(0,$H64),N($K64)*IF(Lists!D$21&lt;$J64,0,(((YEAR(Lists!D$21)-YEAR($J64))*12+MONTH(Lists!D$21)-MONTH($J64))-(EDATE($J64,((YEAR(Lists!D$21)-YEAR($J64))*12+MONTH(Lists!D$21)-MONTH($J64)))&gt;Lists!D$21)+1)))-MIN(MAX(0,$H64),N($K64)*IF(Lists!D$22&lt;$J64,0,(((YEAR(Lists!D$22)-YEAR($J64))*12+MONTH(Lists!D$22)-MONTH($J64))-(EDATE($J64,((YEAR(Lists!D$22)-YEAR($J64))*12+MONTH(Lists!D$22)-MONTH($J64)))&gt;Lists!D$22)+1)))),N($C64)*IF($AE64-$AD64&lt;1,($AD64&gt;Lists!D$22)*($AD64&lt;=Lists!D$21),MAX(0,MIN(Lists!D$21,$AE64)-MAX(Lists!D$22,$AD64))/($AE64-$AD64))+N($D64)*IF($AG64-$AF64&lt;1,($AF64&gt;Lists!D$22)*($AF64&lt;=Lists!D$21),MAX(0,MIN(Lists!D$21,$AG64)-MAX(Lists!D$22,$AF64))/($AG64-$AF64))+N($E64)*IF($AI64-$AH64&lt;1,($AH64&gt;Lists!D$22)*($AH64&lt;=Lists!D$21),MAX(0,MIN(Lists!D$21,$AI64)-MAX(Lists!D$22,$AH64))/($AI64-$AH64))+N($F64)*IF($AK64-$AJ64&lt;1,($AJ64&gt;Lists!D$22)*($AJ64&lt;=Lists!D$21),MAX(0,MIN(Lists!D$21,$AK64)-MAX(Lists!D$22,$AJ64))/($AK64-$AJ64))+N($G64)*IF($AM64-$AL64&lt;1,($AL64&gt;Lists!D$22)*($AL64&lt;=Lists!D$21),MAX(0,MIN(Lists!D$21,$AM64)-MAX(Lists!D$22,$AL64))/($AM64-$AL64))))))))</f>
        <v>0</v>
      </c>
      <c r="O64" s="53" t="n">
        <f aca="false">IF($H64=0,0,IF($AP64="X",0,IF($AP64="S",$H64/$AO64*(MIN($AO64,MAX(0,INT((Lists!E$21-N($J64))/7)+1))-MIN($AO64,MAX(0,INT((Lists!E$22-N($J64))/7)+1))),IF($AP64="D",$H64*MAX(0,MIN(Lists!E$21,N($J64)+$AO64)-MAX(Lists!E$22,N($J64)))/$AO64,IF($AP64="M",$H64/$AO64*(IF(Lists!E$21&lt;$J64,0,MIN($AO64,(((YEAR(Lists!E$21)-YEAR($J64))*12+MONTH(Lists!E$21)-MONTH($J64))-(EDATE($J64,((YEAR(Lists!E$21)-YEAR($J64))*12+MONTH(Lists!E$21)-MONTH($J64)))&gt;Lists!E$21)+1)))-IF(Lists!E$22&lt;$J64,0,MIN($AO64,(((YEAR(Lists!E$22)-YEAR($J64))*12+MONTH(Lists!E$22)-MONTH($J64))-(EDATE($J64,((YEAR(Lists!E$22)-YEAR($J64))*12+MONTH(Lists!E$22)-MONTH($J64)))&gt;Lists!E$22)+1)))),IF($AP64="F",IF(N($K64)&lt;=0,0,MIN(MAX(0,$H64),N($K64)*IF(Lists!E$21&lt;$J64,0,(((YEAR(Lists!E$21)-YEAR($J64))*12+MONTH(Lists!E$21)-MONTH($J64))-(EDATE($J64,((YEAR(Lists!E$21)-YEAR($J64))*12+MONTH(Lists!E$21)-MONTH($J64)))&gt;Lists!E$21)+1)))-MIN(MAX(0,$H64),N($K64)*IF(Lists!E$22&lt;$J64,0,(((YEAR(Lists!E$22)-YEAR($J64))*12+MONTH(Lists!E$22)-MONTH($J64))-(EDATE($J64,((YEAR(Lists!E$22)-YEAR($J64))*12+MONTH(Lists!E$22)-MONTH($J64)))&gt;Lists!E$22)+1)))),N($C64)*IF($AE64-$AD64&lt;1,($AD64&gt;Lists!E$22)*($AD64&lt;=Lists!E$21),MAX(0,MIN(Lists!E$21,$AE64)-MAX(Lists!E$22,$AD64))/($AE64-$AD64))+N($D64)*IF($AG64-$AF64&lt;1,($AF64&gt;Lists!E$22)*($AF64&lt;=Lists!E$21),MAX(0,MIN(Lists!E$21,$AG64)-MAX(Lists!E$22,$AF64))/($AG64-$AF64))+N($E64)*IF($AI64-$AH64&lt;1,($AH64&gt;Lists!E$22)*($AH64&lt;=Lists!E$21),MAX(0,MIN(Lists!E$21,$AI64)-MAX(Lists!E$22,$AH64))/($AI64-$AH64))+N($F64)*IF($AK64-$AJ64&lt;1,($AJ64&gt;Lists!E$22)*($AJ64&lt;=Lists!E$21),MAX(0,MIN(Lists!E$21,$AK64)-MAX(Lists!E$22,$AJ64))/($AK64-$AJ64))+N($G64)*IF($AM64-$AL64&lt;1,($AL64&gt;Lists!E$22)*($AL64&lt;=Lists!E$21),MAX(0,MIN(Lists!E$21,$AM64)-MAX(Lists!E$22,$AL64))/($AM64-$AL64))))))))</f>
        <v>0</v>
      </c>
      <c r="P64" s="53" t="n">
        <f aca="false">IF($H64=0,0,IF($AP64="X",0,IF($AP64="S",$H64/$AO64*(MIN($AO64,MAX(0,INT((Lists!F$21-N($J64))/7)+1))-MIN($AO64,MAX(0,INT((Lists!F$22-N($J64))/7)+1))),IF($AP64="D",$H64*MAX(0,MIN(Lists!F$21,N($J64)+$AO64)-MAX(Lists!F$22,N($J64)))/$AO64,IF($AP64="M",$H64/$AO64*(IF(Lists!F$21&lt;$J64,0,MIN($AO64,(((YEAR(Lists!F$21)-YEAR($J64))*12+MONTH(Lists!F$21)-MONTH($J64))-(EDATE($J64,((YEAR(Lists!F$21)-YEAR($J64))*12+MONTH(Lists!F$21)-MONTH($J64)))&gt;Lists!F$21)+1)))-IF(Lists!F$22&lt;$J64,0,MIN($AO64,(((YEAR(Lists!F$22)-YEAR($J64))*12+MONTH(Lists!F$22)-MONTH($J64))-(EDATE($J64,((YEAR(Lists!F$22)-YEAR($J64))*12+MONTH(Lists!F$22)-MONTH($J64)))&gt;Lists!F$22)+1)))),IF($AP64="F",IF(N($K64)&lt;=0,0,MIN(MAX(0,$H64),N($K64)*IF(Lists!F$21&lt;$J64,0,(((YEAR(Lists!F$21)-YEAR($J64))*12+MONTH(Lists!F$21)-MONTH($J64))-(EDATE($J64,((YEAR(Lists!F$21)-YEAR($J64))*12+MONTH(Lists!F$21)-MONTH($J64)))&gt;Lists!F$21)+1)))-MIN(MAX(0,$H64),N($K64)*IF(Lists!F$22&lt;$J64,0,(((YEAR(Lists!F$22)-YEAR($J64))*12+MONTH(Lists!F$22)-MONTH($J64))-(EDATE($J64,((YEAR(Lists!F$22)-YEAR($J64))*12+MONTH(Lists!F$22)-MONTH($J64)))&gt;Lists!F$22)+1)))),N($C64)*IF($AE64-$AD64&lt;1,($AD64&gt;Lists!F$22)*($AD64&lt;=Lists!F$21),MAX(0,MIN(Lists!F$21,$AE64)-MAX(Lists!F$22,$AD64))/($AE64-$AD64))+N($D64)*IF($AG64-$AF64&lt;1,($AF64&gt;Lists!F$22)*($AF64&lt;=Lists!F$21),MAX(0,MIN(Lists!F$21,$AG64)-MAX(Lists!F$22,$AF64))/($AG64-$AF64))+N($E64)*IF($AI64-$AH64&lt;1,($AH64&gt;Lists!F$22)*($AH64&lt;=Lists!F$21),MAX(0,MIN(Lists!F$21,$AI64)-MAX(Lists!F$22,$AH64))/($AI64-$AH64))+N($F64)*IF($AK64-$AJ64&lt;1,($AJ64&gt;Lists!F$22)*($AJ64&lt;=Lists!F$21),MAX(0,MIN(Lists!F$21,$AK64)-MAX(Lists!F$22,$AJ64))/($AK64-$AJ64))+N($G64)*IF($AM64-$AL64&lt;1,($AL64&gt;Lists!F$22)*($AL64&lt;=Lists!F$21),MAX(0,MIN(Lists!F$21,$AM64)-MAX(Lists!F$22,$AL64))/($AM64-$AL64))))))))</f>
        <v>0</v>
      </c>
      <c r="Q64" s="53" t="n">
        <f aca="false">IF($H64=0,0,IF($AP64="X",0,IF($AP64="S",$H64/$AO64*(MIN($AO64,MAX(0,INT((Lists!G$21-N($J64))/7)+1))-MIN($AO64,MAX(0,INT((Lists!G$22-N($J64))/7)+1))),IF($AP64="D",$H64*MAX(0,MIN(Lists!G$21,N($J64)+$AO64)-MAX(Lists!G$22,N($J64)))/$AO64,IF($AP64="M",$H64/$AO64*(IF(Lists!G$21&lt;$J64,0,MIN($AO64,(((YEAR(Lists!G$21)-YEAR($J64))*12+MONTH(Lists!G$21)-MONTH($J64))-(EDATE($J64,((YEAR(Lists!G$21)-YEAR($J64))*12+MONTH(Lists!G$21)-MONTH($J64)))&gt;Lists!G$21)+1)))-IF(Lists!G$22&lt;$J64,0,MIN($AO64,(((YEAR(Lists!G$22)-YEAR($J64))*12+MONTH(Lists!G$22)-MONTH($J64))-(EDATE($J64,((YEAR(Lists!G$22)-YEAR($J64))*12+MONTH(Lists!G$22)-MONTH($J64)))&gt;Lists!G$22)+1)))),IF($AP64="F",IF(N($K64)&lt;=0,0,MIN(MAX(0,$H64),N($K64)*IF(Lists!G$21&lt;$J64,0,(((YEAR(Lists!G$21)-YEAR($J64))*12+MONTH(Lists!G$21)-MONTH($J64))-(EDATE($J64,((YEAR(Lists!G$21)-YEAR($J64))*12+MONTH(Lists!G$21)-MONTH($J64)))&gt;Lists!G$21)+1)))-MIN(MAX(0,$H64),N($K64)*IF(Lists!G$22&lt;$J64,0,(((YEAR(Lists!G$22)-YEAR($J64))*12+MONTH(Lists!G$22)-MONTH($J64))-(EDATE($J64,((YEAR(Lists!G$22)-YEAR($J64))*12+MONTH(Lists!G$22)-MONTH($J64)))&gt;Lists!G$22)+1)))),N($C64)*IF($AE64-$AD64&lt;1,($AD64&gt;Lists!G$22)*($AD64&lt;=Lists!G$21),MAX(0,MIN(Lists!G$21,$AE64)-MAX(Lists!G$22,$AD64))/($AE64-$AD64))+N($D64)*IF($AG64-$AF64&lt;1,($AF64&gt;Lists!G$22)*($AF64&lt;=Lists!G$21),MAX(0,MIN(Lists!G$21,$AG64)-MAX(Lists!G$22,$AF64))/($AG64-$AF64))+N($E64)*IF($AI64-$AH64&lt;1,($AH64&gt;Lists!G$22)*($AH64&lt;=Lists!G$21),MAX(0,MIN(Lists!G$21,$AI64)-MAX(Lists!G$22,$AH64))/($AI64-$AH64))+N($F64)*IF($AK64-$AJ64&lt;1,($AJ64&gt;Lists!G$22)*($AJ64&lt;=Lists!G$21),MAX(0,MIN(Lists!G$21,$AK64)-MAX(Lists!G$22,$AJ64))/($AK64-$AJ64))+N($G64)*IF($AM64-$AL64&lt;1,($AL64&gt;Lists!G$22)*($AL64&lt;=Lists!G$21),MAX(0,MIN(Lists!G$21,$AM64)-MAX(Lists!G$22,$AL64))/($AM64-$AL64))))))))</f>
        <v>0</v>
      </c>
      <c r="R64" s="53" t="n">
        <f aca="false">IF($H64=0,0,IF($AP64="X",0,IF($AP64="S",$H64/$AO64*(MIN($AO64,MAX(0,INT((Lists!H$21-N($J64))/7)+1))-MIN($AO64,MAX(0,INT((Lists!H$22-N($J64))/7)+1))),IF($AP64="D",$H64*MAX(0,MIN(Lists!H$21,N($J64)+$AO64)-MAX(Lists!H$22,N($J64)))/$AO64,IF($AP64="M",$H64/$AO64*(IF(Lists!H$21&lt;$J64,0,MIN($AO64,(((YEAR(Lists!H$21)-YEAR($J64))*12+MONTH(Lists!H$21)-MONTH($J64))-(EDATE($J64,((YEAR(Lists!H$21)-YEAR($J64))*12+MONTH(Lists!H$21)-MONTH($J64)))&gt;Lists!H$21)+1)))-IF(Lists!H$22&lt;$J64,0,MIN($AO64,(((YEAR(Lists!H$22)-YEAR($J64))*12+MONTH(Lists!H$22)-MONTH($J64))-(EDATE($J64,((YEAR(Lists!H$22)-YEAR($J64))*12+MONTH(Lists!H$22)-MONTH($J64)))&gt;Lists!H$22)+1)))),IF($AP64="F",IF(N($K64)&lt;=0,0,MIN(MAX(0,$H64),N($K64)*IF(Lists!H$21&lt;$J64,0,(((YEAR(Lists!H$21)-YEAR($J64))*12+MONTH(Lists!H$21)-MONTH($J64))-(EDATE($J64,((YEAR(Lists!H$21)-YEAR($J64))*12+MONTH(Lists!H$21)-MONTH($J64)))&gt;Lists!H$21)+1)))-MIN(MAX(0,$H64),N($K64)*IF(Lists!H$22&lt;$J64,0,(((YEAR(Lists!H$22)-YEAR($J64))*12+MONTH(Lists!H$22)-MONTH($J64))-(EDATE($J64,((YEAR(Lists!H$22)-YEAR($J64))*12+MONTH(Lists!H$22)-MONTH($J64)))&gt;Lists!H$22)+1)))),N($C64)*IF($AE64-$AD64&lt;1,($AD64&gt;Lists!H$22)*($AD64&lt;=Lists!H$21),MAX(0,MIN(Lists!H$21,$AE64)-MAX(Lists!H$22,$AD64))/($AE64-$AD64))+N($D64)*IF($AG64-$AF64&lt;1,($AF64&gt;Lists!H$22)*($AF64&lt;=Lists!H$21),MAX(0,MIN(Lists!H$21,$AG64)-MAX(Lists!H$22,$AF64))/($AG64-$AF64))+N($E64)*IF($AI64-$AH64&lt;1,($AH64&gt;Lists!H$22)*($AH64&lt;=Lists!H$21),MAX(0,MIN(Lists!H$21,$AI64)-MAX(Lists!H$22,$AH64))/($AI64-$AH64))+N($F64)*IF($AK64-$AJ64&lt;1,($AJ64&gt;Lists!H$22)*($AJ64&lt;=Lists!H$21),MAX(0,MIN(Lists!H$21,$AK64)-MAX(Lists!H$22,$AJ64))/($AK64-$AJ64))+N($G64)*IF($AM64-$AL64&lt;1,($AL64&gt;Lists!H$22)*($AL64&lt;=Lists!H$21),MAX(0,MIN(Lists!H$21,$AM64)-MAX(Lists!H$22,$AL64))/($AM64-$AL64))))))))</f>
        <v>0</v>
      </c>
      <c r="S64" s="53" t="n">
        <f aca="false">IF($H64=0,0,IF($AP64="X",0,IF($AP64="S",$H64/$AO64*(MIN($AO64,MAX(0,INT((Lists!I$21-N($J64))/7)+1))-MIN($AO64,MAX(0,INT((Lists!I$22-N($J64))/7)+1))),IF($AP64="D",$H64*MAX(0,MIN(Lists!I$21,N($J64)+$AO64)-MAX(Lists!I$22,N($J64)))/$AO64,IF($AP64="M",$H64/$AO64*(IF(Lists!I$21&lt;$J64,0,MIN($AO64,(((YEAR(Lists!I$21)-YEAR($J64))*12+MONTH(Lists!I$21)-MONTH($J64))-(EDATE($J64,((YEAR(Lists!I$21)-YEAR($J64))*12+MONTH(Lists!I$21)-MONTH($J64)))&gt;Lists!I$21)+1)))-IF(Lists!I$22&lt;$J64,0,MIN($AO64,(((YEAR(Lists!I$22)-YEAR($J64))*12+MONTH(Lists!I$22)-MONTH($J64))-(EDATE($J64,((YEAR(Lists!I$22)-YEAR($J64))*12+MONTH(Lists!I$22)-MONTH($J64)))&gt;Lists!I$22)+1)))),IF($AP64="F",IF(N($K64)&lt;=0,0,MIN(MAX(0,$H64),N($K64)*IF(Lists!I$21&lt;$J64,0,(((YEAR(Lists!I$21)-YEAR($J64))*12+MONTH(Lists!I$21)-MONTH($J64))-(EDATE($J64,((YEAR(Lists!I$21)-YEAR($J64))*12+MONTH(Lists!I$21)-MONTH($J64)))&gt;Lists!I$21)+1)))-MIN(MAX(0,$H64),N($K64)*IF(Lists!I$22&lt;$J64,0,(((YEAR(Lists!I$22)-YEAR($J64))*12+MONTH(Lists!I$22)-MONTH($J64))-(EDATE($J64,((YEAR(Lists!I$22)-YEAR($J64))*12+MONTH(Lists!I$22)-MONTH($J64)))&gt;Lists!I$22)+1)))),N($C64)*IF($AE64-$AD64&lt;1,($AD64&gt;Lists!I$22)*($AD64&lt;=Lists!I$21),MAX(0,MIN(Lists!I$21,$AE64)-MAX(Lists!I$22,$AD64))/($AE64-$AD64))+N($D64)*IF($AG64-$AF64&lt;1,($AF64&gt;Lists!I$22)*($AF64&lt;=Lists!I$21),MAX(0,MIN(Lists!I$21,$AG64)-MAX(Lists!I$22,$AF64))/($AG64-$AF64))+N($E64)*IF($AI64-$AH64&lt;1,($AH64&gt;Lists!I$22)*($AH64&lt;=Lists!I$21),MAX(0,MIN(Lists!I$21,$AI64)-MAX(Lists!I$22,$AH64))/($AI64-$AH64))+N($F64)*IF($AK64-$AJ64&lt;1,($AJ64&gt;Lists!I$22)*($AJ64&lt;=Lists!I$21),MAX(0,MIN(Lists!I$21,$AK64)-MAX(Lists!I$22,$AJ64))/($AK64-$AJ64))+N($G64)*IF($AM64-$AL64&lt;1,($AL64&gt;Lists!I$22)*($AL64&lt;=Lists!I$21),MAX(0,MIN(Lists!I$21,$AM64)-MAX(Lists!I$22,$AL64))/($AM64-$AL64))))))))</f>
        <v>0</v>
      </c>
      <c r="T64" s="53" t="n">
        <f aca="false">IF($H64=0,0,IF($AP64="X",0,IF($AP64="S",$H64/$AO64*(MIN($AO64,MAX(0,INT((Lists!J$21-N($J64))/7)+1))-MIN($AO64,MAX(0,INT((Lists!J$22-N($J64))/7)+1))),IF($AP64="D",$H64*MAX(0,MIN(Lists!J$21,N($J64)+$AO64)-MAX(Lists!J$22,N($J64)))/$AO64,IF($AP64="M",$H64/$AO64*(IF(Lists!J$21&lt;$J64,0,MIN($AO64,(((YEAR(Lists!J$21)-YEAR($J64))*12+MONTH(Lists!J$21)-MONTH($J64))-(EDATE($J64,((YEAR(Lists!J$21)-YEAR($J64))*12+MONTH(Lists!J$21)-MONTH($J64)))&gt;Lists!J$21)+1)))-IF(Lists!J$22&lt;$J64,0,MIN($AO64,(((YEAR(Lists!J$22)-YEAR($J64))*12+MONTH(Lists!J$22)-MONTH($J64))-(EDATE($J64,((YEAR(Lists!J$22)-YEAR($J64))*12+MONTH(Lists!J$22)-MONTH($J64)))&gt;Lists!J$22)+1)))),IF($AP64="F",IF(N($K64)&lt;=0,0,MIN(MAX(0,$H64),N($K64)*IF(Lists!J$21&lt;$J64,0,(((YEAR(Lists!J$21)-YEAR($J64))*12+MONTH(Lists!J$21)-MONTH($J64))-(EDATE($J64,((YEAR(Lists!J$21)-YEAR($J64))*12+MONTH(Lists!J$21)-MONTH($J64)))&gt;Lists!J$21)+1)))-MIN(MAX(0,$H64),N($K64)*IF(Lists!J$22&lt;$J64,0,(((YEAR(Lists!J$22)-YEAR($J64))*12+MONTH(Lists!J$22)-MONTH($J64))-(EDATE($J64,((YEAR(Lists!J$22)-YEAR($J64))*12+MONTH(Lists!J$22)-MONTH($J64)))&gt;Lists!J$22)+1)))),N($C64)*IF($AE64-$AD64&lt;1,($AD64&gt;Lists!J$22)*($AD64&lt;=Lists!J$21),MAX(0,MIN(Lists!J$21,$AE64)-MAX(Lists!J$22,$AD64))/($AE64-$AD64))+N($D64)*IF($AG64-$AF64&lt;1,($AF64&gt;Lists!J$22)*($AF64&lt;=Lists!J$21),MAX(0,MIN(Lists!J$21,$AG64)-MAX(Lists!J$22,$AF64))/($AG64-$AF64))+N($E64)*IF($AI64-$AH64&lt;1,($AH64&gt;Lists!J$22)*($AH64&lt;=Lists!J$21),MAX(0,MIN(Lists!J$21,$AI64)-MAX(Lists!J$22,$AH64))/($AI64-$AH64))+N($F64)*IF($AK64-$AJ64&lt;1,($AJ64&gt;Lists!J$22)*($AJ64&lt;=Lists!J$21),MAX(0,MIN(Lists!J$21,$AK64)-MAX(Lists!J$22,$AJ64))/($AK64-$AJ64))+N($G64)*IF($AM64-$AL64&lt;1,($AL64&gt;Lists!J$22)*($AL64&lt;=Lists!J$21),MAX(0,MIN(Lists!J$21,$AM64)-MAX(Lists!J$22,$AL64))/($AM64-$AL64))))))))</f>
        <v>0</v>
      </c>
      <c r="U64" s="53" t="n">
        <f aca="false">IF($H64=0,0,IF($AP64="X",0,IF($AP64="S",$H64/$AO64*(MIN($AO64,MAX(0,INT((Lists!K$21-N($J64))/7)+1))-MIN($AO64,MAX(0,INT((Lists!K$22-N($J64))/7)+1))),IF($AP64="D",$H64*MAX(0,MIN(Lists!K$21,N($J64)+$AO64)-MAX(Lists!K$22,N($J64)))/$AO64,IF($AP64="M",$H64/$AO64*(IF(Lists!K$21&lt;$J64,0,MIN($AO64,(((YEAR(Lists!K$21)-YEAR($J64))*12+MONTH(Lists!K$21)-MONTH($J64))-(EDATE($J64,((YEAR(Lists!K$21)-YEAR($J64))*12+MONTH(Lists!K$21)-MONTH($J64)))&gt;Lists!K$21)+1)))-IF(Lists!K$22&lt;$J64,0,MIN($AO64,(((YEAR(Lists!K$22)-YEAR($J64))*12+MONTH(Lists!K$22)-MONTH($J64))-(EDATE($J64,((YEAR(Lists!K$22)-YEAR($J64))*12+MONTH(Lists!K$22)-MONTH($J64)))&gt;Lists!K$22)+1)))),IF($AP64="F",IF(N($K64)&lt;=0,0,MIN(MAX(0,$H64),N($K64)*IF(Lists!K$21&lt;$J64,0,(((YEAR(Lists!K$21)-YEAR($J64))*12+MONTH(Lists!K$21)-MONTH($J64))-(EDATE($J64,((YEAR(Lists!K$21)-YEAR($J64))*12+MONTH(Lists!K$21)-MONTH($J64)))&gt;Lists!K$21)+1)))-MIN(MAX(0,$H64),N($K64)*IF(Lists!K$22&lt;$J64,0,(((YEAR(Lists!K$22)-YEAR($J64))*12+MONTH(Lists!K$22)-MONTH($J64))-(EDATE($J64,((YEAR(Lists!K$22)-YEAR($J64))*12+MONTH(Lists!K$22)-MONTH($J64)))&gt;Lists!K$22)+1)))),N($C64)*IF($AE64-$AD64&lt;1,($AD64&gt;Lists!K$22)*($AD64&lt;=Lists!K$21),MAX(0,MIN(Lists!K$21,$AE64)-MAX(Lists!K$22,$AD64))/($AE64-$AD64))+N($D64)*IF($AG64-$AF64&lt;1,($AF64&gt;Lists!K$22)*($AF64&lt;=Lists!K$21),MAX(0,MIN(Lists!K$21,$AG64)-MAX(Lists!K$22,$AF64))/($AG64-$AF64))+N($E64)*IF($AI64-$AH64&lt;1,($AH64&gt;Lists!K$22)*($AH64&lt;=Lists!K$21),MAX(0,MIN(Lists!K$21,$AI64)-MAX(Lists!K$22,$AH64))/($AI64-$AH64))+N($F64)*IF($AK64-$AJ64&lt;1,($AJ64&gt;Lists!K$22)*($AJ64&lt;=Lists!K$21),MAX(0,MIN(Lists!K$21,$AK64)-MAX(Lists!K$22,$AJ64))/($AK64-$AJ64))+N($G64)*IF($AM64-$AL64&lt;1,($AL64&gt;Lists!K$22)*($AL64&lt;=Lists!K$21),MAX(0,MIN(Lists!K$21,$AM64)-MAX(Lists!K$22,$AL64))/($AM64-$AL64))))))))</f>
        <v>0</v>
      </c>
      <c r="V64" s="53" t="n">
        <f aca="false">IF($H64=0,0,IF($AP64="X",0,IF($AP64="S",$H64/$AO64*(MIN($AO64,MAX(0,INT((Lists!L$21-N($J64))/7)+1))-MIN($AO64,MAX(0,INT((Lists!L$22-N($J64))/7)+1))),IF($AP64="D",$H64*MAX(0,MIN(Lists!L$21,N($J64)+$AO64)-MAX(Lists!L$22,N($J64)))/$AO64,IF($AP64="M",$H64/$AO64*(IF(Lists!L$21&lt;$J64,0,MIN($AO64,(((YEAR(Lists!L$21)-YEAR($J64))*12+MONTH(Lists!L$21)-MONTH($J64))-(EDATE($J64,((YEAR(Lists!L$21)-YEAR($J64))*12+MONTH(Lists!L$21)-MONTH($J64)))&gt;Lists!L$21)+1)))-IF(Lists!L$22&lt;$J64,0,MIN($AO64,(((YEAR(Lists!L$22)-YEAR($J64))*12+MONTH(Lists!L$22)-MONTH($J64))-(EDATE($J64,((YEAR(Lists!L$22)-YEAR($J64))*12+MONTH(Lists!L$22)-MONTH($J64)))&gt;Lists!L$22)+1)))),IF($AP64="F",IF(N($K64)&lt;=0,0,MIN(MAX(0,$H64),N($K64)*IF(Lists!L$21&lt;$J64,0,(((YEAR(Lists!L$21)-YEAR($J64))*12+MONTH(Lists!L$21)-MONTH($J64))-(EDATE($J64,((YEAR(Lists!L$21)-YEAR($J64))*12+MONTH(Lists!L$21)-MONTH($J64)))&gt;Lists!L$21)+1)))-MIN(MAX(0,$H64),N($K64)*IF(Lists!L$22&lt;$J64,0,(((YEAR(Lists!L$22)-YEAR($J64))*12+MONTH(Lists!L$22)-MONTH($J64))-(EDATE($J64,((YEAR(Lists!L$22)-YEAR($J64))*12+MONTH(Lists!L$22)-MONTH($J64)))&gt;Lists!L$22)+1)))),N($C64)*IF($AE64-$AD64&lt;1,($AD64&gt;Lists!L$22)*($AD64&lt;=Lists!L$21),MAX(0,MIN(Lists!L$21,$AE64)-MAX(Lists!L$22,$AD64))/($AE64-$AD64))+N($D64)*IF($AG64-$AF64&lt;1,($AF64&gt;Lists!L$22)*($AF64&lt;=Lists!L$21),MAX(0,MIN(Lists!L$21,$AG64)-MAX(Lists!L$22,$AF64))/($AG64-$AF64))+N($E64)*IF($AI64-$AH64&lt;1,($AH64&gt;Lists!L$22)*($AH64&lt;=Lists!L$21),MAX(0,MIN(Lists!L$21,$AI64)-MAX(Lists!L$22,$AH64))/($AI64-$AH64))+N($F64)*IF($AK64-$AJ64&lt;1,($AJ64&gt;Lists!L$22)*($AJ64&lt;=Lists!L$21),MAX(0,MIN(Lists!L$21,$AK64)-MAX(Lists!L$22,$AJ64))/($AK64-$AJ64))+N($G64)*IF($AM64-$AL64&lt;1,($AL64&gt;Lists!L$22)*($AL64&lt;=Lists!L$21),MAX(0,MIN(Lists!L$21,$AM64)-MAX(Lists!L$22,$AL64))/($AM64-$AL64))))))))</f>
        <v>0</v>
      </c>
      <c r="W64" s="53" t="n">
        <f aca="false">IF($H64=0,0,IF($AP64="X",0,IF($AP64="S",$H64/$AO64*(MIN($AO64,MAX(0,INT((Lists!M$21-N($J64))/7)+1))-MIN($AO64,MAX(0,INT((Lists!M$22-N($J64))/7)+1))),IF($AP64="D",$H64*MAX(0,MIN(Lists!M$21,N($J64)+$AO64)-MAX(Lists!M$22,N($J64)))/$AO64,IF($AP64="M",$H64/$AO64*(IF(Lists!M$21&lt;$J64,0,MIN($AO64,(((YEAR(Lists!M$21)-YEAR($J64))*12+MONTH(Lists!M$21)-MONTH($J64))-(EDATE($J64,((YEAR(Lists!M$21)-YEAR($J64))*12+MONTH(Lists!M$21)-MONTH($J64)))&gt;Lists!M$21)+1)))-IF(Lists!M$22&lt;$J64,0,MIN($AO64,(((YEAR(Lists!M$22)-YEAR($J64))*12+MONTH(Lists!M$22)-MONTH($J64))-(EDATE($J64,((YEAR(Lists!M$22)-YEAR($J64))*12+MONTH(Lists!M$22)-MONTH($J64)))&gt;Lists!M$22)+1)))),IF($AP64="F",IF(N($K64)&lt;=0,0,MIN(MAX(0,$H64),N($K64)*IF(Lists!M$21&lt;$J64,0,(((YEAR(Lists!M$21)-YEAR($J64))*12+MONTH(Lists!M$21)-MONTH($J64))-(EDATE($J64,((YEAR(Lists!M$21)-YEAR($J64))*12+MONTH(Lists!M$21)-MONTH($J64)))&gt;Lists!M$21)+1)))-MIN(MAX(0,$H64),N($K64)*IF(Lists!M$22&lt;$J64,0,(((YEAR(Lists!M$22)-YEAR($J64))*12+MONTH(Lists!M$22)-MONTH($J64))-(EDATE($J64,((YEAR(Lists!M$22)-YEAR($J64))*12+MONTH(Lists!M$22)-MONTH($J64)))&gt;Lists!M$22)+1)))),N($C64)*IF($AE64-$AD64&lt;1,($AD64&gt;Lists!M$22)*($AD64&lt;=Lists!M$21),MAX(0,MIN(Lists!M$21,$AE64)-MAX(Lists!M$22,$AD64))/($AE64-$AD64))+N($D64)*IF($AG64-$AF64&lt;1,($AF64&gt;Lists!M$22)*($AF64&lt;=Lists!M$21),MAX(0,MIN(Lists!M$21,$AG64)-MAX(Lists!M$22,$AF64))/($AG64-$AF64))+N($E64)*IF($AI64-$AH64&lt;1,($AH64&gt;Lists!M$22)*($AH64&lt;=Lists!M$21),MAX(0,MIN(Lists!M$21,$AI64)-MAX(Lists!M$22,$AH64))/($AI64-$AH64))+N($F64)*IF($AK64-$AJ64&lt;1,($AJ64&gt;Lists!M$22)*($AJ64&lt;=Lists!M$21),MAX(0,MIN(Lists!M$21,$AK64)-MAX(Lists!M$22,$AJ64))/($AK64-$AJ64))+N($G64)*IF($AM64-$AL64&lt;1,($AL64&gt;Lists!M$22)*($AL64&lt;=Lists!M$21),MAX(0,MIN(Lists!M$21,$AM64)-MAX(Lists!M$22,$AL64))/($AM64-$AL64))))))))</f>
        <v>0</v>
      </c>
      <c r="X64" s="53" t="n">
        <f aca="false">IF($H64=0,0,IF($AP64="X",0,IF($AP64="S",$H64/$AO64*(MIN($AO64,MAX(0,INT((Lists!N$21-N($J64))/7)+1))-MIN($AO64,MAX(0,INT((Lists!N$22-N($J64))/7)+1))),IF($AP64="D",$H64*MAX(0,MIN(Lists!N$21,N($J64)+$AO64)-MAX(Lists!N$22,N($J64)))/$AO64,IF($AP64="M",$H64/$AO64*(IF(Lists!N$21&lt;$J64,0,MIN($AO64,(((YEAR(Lists!N$21)-YEAR($J64))*12+MONTH(Lists!N$21)-MONTH($J64))-(EDATE($J64,((YEAR(Lists!N$21)-YEAR($J64))*12+MONTH(Lists!N$21)-MONTH($J64)))&gt;Lists!N$21)+1)))-IF(Lists!N$22&lt;$J64,0,MIN($AO64,(((YEAR(Lists!N$22)-YEAR($J64))*12+MONTH(Lists!N$22)-MONTH($J64))-(EDATE($J64,((YEAR(Lists!N$22)-YEAR($J64))*12+MONTH(Lists!N$22)-MONTH($J64)))&gt;Lists!N$22)+1)))),IF($AP64="F",IF(N($K64)&lt;=0,0,MIN(MAX(0,$H64),N($K64)*IF(Lists!N$21&lt;$J64,0,(((YEAR(Lists!N$21)-YEAR($J64))*12+MONTH(Lists!N$21)-MONTH($J64))-(EDATE($J64,((YEAR(Lists!N$21)-YEAR($J64))*12+MONTH(Lists!N$21)-MONTH($J64)))&gt;Lists!N$21)+1)))-MIN(MAX(0,$H64),N($K64)*IF(Lists!N$22&lt;$J64,0,(((YEAR(Lists!N$22)-YEAR($J64))*12+MONTH(Lists!N$22)-MONTH($J64))-(EDATE($J64,((YEAR(Lists!N$22)-YEAR($J64))*12+MONTH(Lists!N$22)-MONTH($J64)))&gt;Lists!N$22)+1)))),N($C64)*IF($AE64-$AD64&lt;1,($AD64&gt;Lists!N$22)*($AD64&lt;=Lists!N$21),MAX(0,MIN(Lists!N$21,$AE64)-MAX(Lists!N$22,$AD64))/($AE64-$AD64))+N($D64)*IF($AG64-$AF64&lt;1,($AF64&gt;Lists!N$22)*($AF64&lt;=Lists!N$21),MAX(0,MIN(Lists!N$21,$AG64)-MAX(Lists!N$22,$AF64))/($AG64-$AF64))+N($E64)*IF($AI64-$AH64&lt;1,($AH64&gt;Lists!N$22)*($AH64&lt;=Lists!N$21),MAX(0,MIN(Lists!N$21,$AI64)-MAX(Lists!N$22,$AH64))/($AI64-$AH64))+N($F64)*IF($AK64-$AJ64&lt;1,($AJ64&gt;Lists!N$22)*($AJ64&lt;=Lists!N$21),MAX(0,MIN(Lists!N$21,$AK64)-MAX(Lists!N$22,$AJ64))/($AK64-$AJ64))+N($G64)*IF($AM64-$AL64&lt;1,($AL64&gt;Lists!N$22)*($AL64&lt;=Lists!N$21),MAX(0,MIN(Lists!N$21,$AM64)-MAX(Lists!N$22,$AL64))/($AM64-$AL64))))))))</f>
        <v>0</v>
      </c>
      <c r="Y64" s="53" t="n">
        <f aca="false">IF($H64=0,0,IF($AP64="X",0,IF($AP64="S",$H64/$AO64*(MIN($AO64,MAX(0,INT((Lists!O$21-N($J64))/7)+1))-MIN($AO64,MAX(0,INT((Lists!O$22-N($J64))/7)+1))),IF($AP64="D",$H64*MAX(0,MIN(Lists!O$21,N($J64)+$AO64)-MAX(Lists!O$22,N($J64)))/$AO64,IF($AP64="M",$H64/$AO64*(IF(Lists!O$21&lt;$J64,0,MIN($AO64,(((YEAR(Lists!O$21)-YEAR($J64))*12+MONTH(Lists!O$21)-MONTH($J64))-(EDATE($J64,((YEAR(Lists!O$21)-YEAR($J64))*12+MONTH(Lists!O$21)-MONTH($J64)))&gt;Lists!O$21)+1)))-IF(Lists!O$22&lt;$J64,0,MIN($AO64,(((YEAR(Lists!O$22)-YEAR($J64))*12+MONTH(Lists!O$22)-MONTH($J64))-(EDATE($J64,((YEAR(Lists!O$22)-YEAR($J64))*12+MONTH(Lists!O$22)-MONTH($J64)))&gt;Lists!O$22)+1)))),IF($AP64="F",IF(N($K64)&lt;=0,0,MIN(MAX(0,$H64),N($K64)*IF(Lists!O$21&lt;$J64,0,(((YEAR(Lists!O$21)-YEAR($J64))*12+MONTH(Lists!O$21)-MONTH($J64))-(EDATE($J64,((YEAR(Lists!O$21)-YEAR($J64))*12+MONTH(Lists!O$21)-MONTH($J64)))&gt;Lists!O$21)+1)))-MIN(MAX(0,$H64),N($K64)*IF(Lists!O$22&lt;$J64,0,(((YEAR(Lists!O$22)-YEAR($J64))*12+MONTH(Lists!O$22)-MONTH($J64))-(EDATE($J64,((YEAR(Lists!O$22)-YEAR($J64))*12+MONTH(Lists!O$22)-MONTH($J64)))&gt;Lists!O$22)+1)))),N($C64)*IF($AE64-$AD64&lt;1,($AD64&gt;Lists!O$22)*($AD64&lt;=Lists!O$21),MAX(0,MIN(Lists!O$21,$AE64)-MAX(Lists!O$22,$AD64))/($AE64-$AD64))+N($D64)*IF($AG64-$AF64&lt;1,($AF64&gt;Lists!O$22)*($AF64&lt;=Lists!O$21),MAX(0,MIN(Lists!O$21,$AG64)-MAX(Lists!O$22,$AF64))/($AG64-$AF64))+N($E64)*IF($AI64-$AH64&lt;1,($AH64&gt;Lists!O$22)*($AH64&lt;=Lists!O$21),MAX(0,MIN(Lists!O$21,$AI64)-MAX(Lists!O$22,$AH64))/($AI64-$AH64))+N($F64)*IF($AK64-$AJ64&lt;1,($AJ64&gt;Lists!O$22)*($AJ64&lt;=Lists!O$21),MAX(0,MIN(Lists!O$21,$AK64)-MAX(Lists!O$22,$AJ64))/($AK64-$AJ64))+N($G64)*IF($AM64-$AL64&lt;1,($AL64&gt;Lists!O$22)*($AL64&lt;=Lists!O$21),MAX(0,MIN(Lists!O$21,$AM64)-MAX(Lists!O$22,$AL64))/($AM64-$AL64))))))))</f>
        <v>0</v>
      </c>
      <c r="Z64" s="46" t="n">
        <f aca="false">SUM(M64:Y64)</f>
        <v>0</v>
      </c>
      <c r="AA64" s="92" t="n">
        <f aca="false">H64-Z64</f>
        <v>0</v>
      </c>
      <c r="AB64" s="55"/>
      <c r="AC64" s="2"/>
      <c r="AD64" s="93" t="n">
        <f aca="false">Setup!$D$10+MAX(0,$AN64-30)</f>
        <v>46345</v>
      </c>
      <c r="AE64" s="93" t="n">
        <f aca="false">Setup!$D$10+IF($AN64-30&lt;0,MAX(Setup!$D$22,$AN64-0),$AN64-0)</f>
        <v>46375</v>
      </c>
      <c r="AF64" s="93" t="n">
        <f aca="false">Setup!$D$10+MAX(0,$AN64-60)</f>
        <v>46335</v>
      </c>
      <c r="AG64" s="93" t="n">
        <f aca="false">Setup!$D$10+IF($AN64-60&lt;0,MAX(Setup!$D$22,$AN64-31),$AN64-31)</f>
        <v>46363</v>
      </c>
      <c r="AH64" s="93" t="n">
        <f aca="false">Setup!$D$10+MAX(0,$AN64-90)</f>
        <v>46335</v>
      </c>
      <c r="AI64" s="93" t="n">
        <f aca="false">Setup!$D$10+IF($AN64-90&lt;0,MAX(Setup!$D$22,$AN64-61),$AN64-61)</f>
        <v>46363</v>
      </c>
      <c r="AJ64" s="93" t="n">
        <f aca="false">Setup!$D$10+MAX(0,$AN64-120)</f>
        <v>46335</v>
      </c>
      <c r="AK64" s="93" t="n">
        <f aca="false">Setup!$D$10+IF($AN64-120&lt;0,MAX(Setup!$D$22,$AN64-91),$AN64-91)</f>
        <v>46363</v>
      </c>
      <c r="AL64" s="93" t="n">
        <f aca="false">Setup!$D$10</f>
        <v>46335</v>
      </c>
      <c r="AM64" s="93" t="n">
        <f aca="false">IF(AL64=2958465,AL64,Setup!$D$10+Setup!$D$22)</f>
        <v>46363</v>
      </c>
      <c r="AN64" s="94" t="n">
        <f aca="false">IF(N(L64)=0,Setup!$D$21,L64)</f>
        <v>40</v>
      </c>
      <c r="AO64" s="94" t="n">
        <f aca="false">MAX(1,ROUND(N(K64),0))</f>
        <v>1</v>
      </c>
      <c r="AP64" s="95" t="str">
        <f aca="false">IF(I64="On hold","X",IF(N(J64)=0,"A",IF(I64="Specific date","S",IF(I64="Spread over days","D",IF(I64="Monthly on set day","M",IF(I64="Monthly fixed amount","F","A"))))))</f>
        <v>A</v>
      </c>
    </row>
    <row r="65" customFormat="false" ht="15" hidden="false" customHeight="false" outlineLevel="0" collapsed="false">
      <c r="A65" s="87" t="n">
        <v>57</v>
      </c>
      <c r="B65" s="55"/>
      <c r="C65" s="88"/>
      <c r="D65" s="88"/>
      <c r="E65" s="88"/>
      <c r="F65" s="88"/>
      <c r="G65" s="88"/>
      <c r="H65" s="89" t="n">
        <f aca="false">SUM(C65:G65)</f>
        <v>0</v>
      </c>
      <c r="I65" s="58"/>
      <c r="J65" s="90"/>
      <c r="K65" s="91"/>
      <c r="L65" s="80"/>
      <c r="M65" s="53" t="n">
        <f aca="false">IF($H65=0,0,IF($AP65="X",0,IF($AP65="S",$H65/$AO65*(MIN($AO65,MAX(0,INT((Lists!C$21-N($J65))/7)+1))-MIN($AO65,MAX(0,INT((Lists!C$22-N($J65))/7)+1))),IF($AP65="D",$H65*MAX(0,MIN(Lists!C$21,N($J65)+$AO65)-MAX(Lists!C$22,N($J65)))/$AO65,IF($AP65="M",$H65/$AO65*(IF(Lists!C$21&lt;$J65,0,MIN($AO65,(((YEAR(Lists!C$21)-YEAR($J65))*12+MONTH(Lists!C$21)-MONTH($J65))-(EDATE($J65,((YEAR(Lists!C$21)-YEAR($J65))*12+MONTH(Lists!C$21)-MONTH($J65)))&gt;Lists!C$21)+1)))-IF(Lists!C$22&lt;$J65,0,MIN($AO65,(((YEAR(Lists!C$22)-YEAR($J65))*12+MONTH(Lists!C$22)-MONTH($J65))-(EDATE($J65,((YEAR(Lists!C$22)-YEAR($J65))*12+MONTH(Lists!C$22)-MONTH($J65)))&gt;Lists!C$22)+1)))),IF($AP65="F",IF(N($K65)&lt;=0,0,MIN(MAX(0,$H65),N($K65)*IF(Lists!C$21&lt;$J65,0,(((YEAR(Lists!C$21)-YEAR($J65))*12+MONTH(Lists!C$21)-MONTH($J65))-(EDATE($J65,((YEAR(Lists!C$21)-YEAR($J65))*12+MONTH(Lists!C$21)-MONTH($J65)))&gt;Lists!C$21)+1)))-MIN(MAX(0,$H65),N($K65)*IF(Lists!C$22&lt;$J65,0,(((YEAR(Lists!C$22)-YEAR($J65))*12+MONTH(Lists!C$22)-MONTH($J65))-(EDATE($J65,((YEAR(Lists!C$22)-YEAR($J65))*12+MONTH(Lists!C$22)-MONTH($J65)))&gt;Lists!C$22)+1)))),N($C65)*IF($AE65-$AD65&lt;1,($AD65&gt;Lists!C$22)*($AD65&lt;=Lists!C$21),MAX(0,MIN(Lists!C$21,$AE65)-MAX(Lists!C$22,$AD65))/($AE65-$AD65))+N($D65)*IF($AG65-$AF65&lt;1,($AF65&gt;Lists!C$22)*($AF65&lt;=Lists!C$21),MAX(0,MIN(Lists!C$21,$AG65)-MAX(Lists!C$22,$AF65))/($AG65-$AF65))+N($E65)*IF($AI65-$AH65&lt;1,($AH65&gt;Lists!C$22)*($AH65&lt;=Lists!C$21),MAX(0,MIN(Lists!C$21,$AI65)-MAX(Lists!C$22,$AH65))/($AI65-$AH65))+N($F65)*IF($AK65-$AJ65&lt;1,($AJ65&gt;Lists!C$22)*($AJ65&lt;=Lists!C$21),MAX(0,MIN(Lists!C$21,$AK65)-MAX(Lists!C$22,$AJ65))/($AK65-$AJ65))+N($G65)*IF($AM65-$AL65&lt;1,($AL65&gt;Lists!C$22)*($AL65&lt;=Lists!C$21),MAX(0,MIN(Lists!C$21,$AM65)-MAX(Lists!C$22,$AL65))/($AM65-$AL65))))))))</f>
        <v>0</v>
      </c>
      <c r="N65" s="53" t="n">
        <f aca="false">IF($H65=0,0,IF($AP65="X",0,IF($AP65="S",$H65/$AO65*(MIN($AO65,MAX(0,INT((Lists!D$21-N($J65))/7)+1))-MIN($AO65,MAX(0,INT((Lists!D$22-N($J65))/7)+1))),IF($AP65="D",$H65*MAX(0,MIN(Lists!D$21,N($J65)+$AO65)-MAX(Lists!D$22,N($J65)))/$AO65,IF($AP65="M",$H65/$AO65*(IF(Lists!D$21&lt;$J65,0,MIN($AO65,(((YEAR(Lists!D$21)-YEAR($J65))*12+MONTH(Lists!D$21)-MONTH($J65))-(EDATE($J65,((YEAR(Lists!D$21)-YEAR($J65))*12+MONTH(Lists!D$21)-MONTH($J65)))&gt;Lists!D$21)+1)))-IF(Lists!D$22&lt;$J65,0,MIN($AO65,(((YEAR(Lists!D$22)-YEAR($J65))*12+MONTH(Lists!D$22)-MONTH($J65))-(EDATE($J65,((YEAR(Lists!D$22)-YEAR($J65))*12+MONTH(Lists!D$22)-MONTH($J65)))&gt;Lists!D$22)+1)))),IF($AP65="F",IF(N($K65)&lt;=0,0,MIN(MAX(0,$H65),N($K65)*IF(Lists!D$21&lt;$J65,0,(((YEAR(Lists!D$21)-YEAR($J65))*12+MONTH(Lists!D$21)-MONTH($J65))-(EDATE($J65,((YEAR(Lists!D$21)-YEAR($J65))*12+MONTH(Lists!D$21)-MONTH($J65)))&gt;Lists!D$21)+1)))-MIN(MAX(0,$H65),N($K65)*IF(Lists!D$22&lt;$J65,0,(((YEAR(Lists!D$22)-YEAR($J65))*12+MONTH(Lists!D$22)-MONTH($J65))-(EDATE($J65,((YEAR(Lists!D$22)-YEAR($J65))*12+MONTH(Lists!D$22)-MONTH($J65)))&gt;Lists!D$22)+1)))),N($C65)*IF($AE65-$AD65&lt;1,($AD65&gt;Lists!D$22)*($AD65&lt;=Lists!D$21),MAX(0,MIN(Lists!D$21,$AE65)-MAX(Lists!D$22,$AD65))/($AE65-$AD65))+N($D65)*IF($AG65-$AF65&lt;1,($AF65&gt;Lists!D$22)*($AF65&lt;=Lists!D$21),MAX(0,MIN(Lists!D$21,$AG65)-MAX(Lists!D$22,$AF65))/($AG65-$AF65))+N($E65)*IF($AI65-$AH65&lt;1,($AH65&gt;Lists!D$22)*($AH65&lt;=Lists!D$21),MAX(0,MIN(Lists!D$21,$AI65)-MAX(Lists!D$22,$AH65))/($AI65-$AH65))+N($F65)*IF($AK65-$AJ65&lt;1,($AJ65&gt;Lists!D$22)*($AJ65&lt;=Lists!D$21),MAX(0,MIN(Lists!D$21,$AK65)-MAX(Lists!D$22,$AJ65))/($AK65-$AJ65))+N($G65)*IF($AM65-$AL65&lt;1,($AL65&gt;Lists!D$22)*($AL65&lt;=Lists!D$21),MAX(0,MIN(Lists!D$21,$AM65)-MAX(Lists!D$22,$AL65))/($AM65-$AL65))))))))</f>
        <v>0</v>
      </c>
      <c r="O65" s="53" t="n">
        <f aca="false">IF($H65=0,0,IF($AP65="X",0,IF($AP65="S",$H65/$AO65*(MIN($AO65,MAX(0,INT((Lists!E$21-N($J65))/7)+1))-MIN($AO65,MAX(0,INT((Lists!E$22-N($J65))/7)+1))),IF($AP65="D",$H65*MAX(0,MIN(Lists!E$21,N($J65)+$AO65)-MAX(Lists!E$22,N($J65)))/$AO65,IF($AP65="M",$H65/$AO65*(IF(Lists!E$21&lt;$J65,0,MIN($AO65,(((YEAR(Lists!E$21)-YEAR($J65))*12+MONTH(Lists!E$21)-MONTH($J65))-(EDATE($J65,((YEAR(Lists!E$21)-YEAR($J65))*12+MONTH(Lists!E$21)-MONTH($J65)))&gt;Lists!E$21)+1)))-IF(Lists!E$22&lt;$J65,0,MIN($AO65,(((YEAR(Lists!E$22)-YEAR($J65))*12+MONTH(Lists!E$22)-MONTH($J65))-(EDATE($J65,((YEAR(Lists!E$22)-YEAR($J65))*12+MONTH(Lists!E$22)-MONTH($J65)))&gt;Lists!E$22)+1)))),IF($AP65="F",IF(N($K65)&lt;=0,0,MIN(MAX(0,$H65),N($K65)*IF(Lists!E$21&lt;$J65,0,(((YEAR(Lists!E$21)-YEAR($J65))*12+MONTH(Lists!E$21)-MONTH($J65))-(EDATE($J65,((YEAR(Lists!E$21)-YEAR($J65))*12+MONTH(Lists!E$21)-MONTH($J65)))&gt;Lists!E$21)+1)))-MIN(MAX(0,$H65),N($K65)*IF(Lists!E$22&lt;$J65,0,(((YEAR(Lists!E$22)-YEAR($J65))*12+MONTH(Lists!E$22)-MONTH($J65))-(EDATE($J65,((YEAR(Lists!E$22)-YEAR($J65))*12+MONTH(Lists!E$22)-MONTH($J65)))&gt;Lists!E$22)+1)))),N($C65)*IF($AE65-$AD65&lt;1,($AD65&gt;Lists!E$22)*($AD65&lt;=Lists!E$21),MAX(0,MIN(Lists!E$21,$AE65)-MAX(Lists!E$22,$AD65))/($AE65-$AD65))+N($D65)*IF($AG65-$AF65&lt;1,($AF65&gt;Lists!E$22)*($AF65&lt;=Lists!E$21),MAX(0,MIN(Lists!E$21,$AG65)-MAX(Lists!E$22,$AF65))/($AG65-$AF65))+N($E65)*IF($AI65-$AH65&lt;1,($AH65&gt;Lists!E$22)*($AH65&lt;=Lists!E$21),MAX(0,MIN(Lists!E$21,$AI65)-MAX(Lists!E$22,$AH65))/($AI65-$AH65))+N($F65)*IF($AK65-$AJ65&lt;1,($AJ65&gt;Lists!E$22)*($AJ65&lt;=Lists!E$21),MAX(0,MIN(Lists!E$21,$AK65)-MAX(Lists!E$22,$AJ65))/($AK65-$AJ65))+N($G65)*IF($AM65-$AL65&lt;1,($AL65&gt;Lists!E$22)*($AL65&lt;=Lists!E$21),MAX(0,MIN(Lists!E$21,$AM65)-MAX(Lists!E$22,$AL65))/($AM65-$AL65))))))))</f>
        <v>0</v>
      </c>
      <c r="P65" s="53" t="n">
        <f aca="false">IF($H65=0,0,IF($AP65="X",0,IF($AP65="S",$H65/$AO65*(MIN($AO65,MAX(0,INT((Lists!F$21-N($J65))/7)+1))-MIN($AO65,MAX(0,INT((Lists!F$22-N($J65))/7)+1))),IF($AP65="D",$H65*MAX(0,MIN(Lists!F$21,N($J65)+$AO65)-MAX(Lists!F$22,N($J65)))/$AO65,IF($AP65="M",$H65/$AO65*(IF(Lists!F$21&lt;$J65,0,MIN($AO65,(((YEAR(Lists!F$21)-YEAR($J65))*12+MONTH(Lists!F$21)-MONTH($J65))-(EDATE($J65,((YEAR(Lists!F$21)-YEAR($J65))*12+MONTH(Lists!F$21)-MONTH($J65)))&gt;Lists!F$21)+1)))-IF(Lists!F$22&lt;$J65,0,MIN($AO65,(((YEAR(Lists!F$22)-YEAR($J65))*12+MONTH(Lists!F$22)-MONTH($J65))-(EDATE($J65,((YEAR(Lists!F$22)-YEAR($J65))*12+MONTH(Lists!F$22)-MONTH($J65)))&gt;Lists!F$22)+1)))),IF($AP65="F",IF(N($K65)&lt;=0,0,MIN(MAX(0,$H65),N($K65)*IF(Lists!F$21&lt;$J65,0,(((YEAR(Lists!F$21)-YEAR($J65))*12+MONTH(Lists!F$21)-MONTH($J65))-(EDATE($J65,((YEAR(Lists!F$21)-YEAR($J65))*12+MONTH(Lists!F$21)-MONTH($J65)))&gt;Lists!F$21)+1)))-MIN(MAX(0,$H65),N($K65)*IF(Lists!F$22&lt;$J65,0,(((YEAR(Lists!F$22)-YEAR($J65))*12+MONTH(Lists!F$22)-MONTH($J65))-(EDATE($J65,((YEAR(Lists!F$22)-YEAR($J65))*12+MONTH(Lists!F$22)-MONTH($J65)))&gt;Lists!F$22)+1)))),N($C65)*IF($AE65-$AD65&lt;1,($AD65&gt;Lists!F$22)*($AD65&lt;=Lists!F$21),MAX(0,MIN(Lists!F$21,$AE65)-MAX(Lists!F$22,$AD65))/($AE65-$AD65))+N($D65)*IF($AG65-$AF65&lt;1,($AF65&gt;Lists!F$22)*($AF65&lt;=Lists!F$21),MAX(0,MIN(Lists!F$21,$AG65)-MAX(Lists!F$22,$AF65))/($AG65-$AF65))+N($E65)*IF($AI65-$AH65&lt;1,($AH65&gt;Lists!F$22)*($AH65&lt;=Lists!F$21),MAX(0,MIN(Lists!F$21,$AI65)-MAX(Lists!F$22,$AH65))/($AI65-$AH65))+N($F65)*IF($AK65-$AJ65&lt;1,($AJ65&gt;Lists!F$22)*($AJ65&lt;=Lists!F$21),MAX(0,MIN(Lists!F$21,$AK65)-MAX(Lists!F$22,$AJ65))/($AK65-$AJ65))+N($G65)*IF($AM65-$AL65&lt;1,($AL65&gt;Lists!F$22)*($AL65&lt;=Lists!F$21),MAX(0,MIN(Lists!F$21,$AM65)-MAX(Lists!F$22,$AL65))/($AM65-$AL65))))))))</f>
        <v>0</v>
      </c>
      <c r="Q65" s="53" t="n">
        <f aca="false">IF($H65=0,0,IF($AP65="X",0,IF($AP65="S",$H65/$AO65*(MIN($AO65,MAX(0,INT((Lists!G$21-N($J65))/7)+1))-MIN($AO65,MAX(0,INT((Lists!G$22-N($J65))/7)+1))),IF($AP65="D",$H65*MAX(0,MIN(Lists!G$21,N($J65)+$AO65)-MAX(Lists!G$22,N($J65)))/$AO65,IF($AP65="M",$H65/$AO65*(IF(Lists!G$21&lt;$J65,0,MIN($AO65,(((YEAR(Lists!G$21)-YEAR($J65))*12+MONTH(Lists!G$21)-MONTH($J65))-(EDATE($J65,((YEAR(Lists!G$21)-YEAR($J65))*12+MONTH(Lists!G$21)-MONTH($J65)))&gt;Lists!G$21)+1)))-IF(Lists!G$22&lt;$J65,0,MIN($AO65,(((YEAR(Lists!G$22)-YEAR($J65))*12+MONTH(Lists!G$22)-MONTH($J65))-(EDATE($J65,((YEAR(Lists!G$22)-YEAR($J65))*12+MONTH(Lists!G$22)-MONTH($J65)))&gt;Lists!G$22)+1)))),IF($AP65="F",IF(N($K65)&lt;=0,0,MIN(MAX(0,$H65),N($K65)*IF(Lists!G$21&lt;$J65,0,(((YEAR(Lists!G$21)-YEAR($J65))*12+MONTH(Lists!G$21)-MONTH($J65))-(EDATE($J65,((YEAR(Lists!G$21)-YEAR($J65))*12+MONTH(Lists!G$21)-MONTH($J65)))&gt;Lists!G$21)+1)))-MIN(MAX(0,$H65),N($K65)*IF(Lists!G$22&lt;$J65,0,(((YEAR(Lists!G$22)-YEAR($J65))*12+MONTH(Lists!G$22)-MONTH($J65))-(EDATE($J65,((YEAR(Lists!G$22)-YEAR($J65))*12+MONTH(Lists!G$22)-MONTH($J65)))&gt;Lists!G$22)+1)))),N($C65)*IF($AE65-$AD65&lt;1,($AD65&gt;Lists!G$22)*($AD65&lt;=Lists!G$21),MAX(0,MIN(Lists!G$21,$AE65)-MAX(Lists!G$22,$AD65))/($AE65-$AD65))+N($D65)*IF($AG65-$AF65&lt;1,($AF65&gt;Lists!G$22)*($AF65&lt;=Lists!G$21),MAX(0,MIN(Lists!G$21,$AG65)-MAX(Lists!G$22,$AF65))/($AG65-$AF65))+N($E65)*IF($AI65-$AH65&lt;1,($AH65&gt;Lists!G$22)*($AH65&lt;=Lists!G$21),MAX(0,MIN(Lists!G$21,$AI65)-MAX(Lists!G$22,$AH65))/($AI65-$AH65))+N($F65)*IF($AK65-$AJ65&lt;1,($AJ65&gt;Lists!G$22)*($AJ65&lt;=Lists!G$21),MAX(0,MIN(Lists!G$21,$AK65)-MAX(Lists!G$22,$AJ65))/($AK65-$AJ65))+N($G65)*IF($AM65-$AL65&lt;1,($AL65&gt;Lists!G$22)*($AL65&lt;=Lists!G$21),MAX(0,MIN(Lists!G$21,$AM65)-MAX(Lists!G$22,$AL65))/($AM65-$AL65))))))))</f>
        <v>0</v>
      </c>
      <c r="R65" s="53" t="n">
        <f aca="false">IF($H65=0,0,IF($AP65="X",0,IF($AP65="S",$H65/$AO65*(MIN($AO65,MAX(0,INT((Lists!H$21-N($J65))/7)+1))-MIN($AO65,MAX(0,INT((Lists!H$22-N($J65))/7)+1))),IF($AP65="D",$H65*MAX(0,MIN(Lists!H$21,N($J65)+$AO65)-MAX(Lists!H$22,N($J65)))/$AO65,IF($AP65="M",$H65/$AO65*(IF(Lists!H$21&lt;$J65,0,MIN($AO65,(((YEAR(Lists!H$21)-YEAR($J65))*12+MONTH(Lists!H$21)-MONTH($J65))-(EDATE($J65,((YEAR(Lists!H$21)-YEAR($J65))*12+MONTH(Lists!H$21)-MONTH($J65)))&gt;Lists!H$21)+1)))-IF(Lists!H$22&lt;$J65,0,MIN($AO65,(((YEAR(Lists!H$22)-YEAR($J65))*12+MONTH(Lists!H$22)-MONTH($J65))-(EDATE($J65,((YEAR(Lists!H$22)-YEAR($J65))*12+MONTH(Lists!H$22)-MONTH($J65)))&gt;Lists!H$22)+1)))),IF($AP65="F",IF(N($K65)&lt;=0,0,MIN(MAX(0,$H65),N($K65)*IF(Lists!H$21&lt;$J65,0,(((YEAR(Lists!H$21)-YEAR($J65))*12+MONTH(Lists!H$21)-MONTH($J65))-(EDATE($J65,((YEAR(Lists!H$21)-YEAR($J65))*12+MONTH(Lists!H$21)-MONTH($J65)))&gt;Lists!H$21)+1)))-MIN(MAX(0,$H65),N($K65)*IF(Lists!H$22&lt;$J65,0,(((YEAR(Lists!H$22)-YEAR($J65))*12+MONTH(Lists!H$22)-MONTH($J65))-(EDATE($J65,((YEAR(Lists!H$22)-YEAR($J65))*12+MONTH(Lists!H$22)-MONTH($J65)))&gt;Lists!H$22)+1)))),N($C65)*IF($AE65-$AD65&lt;1,($AD65&gt;Lists!H$22)*($AD65&lt;=Lists!H$21),MAX(0,MIN(Lists!H$21,$AE65)-MAX(Lists!H$22,$AD65))/($AE65-$AD65))+N($D65)*IF($AG65-$AF65&lt;1,($AF65&gt;Lists!H$22)*($AF65&lt;=Lists!H$21),MAX(0,MIN(Lists!H$21,$AG65)-MAX(Lists!H$22,$AF65))/($AG65-$AF65))+N($E65)*IF($AI65-$AH65&lt;1,($AH65&gt;Lists!H$22)*($AH65&lt;=Lists!H$21),MAX(0,MIN(Lists!H$21,$AI65)-MAX(Lists!H$22,$AH65))/($AI65-$AH65))+N($F65)*IF($AK65-$AJ65&lt;1,($AJ65&gt;Lists!H$22)*($AJ65&lt;=Lists!H$21),MAX(0,MIN(Lists!H$21,$AK65)-MAX(Lists!H$22,$AJ65))/($AK65-$AJ65))+N($G65)*IF($AM65-$AL65&lt;1,($AL65&gt;Lists!H$22)*($AL65&lt;=Lists!H$21),MAX(0,MIN(Lists!H$21,$AM65)-MAX(Lists!H$22,$AL65))/($AM65-$AL65))))))))</f>
        <v>0</v>
      </c>
      <c r="S65" s="53" t="n">
        <f aca="false">IF($H65=0,0,IF($AP65="X",0,IF($AP65="S",$H65/$AO65*(MIN($AO65,MAX(0,INT((Lists!I$21-N($J65))/7)+1))-MIN($AO65,MAX(0,INT((Lists!I$22-N($J65))/7)+1))),IF($AP65="D",$H65*MAX(0,MIN(Lists!I$21,N($J65)+$AO65)-MAX(Lists!I$22,N($J65)))/$AO65,IF($AP65="M",$H65/$AO65*(IF(Lists!I$21&lt;$J65,0,MIN($AO65,(((YEAR(Lists!I$21)-YEAR($J65))*12+MONTH(Lists!I$21)-MONTH($J65))-(EDATE($J65,((YEAR(Lists!I$21)-YEAR($J65))*12+MONTH(Lists!I$21)-MONTH($J65)))&gt;Lists!I$21)+1)))-IF(Lists!I$22&lt;$J65,0,MIN($AO65,(((YEAR(Lists!I$22)-YEAR($J65))*12+MONTH(Lists!I$22)-MONTH($J65))-(EDATE($J65,((YEAR(Lists!I$22)-YEAR($J65))*12+MONTH(Lists!I$22)-MONTH($J65)))&gt;Lists!I$22)+1)))),IF($AP65="F",IF(N($K65)&lt;=0,0,MIN(MAX(0,$H65),N($K65)*IF(Lists!I$21&lt;$J65,0,(((YEAR(Lists!I$21)-YEAR($J65))*12+MONTH(Lists!I$21)-MONTH($J65))-(EDATE($J65,((YEAR(Lists!I$21)-YEAR($J65))*12+MONTH(Lists!I$21)-MONTH($J65)))&gt;Lists!I$21)+1)))-MIN(MAX(0,$H65),N($K65)*IF(Lists!I$22&lt;$J65,0,(((YEAR(Lists!I$22)-YEAR($J65))*12+MONTH(Lists!I$22)-MONTH($J65))-(EDATE($J65,((YEAR(Lists!I$22)-YEAR($J65))*12+MONTH(Lists!I$22)-MONTH($J65)))&gt;Lists!I$22)+1)))),N($C65)*IF($AE65-$AD65&lt;1,($AD65&gt;Lists!I$22)*($AD65&lt;=Lists!I$21),MAX(0,MIN(Lists!I$21,$AE65)-MAX(Lists!I$22,$AD65))/($AE65-$AD65))+N($D65)*IF($AG65-$AF65&lt;1,($AF65&gt;Lists!I$22)*($AF65&lt;=Lists!I$21),MAX(0,MIN(Lists!I$21,$AG65)-MAX(Lists!I$22,$AF65))/($AG65-$AF65))+N($E65)*IF($AI65-$AH65&lt;1,($AH65&gt;Lists!I$22)*($AH65&lt;=Lists!I$21),MAX(0,MIN(Lists!I$21,$AI65)-MAX(Lists!I$22,$AH65))/($AI65-$AH65))+N($F65)*IF($AK65-$AJ65&lt;1,($AJ65&gt;Lists!I$22)*($AJ65&lt;=Lists!I$21),MAX(0,MIN(Lists!I$21,$AK65)-MAX(Lists!I$22,$AJ65))/($AK65-$AJ65))+N($G65)*IF($AM65-$AL65&lt;1,($AL65&gt;Lists!I$22)*($AL65&lt;=Lists!I$21),MAX(0,MIN(Lists!I$21,$AM65)-MAX(Lists!I$22,$AL65))/($AM65-$AL65))))))))</f>
        <v>0</v>
      </c>
      <c r="T65" s="53" t="n">
        <f aca="false">IF($H65=0,0,IF($AP65="X",0,IF($AP65="S",$H65/$AO65*(MIN($AO65,MAX(0,INT((Lists!J$21-N($J65))/7)+1))-MIN($AO65,MAX(0,INT((Lists!J$22-N($J65))/7)+1))),IF($AP65="D",$H65*MAX(0,MIN(Lists!J$21,N($J65)+$AO65)-MAX(Lists!J$22,N($J65)))/$AO65,IF($AP65="M",$H65/$AO65*(IF(Lists!J$21&lt;$J65,0,MIN($AO65,(((YEAR(Lists!J$21)-YEAR($J65))*12+MONTH(Lists!J$21)-MONTH($J65))-(EDATE($J65,((YEAR(Lists!J$21)-YEAR($J65))*12+MONTH(Lists!J$21)-MONTH($J65)))&gt;Lists!J$21)+1)))-IF(Lists!J$22&lt;$J65,0,MIN($AO65,(((YEAR(Lists!J$22)-YEAR($J65))*12+MONTH(Lists!J$22)-MONTH($J65))-(EDATE($J65,((YEAR(Lists!J$22)-YEAR($J65))*12+MONTH(Lists!J$22)-MONTH($J65)))&gt;Lists!J$22)+1)))),IF($AP65="F",IF(N($K65)&lt;=0,0,MIN(MAX(0,$H65),N($K65)*IF(Lists!J$21&lt;$J65,0,(((YEAR(Lists!J$21)-YEAR($J65))*12+MONTH(Lists!J$21)-MONTH($J65))-(EDATE($J65,((YEAR(Lists!J$21)-YEAR($J65))*12+MONTH(Lists!J$21)-MONTH($J65)))&gt;Lists!J$21)+1)))-MIN(MAX(0,$H65),N($K65)*IF(Lists!J$22&lt;$J65,0,(((YEAR(Lists!J$22)-YEAR($J65))*12+MONTH(Lists!J$22)-MONTH($J65))-(EDATE($J65,((YEAR(Lists!J$22)-YEAR($J65))*12+MONTH(Lists!J$22)-MONTH($J65)))&gt;Lists!J$22)+1)))),N($C65)*IF($AE65-$AD65&lt;1,($AD65&gt;Lists!J$22)*($AD65&lt;=Lists!J$21),MAX(0,MIN(Lists!J$21,$AE65)-MAX(Lists!J$22,$AD65))/($AE65-$AD65))+N($D65)*IF($AG65-$AF65&lt;1,($AF65&gt;Lists!J$22)*($AF65&lt;=Lists!J$21),MAX(0,MIN(Lists!J$21,$AG65)-MAX(Lists!J$22,$AF65))/($AG65-$AF65))+N($E65)*IF($AI65-$AH65&lt;1,($AH65&gt;Lists!J$22)*($AH65&lt;=Lists!J$21),MAX(0,MIN(Lists!J$21,$AI65)-MAX(Lists!J$22,$AH65))/($AI65-$AH65))+N($F65)*IF($AK65-$AJ65&lt;1,($AJ65&gt;Lists!J$22)*($AJ65&lt;=Lists!J$21),MAX(0,MIN(Lists!J$21,$AK65)-MAX(Lists!J$22,$AJ65))/($AK65-$AJ65))+N($G65)*IF($AM65-$AL65&lt;1,($AL65&gt;Lists!J$22)*($AL65&lt;=Lists!J$21),MAX(0,MIN(Lists!J$21,$AM65)-MAX(Lists!J$22,$AL65))/($AM65-$AL65))))))))</f>
        <v>0</v>
      </c>
      <c r="U65" s="53" t="n">
        <f aca="false">IF($H65=0,0,IF($AP65="X",0,IF($AP65="S",$H65/$AO65*(MIN($AO65,MAX(0,INT((Lists!K$21-N($J65))/7)+1))-MIN($AO65,MAX(0,INT((Lists!K$22-N($J65))/7)+1))),IF($AP65="D",$H65*MAX(0,MIN(Lists!K$21,N($J65)+$AO65)-MAX(Lists!K$22,N($J65)))/$AO65,IF($AP65="M",$H65/$AO65*(IF(Lists!K$21&lt;$J65,0,MIN($AO65,(((YEAR(Lists!K$21)-YEAR($J65))*12+MONTH(Lists!K$21)-MONTH($J65))-(EDATE($J65,((YEAR(Lists!K$21)-YEAR($J65))*12+MONTH(Lists!K$21)-MONTH($J65)))&gt;Lists!K$21)+1)))-IF(Lists!K$22&lt;$J65,0,MIN($AO65,(((YEAR(Lists!K$22)-YEAR($J65))*12+MONTH(Lists!K$22)-MONTH($J65))-(EDATE($J65,((YEAR(Lists!K$22)-YEAR($J65))*12+MONTH(Lists!K$22)-MONTH($J65)))&gt;Lists!K$22)+1)))),IF($AP65="F",IF(N($K65)&lt;=0,0,MIN(MAX(0,$H65),N($K65)*IF(Lists!K$21&lt;$J65,0,(((YEAR(Lists!K$21)-YEAR($J65))*12+MONTH(Lists!K$21)-MONTH($J65))-(EDATE($J65,((YEAR(Lists!K$21)-YEAR($J65))*12+MONTH(Lists!K$21)-MONTH($J65)))&gt;Lists!K$21)+1)))-MIN(MAX(0,$H65),N($K65)*IF(Lists!K$22&lt;$J65,0,(((YEAR(Lists!K$22)-YEAR($J65))*12+MONTH(Lists!K$22)-MONTH($J65))-(EDATE($J65,((YEAR(Lists!K$22)-YEAR($J65))*12+MONTH(Lists!K$22)-MONTH($J65)))&gt;Lists!K$22)+1)))),N($C65)*IF($AE65-$AD65&lt;1,($AD65&gt;Lists!K$22)*($AD65&lt;=Lists!K$21),MAX(0,MIN(Lists!K$21,$AE65)-MAX(Lists!K$22,$AD65))/($AE65-$AD65))+N($D65)*IF($AG65-$AF65&lt;1,($AF65&gt;Lists!K$22)*($AF65&lt;=Lists!K$21),MAX(0,MIN(Lists!K$21,$AG65)-MAX(Lists!K$22,$AF65))/($AG65-$AF65))+N($E65)*IF($AI65-$AH65&lt;1,($AH65&gt;Lists!K$22)*($AH65&lt;=Lists!K$21),MAX(0,MIN(Lists!K$21,$AI65)-MAX(Lists!K$22,$AH65))/($AI65-$AH65))+N($F65)*IF($AK65-$AJ65&lt;1,($AJ65&gt;Lists!K$22)*($AJ65&lt;=Lists!K$21),MAX(0,MIN(Lists!K$21,$AK65)-MAX(Lists!K$22,$AJ65))/($AK65-$AJ65))+N($G65)*IF($AM65-$AL65&lt;1,($AL65&gt;Lists!K$22)*($AL65&lt;=Lists!K$21),MAX(0,MIN(Lists!K$21,$AM65)-MAX(Lists!K$22,$AL65))/($AM65-$AL65))))))))</f>
        <v>0</v>
      </c>
      <c r="V65" s="53" t="n">
        <f aca="false">IF($H65=0,0,IF($AP65="X",0,IF($AP65="S",$H65/$AO65*(MIN($AO65,MAX(0,INT((Lists!L$21-N($J65))/7)+1))-MIN($AO65,MAX(0,INT((Lists!L$22-N($J65))/7)+1))),IF($AP65="D",$H65*MAX(0,MIN(Lists!L$21,N($J65)+$AO65)-MAX(Lists!L$22,N($J65)))/$AO65,IF($AP65="M",$H65/$AO65*(IF(Lists!L$21&lt;$J65,0,MIN($AO65,(((YEAR(Lists!L$21)-YEAR($J65))*12+MONTH(Lists!L$21)-MONTH($J65))-(EDATE($J65,((YEAR(Lists!L$21)-YEAR($J65))*12+MONTH(Lists!L$21)-MONTH($J65)))&gt;Lists!L$21)+1)))-IF(Lists!L$22&lt;$J65,0,MIN($AO65,(((YEAR(Lists!L$22)-YEAR($J65))*12+MONTH(Lists!L$22)-MONTH($J65))-(EDATE($J65,((YEAR(Lists!L$22)-YEAR($J65))*12+MONTH(Lists!L$22)-MONTH($J65)))&gt;Lists!L$22)+1)))),IF($AP65="F",IF(N($K65)&lt;=0,0,MIN(MAX(0,$H65),N($K65)*IF(Lists!L$21&lt;$J65,0,(((YEAR(Lists!L$21)-YEAR($J65))*12+MONTH(Lists!L$21)-MONTH($J65))-(EDATE($J65,((YEAR(Lists!L$21)-YEAR($J65))*12+MONTH(Lists!L$21)-MONTH($J65)))&gt;Lists!L$21)+1)))-MIN(MAX(0,$H65),N($K65)*IF(Lists!L$22&lt;$J65,0,(((YEAR(Lists!L$22)-YEAR($J65))*12+MONTH(Lists!L$22)-MONTH($J65))-(EDATE($J65,((YEAR(Lists!L$22)-YEAR($J65))*12+MONTH(Lists!L$22)-MONTH($J65)))&gt;Lists!L$22)+1)))),N($C65)*IF($AE65-$AD65&lt;1,($AD65&gt;Lists!L$22)*($AD65&lt;=Lists!L$21),MAX(0,MIN(Lists!L$21,$AE65)-MAX(Lists!L$22,$AD65))/($AE65-$AD65))+N($D65)*IF($AG65-$AF65&lt;1,($AF65&gt;Lists!L$22)*($AF65&lt;=Lists!L$21),MAX(0,MIN(Lists!L$21,$AG65)-MAX(Lists!L$22,$AF65))/($AG65-$AF65))+N($E65)*IF($AI65-$AH65&lt;1,($AH65&gt;Lists!L$22)*($AH65&lt;=Lists!L$21),MAX(0,MIN(Lists!L$21,$AI65)-MAX(Lists!L$22,$AH65))/($AI65-$AH65))+N($F65)*IF($AK65-$AJ65&lt;1,($AJ65&gt;Lists!L$22)*($AJ65&lt;=Lists!L$21),MAX(0,MIN(Lists!L$21,$AK65)-MAX(Lists!L$22,$AJ65))/($AK65-$AJ65))+N($G65)*IF($AM65-$AL65&lt;1,($AL65&gt;Lists!L$22)*($AL65&lt;=Lists!L$21),MAX(0,MIN(Lists!L$21,$AM65)-MAX(Lists!L$22,$AL65))/($AM65-$AL65))))))))</f>
        <v>0</v>
      </c>
      <c r="W65" s="53" t="n">
        <f aca="false">IF($H65=0,0,IF($AP65="X",0,IF($AP65="S",$H65/$AO65*(MIN($AO65,MAX(0,INT((Lists!M$21-N($J65))/7)+1))-MIN($AO65,MAX(0,INT((Lists!M$22-N($J65))/7)+1))),IF($AP65="D",$H65*MAX(0,MIN(Lists!M$21,N($J65)+$AO65)-MAX(Lists!M$22,N($J65)))/$AO65,IF($AP65="M",$H65/$AO65*(IF(Lists!M$21&lt;$J65,0,MIN($AO65,(((YEAR(Lists!M$21)-YEAR($J65))*12+MONTH(Lists!M$21)-MONTH($J65))-(EDATE($J65,((YEAR(Lists!M$21)-YEAR($J65))*12+MONTH(Lists!M$21)-MONTH($J65)))&gt;Lists!M$21)+1)))-IF(Lists!M$22&lt;$J65,0,MIN($AO65,(((YEAR(Lists!M$22)-YEAR($J65))*12+MONTH(Lists!M$22)-MONTH($J65))-(EDATE($J65,((YEAR(Lists!M$22)-YEAR($J65))*12+MONTH(Lists!M$22)-MONTH($J65)))&gt;Lists!M$22)+1)))),IF($AP65="F",IF(N($K65)&lt;=0,0,MIN(MAX(0,$H65),N($K65)*IF(Lists!M$21&lt;$J65,0,(((YEAR(Lists!M$21)-YEAR($J65))*12+MONTH(Lists!M$21)-MONTH($J65))-(EDATE($J65,((YEAR(Lists!M$21)-YEAR($J65))*12+MONTH(Lists!M$21)-MONTH($J65)))&gt;Lists!M$21)+1)))-MIN(MAX(0,$H65),N($K65)*IF(Lists!M$22&lt;$J65,0,(((YEAR(Lists!M$22)-YEAR($J65))*12+MONTH(Lists!M$22)-MONTH($J65))-(EDATE($J65,((YEAR(Lists!M$22)-YEAR($J65))*12+MONTH(Lists!M$22)-MONTH($J65)))&gt;Lists!M$22)+1)))),N($C65)*IF($AE65-$AD65&lt;1,($AD65&gt;Lists!M$22)*($AD65&lt;=Lists!M$21),MAX(0,MIN(Lists!M$21,$AE65)-MAX(Lists!M$22,$AD65))/($AE65-$AD65))+N($D65)*IF($AG65-$AF65&lt;1,($AF65&gt;Lists!M$22)*($AF65&lt;=Lists!M$21),MAX(0,MIN(Lists!M$21,$AG65)-MAX(Lists!M$22,$AF65))/($AG65-$AF65))+N($E65)*IF($AI65-$AH65&lt;1,($AH65&gt;Lists!M$22)*($AH65&lt;=Lists!M$21),MAX(0,MIN(Lists!M$21,$AI65)-MAX(Lists!M$22,$AH65))/($AI65-$AH65))+N($F65)*IF($AK65-$AJ65&lt;1,($AJ65&gt;Lists!M$22)*($AJ65&lt;=Lists!M$21),MAX(0,MIN(Lists!M$21,$AK65)-MAX(Lists!M$22,$AJ65))/($AK65-$AJ65))+N($G65)*IF($AM65-$AL65&lt;1,($AL65&gt;Lists!M$22)*($AL65&lt;=Lists!M$21),MAX(0,MIN(Lists!M$21,$AM65)-MAX(Lists!M$22,$AL65))/($AM65-$AL65))))))))</f>
        <v>0</v>
      </c>
      <c r="X65" s="53" t="n">
        <f aca="false">IF($H65=0,0,IF($AP65="X",0,IF($AP65="S",$H65/$AO65*(MIN($AO65,MAX(0,INT((Lists!N$21-N($J65))/7)+1))-MIN($AO65,MAX(0,INT((Lists!N$22-N($J65))/7)+1))),IF($AP65="D",$H65*MAX(0,MIN(Lists!N$21,N($J65)+$AO65)-MAX(Lists!N$22,N($J65)))/$AO65,IF($AP65="M",$H65/$AO65*(IF(Lists!N$21&lt;$J65,0,MIN($AO65,(((YEAR(Lists!N$21)-YEAR($J65))*12+MONTH(Lists!N$21)-MONTH($J65))-(EDATE($J65,((YEAR(Lists!N$21)-YEAR($J65))*12+MONTH(Lists!N$21)-MONTH($J65)))&gt;Lists!N$21)+1)))-IF(Lists!N$22&lt;$J65,0,MIN($AO65,(((YEAR(Lists!N$22)-YEAR($J65))*12+MONTH(Lists!N$22)-MONTH($J65))-(EDATE($J65,((YEAR(Lists!N$22)-YEAR($J65))*12+MONTH(Lists!N$22)-MONTH($J65)))&gt;Lists!N$22)+1)))),IF($AP65="F",IF(N($K65)&lt;=0,0,MIN(MAX(0,$H65),N($K65)*IF(Lists!N$21&lt;$J65,0,(((YEAR(Lists!N$21)-YEAR($J65))*12+MONTH(Lists!N$21)-MONTH($J65))-(EDATE($J65,((YEAR(Lists!N$21)-YEAR($J65))*12+MONTH(Lists!N$21)-MONTH($J65)))&gt;Lists!N$21)+1)))-MIN(MAX(0,$H65),N($K65)*IF(Lists!N$22&lt;$J65,0,(((YEAR(Lists!N$22)-YEAR($J65))*12+MONTH(Lists!N$22)-MONTH($J65))-(EDATE($J65,((YEAR(Lists!N$22)-YEAR($J65))*12+MONTH(Lists!N$22)-MONTH($J65)))&gt;Lists!N$22)+1)))),N($C65)*IF($AE65-$AD65&lt;1,($AD65&gt;Lists!N$22)*($AD65&lt;=Lists!N$21),MAX(0,MIN(Lists!N$21,$AE65)-MAX(Lists!N$22,$AD65))/($AE65-$AD65))+N($D65)*IF($AG65-$AF65&lt;1,($AF65&gt;Lists!N$22)*($AF65&lt;=Lists!N$21),MAX(0,MIN(Lists!N$21,$AG65)-MAX(Lists!N$22,$AF65))/($AG65-$AF65))+N($E65)*IF($AI65-$AH65&lt;1,($AH65&gt;Lists!N$22)*($AH65&lt;=Lists!N$21),MAX(0,MIN(Lists!N$21,$AI65)-MAX(Lists!N$22,$AH65))/($AI65-$AH65))+N($F65)*IF($AK65-$AJ65&lt;1,($AJ65&gt;Lists!N$22)*($AJ65&lt;=Lists!N$21),MAX(0,MIN(Lists!N$21,$AK65)-MAX(Lists!N$22,$AJ65))/($AK65-$AJ65))+N($G65)*IF($AM65-$AL65&lt;1,($AL65&gt;Lists!N$22)*($AL65&lt;=Lists!N$21),MAX(0,MIN(Lists!N$21,$AM65)-MAX(Lists!N$22,$AL65))/($AM65-$AL65))))))))</f>
        <v>0</v>
      </c>
      <c r="Y65" s="53" t="n">
        <f aca="false">IF($H65=0,0,IF($AP65="X",0,IF($AP65="S",$H65/$AO65*(MIN($AO65,MAX(0,INT((Lists!O$21-N($J65))/7)+1))-MIN($AO65,MAX(0,INT((Lists!O$22-N($J65))/7)+1))),IF($AP65="D",$H65*MAX(0,MIN(Lists!O$21,N($J65)+$AO65)-MAX(Lists!O$22,N($J65)))/$AO65,IF($AP65="M",$H65/$AO65*(IF(Lists!O$21&lt;$J65,0,MIN($AO65,(((YEAR(Lists!O$21)-YEAR($J65))*12+MONTH(Lists!O$21)-MONTH($J65))-(EDATE($J65,((YEAR(Lists!O$21)-YEAR($J65))*12+MONTH(Lists!O$21)-MONTH($J65)))&gt;Lists!O$21)+1)))-IF(Lists!O$22&lt;$J65,0,MIN($AO65,(((YEAR(Lists!O$22)-YEAR($J65))*12+MONTH(Lists!O$22)-MONTH($J65))-(EDATE($J65,((YEAR(Lists!O$22)-YEAR($J65))*12+MONTH(Lists!O$22)-MONTH($J65)))&gt;Lists!O$22)+1)))),IF($AP65="F",IF(N($K65)&lt;=0,0,MIN(MAX(0,$H65),N($K65)*IF(Lists!O$21&lt;$J65,0,(((YEAR(Lists!O$21)-YEAR($J65))*12+MONTH(Lists!O$21)-MONTH($J65))-(EDATE($J65,((YEAR(Lists!O$21)-YEAR($J65))*12+MONTH(Lists!O$21)-MONTH($J65)))&gt;Lists!O$21)+1)))-MIN(MAX(0,$H65),N($K65)*IF(Lists!O$22&lt;$J65,0,(((YEAR(Lists!O$22)-YEAR($J65))*12+MONTH(Lists!O$22)-MONTH($J65))-(EDATE($J65,((YEAR(Lists!O$22)-YEAR($J65))*12+MONTH(Lists!O$22)-MONTH($J65)))&gt;Lists!O$22)+1)))),N($C65)*IF($AE65-$AD65&lt;1,($AD65&gt;Lists!O$22)*($AD65&lt;=Lists!O$21),MAX(0,MIN(Lists!O$21,$AE65)-MAX(Lists!O$22,$AD65))/($AE65-$AD65))+N($D65)*IF($AG65-$AF65&lt;1,($AF65&gt;Lists!O$22)*($AF65&lt;=Lists!O$21),MAX(0,MIN(Lists!O$21,$AG65)-MAX(Lists!O$22,$AF65))/($AG65-$AF65))+N($E65)*IF($AI65-$AH65&lt;1,($AH65&gt;Lists!O$22)*($AH65&lt;=Lists!O$21),MAX(0,MIN(Lists!O$21,$AI65)-MAX(Lists!O$22,$AH65))/($AI65-$AH65))+N($F65)*IF($AK65-$AJ65&lt;1,($AJ65&gt;Lists!O$22)*($AJ65&lt;=Lists!O$21),MAX(0,MIN(Lists!O$21,$AK65)-MAX(Lists!O$22,$AJ65))/($AK65-$AJ65))+N($G65)*IF($AM65-$AL65&lt;1,($AL65&gt;Lists!O$22)*($AL65&lt;=Lists!O$21),MAX(0,MIN(Lists!O$21,$AM65)-MAX(Lists!O$22,$AL65))/($AM65-$AL65))))))))</f>
        <v>0</v>
      </c>
      <c r="Z65" s="46" t="n">
        <f aca="false">SUM(M65:Y65)</f>
        <v>0</v>
      </c>
      <c r="AA65" s="92" t="n">
        <f aca="false">H65-Z65</f>
        <v>0</v>
      </c>
      <c r="AB65" s="55"/>
      <c r="AC65" s="2"/>
      <c r="AD65" s="93" t="n">
        <f aca="false">Setup!$D$10+MAX(0,$AN65-30)</f>
        <v>46345</v>
      </c>
      <c r="AE65" s="93" t="n">
        <f aca="false">Setup!$D$10+IF($AN65-30&lt;0,MAX(Setup!$D$22,$AN65-0),$AN65-0)</f>
        <v>46375</v>
      </c>
      <c r="AF65" s="93" t="n">
        <f aca="false">Setup!$D$10+MAX(0,$AN65-60)</f>
        <v>46335</v>
      </c>
      <c r="AG65" s="93" t="n">
        <f aca="false">Setup!$D$10+IF($AN65-60&lt;0,MAX(Setup!$D$22,$AN65-31),$AN65-31)</f>
        <v>46363</v>
      </c>
      <c r="AH65" s="93" t="n">
        <f aca="false">Setup!$D$10+MAX(0,$AN65-90)</f>
        <v>46335</v>
      </c>
      <c r="AI65" s="93" t="n">
        <f aca="false">Setup!$D$10+IF($AN65-90&lt;0,MAX(Setup!$D$22,$AN65-61),$AN65-61)</f>
        <v>46363</v>
      </c>
      <c r="AJ65" s="93" t="n">
        <f aca="false">Setup!$D$10+MAX(0,$AN65-120)</f>
        <v>46335</v>
      </c>
      <c r="AK65" s="93" t="n">
        <f aca="false">Setup!$D$10+IF($AN65-120&lt;0,MAX(Setup!$D$22,$AN65-91),$AN65-91)</f>
        <v>46363</v>
      </c>
      <c r="AL65" s="93" t="n">
        <f aca="false">Setup!$D$10</f>
        <v>46335</v>
      </c>
      <c r="AM65" s="93" t="n">
        <f aca="false">IF(AL65=2958465,AL65,Setup!$D$10+Setup!$D$22)</f>
        <v>46363</v>
      </c>
      <c r="AN65" s="94" t="n">
        <f aca="false">IF(N(L65)=0,Setup!$D$21,L65)</f>
        <v>40</v>
      </c>
      <c r="AO65" s="94" t="n">
        <f aca="false">MAX(1,ROUND(N(K65),0))</f>
        <v>1</v>
      </c>
      <c r="AP65" s="95" t="str">
        <f aca="false">IF(I65="On hold","X",IF(N(J65)=0,"A",IF(I65="Specific date","S",IF(I65="Spread over days","D",IF(I65="Monthly on set day","M",IF(I65="Monthly fixed amount","F","A"))))))</f>
        <v>A</v>
      </c>
    </row>
    <row r="66" customFormat="false" ht="15" hidden="false" customHeight="false" outlineLevel="0" collapsed="false">
      <c r="A66" s="87" t="n">
        <v>58</v>
      </c>
      <c r="B66" s="55"/>
      <c r="C66" s="88"/>
      <c r="D66" s="88"/>
      <c r="E66" s="88"/>
      <c r="F66" s="88"/>
      <c r="G66" s="88"/>
      <c r="H66" s="89" t="n">
        <f aca="false">SUM(C66:G66)</f>
        <v>0</v>
      </c>
      <c r="I66" s="58"/>
      <c r="J66" s="90"/>
      <c r="K66" s="91"/>
      <c r="L66" s="80"/>
      <c r="M66" s="53" t="n">
        <f aca="false">IF($H66=0,0,IF($AP66="X",0,IF($AP66="S",$H66/$AO66*(MIN($AO66,MAX(0,INT((Lists!C$21-N($J66))/7)+1))-MIN($AO66,MAX(0,INT((Lists!C$22-N($J66))/7)+1))),IF($AP66="D",$H66*MAX(0,MIN(Lists!C$21,N($J66)+$AO66)-MAX(Lists!C$22,N($J66)))/$AO66,IF($AP66="M",$H66/$AO66*(IF(Lists!C$21&lt;$J66,0,MIN($AO66,(((YEAR(Lists!C$21)-YEAR($J66))*12+MONTH(Lists!C$21)-MONTH($J66))-(EDATE($J66,((YEAR(Lists!C$21)-YEAR($J66))*12+MONTH(Lists!C$21)-MONTH($J66)))&gt;Lists!C$21)+1)))-IF(Lists!C$22&lt;$J66,0,MIN($AO66,(((YEAR(Lists!C$22)-YEAR($J66))*12+MONTH(Lists!C$22)-MONTH($J66))-(EDATE($J66,((YEAR(Lists!C$22)-YEAR($J66))*12+MONTH(Lists!C$22)-MONTH($J66)))&gt;Lists!C$22)+1)))),IF($AP66="F",IF(N($K66)&lt;=0,0,MIN(MAX(0,$H66),N($K66)*IF(Lists!C$21&lt;$J66,0,(((YEAR(Lists!C$21)-YEAR($J66))*12+MONTH(Lists!C$21)-MONTH($J66))-(EDATE($J66,((YEAR(Lists!C$21)-YEAR($J66))*12+MONTH(Lists!C$21)-MONTH($J66)))&gt;Lists!C$21)+1)))-MIN(MAX(0,$H66),N($K66)*IF(Lists!C$22&lt;$J66,0,(((YEAR(Lists!C$22)-YEAR($J66))*12+MONTH(Lists!C$22)-MONTH($J66))-(EDATE($J66,((YEAR(Lists!C$22)-YEAR($J66))*12+MONTH(Lists!C$22)-MONTH($J66)))&gt;Lists!C$22)+1)))),N($C66)*IF($AE66-$AD66&lt;1,($AD66&gt;Lists!C$22)*($AD66&lt;=Lists!C$21),MAX(0,MIN(Lists!C$21,$AE66)-MAX(Lists!C$22,$AD66))/($AE66-$AD66))+N($D66)*IF($AG66-$AF66&lt;1,($AF66&gt;Lists!C$22)*($AF66&lt;=Lists!C$21),MAX(0,MIN(Lists!C$21,$AG66)-MAX(Lists!C$22,$AF66))/($AG66-$AF66))+N($E66)*IF($AI66-$AH66&lt;1,($AH66&gt;Lists!C$22)*($AH66&lt;=Lists!C$21),MAX(0,MIN(Lists!C$21,$AI66)-MAX(Lists!C$22,$AH66))/($AI66-$AH66))+N($F66)*IF($AK66-$AJ66&lt;1,($AJ66&gt;Lists!C$22)*($AJ66&lt;=Lists!C$21),MAX(0,MIN(Lists!C$21,$AK66)-MAX(Lists!C$22,$AJ66))/($AK66-$AJ66))+N($G66)*IF($AM66-$AL66&lt;1,($AL66&gt;Lists!C$22)*($AL66&lt;=Lists!C$21),MAX(0,MIN(Lists!C$21,$AM66)-MAX(Lists!C$22,$AL66))/($AM66-$AL66))))))))</f>
        <v>0</v>
      </c>
      <c r="N66" s="53" t="n">
        <f aca="false">IF($H66=0,0,IF($AP66="X",0,IF($AP66="S",$H66/$AO66*(MIN($AO66,MAX(0,INT((Lists!D$21-N($J66))/7)+1))-MIN($AO66,MAX(0,INT((Lists!D$22-N($J66))/7)+1))),IF($AP66="D",$H66*MAX(0,MIN(Lists!D$21,N($J66)+$AO66)-MAX(Lists!D$22,N($J66)))/$AO66,IF($AP66="M",$H66/$AO66*(IF(Lists!D$21&lt;$J66,0,MIN($AO66,(((YEAR(Lists!D$21)-YEAR($J66))*12+MONTH(Lists!D$21)-MONTH($J66))-(EDATE($J66,((YEAR(Lists!D$21)-YEAR($J66))*12+MONTH(Lists!D$21)-MONTH($J66)))&gt;Lists!D$21)+1)))-IF(Lists!D$22&lt;$J66,0,MIN($AO66,(((YEAR(Lists!D$22)-YEAR($J66))*12+MONTH(Lists!D$22)-MONTH($J66))-(EDATE($J66,((YEAR(Lists!D$22)-YEAR($J66))*12+MONTH(Lists!D$22)-MONTH($J66)))&gt;Lists!D$22)+1)))),IF($AP66="F",IF(N($K66)&lt;=0,0,MIN(MAX(0,$H66),N($K66)*IF(Lists!D$21&lt;$J66,0,(((YEAR(Lists!D$21)-YEAR($J66))*12+MONTH(Lists!D$21)-MONTH($J66))-(EDATE($J66,((YEAR(Lists!D$21)-YEAR($J66))*12+MONTH(Lists!D$21)-MONTH($J66)))&gt;Lists!D$21)+1)))-MIN(MAX(0,$H66),N($K66)*IF(Lists!D$22&lt;$J66,0,(((YEAR(Lists!D$22)-YEAR($J66))*12+MONTH(Lists!D$22)-MONTH($J66))-(EDATE($J66,((YEAR(Lists!D$22)-YEAR($J66))*12+MONTH(Lists!D$22)-MONTH($J66)))&gt;Lists!D$22)+1)))),N($C66)*IF($AE66-$AD66&lt;1,($AD66&gt;Lists!D$22)*($AD66&lt;=Lists!D$21),MAX(0,MIN(Lists!D$21,$AE66)-MAX(Lists!D$22,$AD66))/($AE66-$AD66))+N($D66)*IF($AG66-$AF66&lt;1,($AF66&gt;Lists!D$22)*($AF66&lt;=Lists!D$21),MAX(0,MIN(Lists!D$21,$AG66)-MAX(Lists!D$22,$AF66))/($AG66-$AF66))+N($E66)*IF($AI66-$AH66&lt;1,($AH66&gt;Lists!D$22)*($AH66&lt;=Lists!D$21),MAX(0,MIN(Lists!D$21,$AI66)-MAX(Lists!D$22,$AH66))/($AI66-$AH66))+N($F66)*IF($AK66-$AJ66&lt;1,($AJ66&gt;Lists!D$22)*($AJ66&lt;=Lists!D$21),MAX(0,MIN(Lists!D$21,$AK66)-MAX(Lists!D$22,$AJ66))/($AK66-$AJ66))+N($G66)*IF($AM66-$AL66&lt;1,($AL66&gt;Lists!D$22)*($AL66&lt;=Lists!D$21),MAX(0,MIN(Lists!D$21,$AM66)-MAX(Lists!D$22,$AL66))/($AM66-$AL66))))))))</f>
        <v>0</v>
      </c>
      <c r="O66" s="53" t="n">
        <f aca="false">IF($H66=0,0,IF($AP66="X",0,IF($AP66="S",$H66/$AO66*(MIN($AO66,MAX(0,INT((Lists!E$21-N($J66))/7)+1))-MIN($AO66,MAX(0,INT((Lists!E$22-N($J66))/7)+1))),IF($AP66="D",$H66*MAX(0,MIN(Lists!E$21,N($J66)+$AO66)-MAX(Lists!E$22,N($J66)))/$AO66,IF($AP66="M",$H66/$AO66*(IF(Lists!E$21&lt;$J66,0,MIN($AO66,(((YEAR(Lists!E$21)-YEAR($J66))*12+MONTH(Lists!E$21)-MONTH($J66))-(EDATE($J66,((YEAR(Lists!E$21)-YEAR($J66))*12+MONTH(Lists!E$21)-MONTH($J66)))&gt;Lists!E$21)+1)))-IF(Lists!E$22&lt;$J66,0,MIN($AO66,(((YEAR(Lists!E$22)-YEAR($J66))*12+MONTH(Lists!E$22)-MONTH($J66))-(EDATE($J66,((YEAR(Lists!E$22)-YEAR($J66))*12+MONTH(Lists!E$22)-MONTH($J66)))&gt;Lists!E$22)+1)))),IF($AP66="F",IF(N($K66)&lt;=0,0,MIN(MAX(0,$H66),N($K66)*IF(Lists!E$21&lt;$J66,0,(((YEAR(Lists!E$21)-YEAR($J66))*12+MONTH(Lists!E$21)-MONTH($J66))-(EDATE($J66,((YEAR(Lists!E$21)-YEAR($J66))*12+MONTH(Lists!E$21)-MONTH($J66)))&gt;Lists!E$21)+1)))-MIN(MAX(0,$H66),N($K66)*IF(Lists!E$22&lt;$J66,0,(((YEAR(Lists!E$22)-YEAR($J66))*12+MONTH(Lists!E$22)-MONTH($J66))-(EDATE($J66,((YEAR(Lists!E$22)-YEAR($J66))*12+MONTH(Lists!E$22)-MONTH($J66)))&gt;Lists!E$22)+1)))),N($C66)*IF($AE66-$AD66&lt;1,($AD66&gt;Lists!E$22)*($AD66&lt;=Lists!E$21),MAX(0,MIN(Lists!E$21,$AE66)-MAX(Lists!E$22,$AD66))/($AE66-$AD66))+N($D66)*IF($AG66-$AF66&lt;1,($AF66&gt;Lists!E$22)*($AF66&lt;=Lists!E$21),MAX(0,MIN(Lists!E$21,$AG66)-MAX(Lists!E$22,$AF66))/($AG66-$AF66))+N($E66)*IF($AI66-$AH66&lt;1,($AH66&gt;Lists!E$22)*($AH66&lt;=Lists!E$21),MAX(0,MIN(Lists!E$21,$AI66)-MAX(Lists!E$22,$AH66))/($AI66-$AH66))+N($F66)*IF($AK66-$AJ66&lt;1,($AJ66&gt;Lists!E$22)*($AJ66&lt;=Lists!E$21),MAX(0,MIN(Lists!E$21,$AK66)-MAX(Lists!E$22,$AJ66))/($AK66-$AJ66))+N($G66)*IF($AM66-$AL66&lt;1,($AL66&gt;Lists!E$22)*($AL66&lt;=Lists!E$21),MAX(0,MIN(Lists!E$21,$AM66)-MAX(Lists!E$22,$AL66))/($AM66-$AL66))))))))</f>
        <v>0</v>
      </c>
      <c r="P66" s="53" t="n">
        <f aca="false">IF($H66=0,0,IF($AP66="X",0,IF($AP66="S",$H66/$AO66*(MIN($AO66,MAX(0,INT((Lists!F$21-N($J66))/7)+1))-MIN($AO66,MAX(0,INT((Lists!F$22-N($J66))/7)+1))),IF($AP66="D",$H66*MAX(0,MIN(Lists!F$21,N($J66)+$AO66)-MAX(Lists!F$22,N($J66)))/$AO66,IF($AP66="M",$H66/$AO66*(IF(Lists!F$21&lt;$J66,0,MIN($AO66,(((YEAR(Lists!F$21)-YEAR($J66))*12+MONTH(Lists!F$21)-MONTH($J66))-(EDATE($J66,((YEAR(Lists!F$21)-YEAR($J66))*12+MONTH(Lists!F$21)-MONTH($J66)))&gt;Lists!F$21)+1)))-IF(Lists!F$22&lt;$J66,0,MIN($AO66,(((YEAR(Lists!F$22)-YEAR($J66))*12+MONTH(Lists!F$22)-MONTH($J66))-(EDATE($J66,((YEAR(Lists!F$22)-YEAR($J66))*12+MONTH(Lists!F$22)-MONTH($J66)))&gt;Lists!F$22)+1)))),IF($AP66="F",IF(N($K66)&lt;=0,0,MIN(MAX(0,$H66),N($K66)*IF(Lists!F$21&lt;$J66,0,(((YEAR(Lists!F$21)-YEAR($J66))*12+MONTH(Lists!F$21)-MONTH($J66))-(EDATE($J66,((YEAR(Lists!F$21)-YEAR($J66))*12+MONTH(Lists!F$21)-MONTH($J66)))&gt;Lists!F$21)+1)))-MIN(MAX(0,$H66),N($K66)*IF(Lists!F$22&lt;$J66,0,(((YEAR(Lists!F$22)-YEAR($J66))*12+MONTH(Lists!F$22)-MONTH($J66))-(EDATE($J66,((YEAR(Lists!F$22)-YEAR($J66))*12+MONTH(Lists!F$22)-MONTH($J66)))&gt;Lists!F$22)+1)))),N($C66)*IF($AE66-$AD66&lt;1,($AD66&gt;Lists!F$22)*($AD66&lt;=Lists!F$21),MAX(0,MIN(Lists!F$21,$AE66)-MAX(Lists!F$22,$AD66))/($AE66-$AD66))+N($D66)*IF($AG66-$AF66&lt;1,($AF66&gt;Lists!F$22)*($AF66&lt;=Lists!F$21),MAX(0,MIN(Lists!F$21,$AG66)-MAX(Lists!F$22,$AF66))/($AG66-$AF66))+N($E66)*IF($AI66-$AH66&lt;1,($AH66&gt;Lists!F$22)*($AH66&lt;=Lists!F$21),MAX(0,MIN(Lists!F$21,$AI66)-MAX(Lists!F$22,$AH66))/($AI66-$AH66))+N($F66)*IF($AK66-$AJ66&lt;1,($AJ66&gt;Lists!F$22)*($AJ66&lt;=Lists!F$21),MAX(0,MIN(Lists!F$21,$AK66)-MAX(Lists!F$22,$AJ66))/($AK66-$AJ66))+N($G66)*IF($AM66-$AL66&lt;1,($AL66&gt;Lists!F$22)*($AL66&lt;=Lists!F$21),MAX(0,MIN(Lists!F$21,$AM66)-MAX(Lists!F$22,$AL66))/($AM66-$AL66))))))))</f>
        <v>0</v>
      </c>
      <c r="Q66" s="53" t="n">
        <f aca="false">IF($H66=0,0,IF($AP66="X",0,IF($AP66="S",$H66/$AO66*(MIN($AO66,MAX(0,INT((Lists!G$21-N($J66))/7)+1))-MIN($AO66,MAX(0,INT((Lists!G$22-N($J66))/7)+1))),IF($AP66="D",$H66*MAX(0,MIN(Lists!G$21,N($J66)+$AO66)-MAX(Lists!G$22,N($J66)))/$AO66,IF($AP66="M",$H66/$AO66*(IF(Lists!G$21&lt;$J66,0,MIN($AO66,(((YEAR(Lists!G$21)-YEAR($J66))*12+MONTH(Lists!G$21)-MONTH($J66))-(EDATE($J66,((YEAR(Lists!G$21)-YEAR($J66))*12+MONTH(Lists!G$21)-MONTH($J66)))&gt;Lists!G$21)+1)))-IF(Lists!G$22&lt;$J66,0,MIN($AO66,(((YEAR(Lists!G$22)-YEAR($J66))*12+MONTH(Lists!G$22)-MONTH($J66))-(EDATE($J66,((YEAR(Lists!G$22)-YEAR($J66))*12+MONTH(Lists!G$22)-MONTH($J66)))&gt;Lists!G$22)+1)))),IF($AP66="F",IF(N($K66)&lt;=0,0,MIN(MAX(0,$H66),N($K66)*IF(Lists!G$21&lt;$J66,0,(((YEAR(Lists!G$21)-YEAR($J66))*12+MONTH(Lists!G$21)-MONTH($J66))-(EDATE($J66,((YEAR(Lists!G$21)-YEAR($J66))*12+MONTH(Lists!G$21)-MONTH($J66)))&gt;Lists!G$21)+1)))-MIN(MAX(0,$H66),N($K66)*IF(Lists!G$22&lt;$J66,0,(((YEAR(Lists!G$22)-YEAR($J66))*12+MONTH(Lists!G$22)-MONTH($J66))-(EDATE($J66,((YEAR(Lists!G$22)-YEAR($J66))*12+MONTH(Lists!G$22)-MONTH($J66)))&gt;Lists!G$22)+1)))),N($C66)*IF($AE66-$AD66&lt;1,($AD66&gt;Lists!G$22)*($AD66&lt;=Lists!G$21),MAX(0,MIN(Lists!G$21,$AE66)-MAX(Lists!G$22,$AD66))/($AE66-$AD66))+N($D66)*IF($AG66-$AF66&lt;1,($AF66&gt;Lists!G$22)*($AF66&lt;=Lists!G$21),MAX(0,MIN(Lists!G$21,$AG66)-MAX(Lists!G$22,$AF66))/($AG66-$AF66))+N($E66)*IF($AI66-$AH66&lt;1,($AH66&gt;Lists!G$22)*($AH66&lt;=Lists!G$21),MAX(0,MIN(Lists!G$21,$AI66)-MAX(Lists!G$22,$AH66))/($AI66-$AH66))+N($F66)*IF($AK66-$AJ66&lt;1,($AJ66&gt;Lists!G$22)*($AJ66&lt;=Lists!G$21),MAX(0,MIN(Lists!G$21,$AK66)-MAX(Lists!G$22,$AJ66))/($AK66-$AJ66))+N($G66)*IF($AM66-$AL66&lt;1,($AL66&gt;Lists!G$22)*($AL66&lt;=Lists!G$21),MAX(0,MIN(Lists!G$21,$AM66)-MAX(Lists!G$22,$AL66))/($AM66-$AL66))))))))</f>
        <v>0</v>
      </c>
      <c r="R66" s="53" t="n">
        <f aca="false">IF($H66=0,0,IF($AP66="X",0,IF($AP66="S",$H66/$AO66*(MIN($AO66,MAX(0,INT((Lists!H$21-N($J66))/7)+1))-MIN($AO66,MAX(0,INT((Lists!H$22-N($J66))/7)+1))),IF($AP66="D",$H66*MAX(0,MIN(Lists!H$21,N($J66)+$AO66)-MAX(Lists!H$22,N($J66)))/$AO66,IF($AP66="M",$H66/$AO66*(IF(Lists!H$21&lt;$J66,0,MIN($AO66,(((YEAR(Lists!H$21)-YEAR($J66))*12+MONTH(Lists!H$21)-MONTH($J66))-(EDATE($J66,((YEAR(Lists!H$21)-YEAR($J66))*12+MONTH(Lists!H$21)-MONTH($J66)))&gt;Lists!H$21)+1)))-IF(Lists!H$22&lt;$J66,0,MIN($AO66,(((YEAR(Lists!H$22)-YEAR($J66))*12+MONTH(Lists!H$22)-MONTH($J66))-(EDATE($J66,((YEAR(Lists!H$22)-YEAR($J66))*12+MONTH(Lists!H$22)-MONTH($J66)))&gt;Lists!H$22)+1)))),IF($AP66="F",IF(N($K66)&lt;=0,0,MIN(MAX(0,$H66),N($K66)*IF(Lists!H$21&lt;$J66,0,(((YEAR(Lists!H$21)-YEAR($J66))*12+MONTH(Lists!H$21)-MONTH($J66))-(EDATE($J66,((YEAR(Lists!H$21)-YEAR($J66))*12+MONTH(Lists!H$21)-MONTH($J66)))&gt;Lists!H$21)+1)))-MIN(MAX(0,$H66),N($K66)*IF(Lists!H$22&lt;$J66,0,(((YEAR(Lists!H$22)-YEAR($J66))*12+MONTH(Lists!H$22)-MONTH($J66))-(EDATE($J66,((YEAR(Lists!H$22)-YEAR($J66))*12+MONTH(Lists!H$22)-MONTH($J66)))&gt;Lists!H$22)+1)))),N($C66)*IF($AE66-$AD66&lt;1,($AD66&gt;Lists!H$22)*($AD66&lt;=Lists!H$21),MAX(0,MIN(Lists!H$21,$AE66)-MAX(Lists!H$22,$AD66))/($AE66-$AD66))+N($D66)*IF($AG66-$AF66&lt;1,($AF66&gt;Lists!H$22)*($AF66&lt;=Lists!H$21),MAX(0,MIN(Lists!H$21,$AG66)-MAX(Lists!H$22,$AF66))/($AG66-$AF66))+N($E66)*IF($AI66-$AH66&lt;1,($AH66&gt;Lists!H$22)*($AH66&lt;=Lists!H$21),MAX(0,MIN(Lists!H$21,$AI66)-MAX(Lists!H$22,$AH66))/($AI66-$AH66))+N($F66)*IF($AK66-$AJ66&lt;1,($AJ66&gt;Lists!H$22)*($AJ66&lt;=Lists!H$21),MAX(0,MIN(Lists!H$21,$AK66)-MAX(Lists!H$22,$AJ66))/($AK66-$AJ66))+N($G66)*IF($AM66-$AL66&lt;1,($AL66&gt;Lists!H$22)*($AL66&lt;=Lists!H$21),MAX(0,MIN(Lists!H$21,$AM66)-MAX(Lists!H$22,$AL66))/($AM66-$AL66))))))))</f>
        <v>0</v>
      </c>
      <c r="S66" s="53" t="n">
        <f aca="false">IF($H66=0,0,IF($AP66="X",0,IF($AP66="S",$H66/$AO66*(MIN($AO66,MAX(0,INT((Lists!I$21-N($J66))/7)+1))-MIN($AO66,MAX(0,INT((Lists!I$22-N($J66))/7)+1))),IF($AP66="D",$H66*MAX(0,MIN(Lists!I$21,N($J66)+$AO66)-MAX(Lists!I$22,N($J66)))/$AO66,IF($AP66="M",$H66/$AO66*(IF(Lists!I$21&lt;$J66,0,MIN($AO66,(((YEAR(Lists!I$21)-YEAR($J66))*12+MONTH(Lists!I$21)-MONTH($J66))-(EDATE($J66,((YEAR(Lists!I$21)-YEAR($J66))*12+MONTH(Lists!I$21)-MONTH($J66)))&gt;Lists!I$21)+1)))-IF(Lists!I$22&lt;$J66,0,MIN($AO66,(((YEAR(Lists!I$22)-YEAR($J66))*12+MONTH(Lists!I$22)-MONTH($J66))-(EDATE($J66,((YEAR(Lists!I$22)-YEAR($J66))*12+MONTH(Lists!I$22)-MONTH($J66)))&gt;Lists!I$22)+1)))),IF($AP66="F",IF(N($K66)&lt;=0,0,MIN(MAX(0,$H66),N($K66)*IF(Lists!I$21&lt;$J66,0,(((YEAR(Lists!I$21)-YEAR($J66))*12+MONTH(Lists!I$21)-MONTH($J66))-(EDATE($J66,((YEAR(Lists!I$21)-YEAR($J66))*12+MONTH(Lists!I$21)-MONTH($J66)))&gt;Lists!I$21)+1)))-MIN(MAX(0,$H66),N($K66)*IF(Lists!I$22&lt;$J66,0,(((YEAR(Lists!I$22)-YEAR($J66))*12+MONTH(Lists!I$22)-MONTH($J66))-(EDATE($J66,((YEAR(Lists!I$22)-YEAR($J66))*12+MONTH(Lists!I$22)-MONTH($J66)))&gt;Lists!I$22)+1)))),N($C66)*IF($AE66-$AD66&lt;1,($AD66&gt;Lists!I$22)*($AD66&lt;=Lists!I$21),MAX(0,MIN(Lists!I$21,$AE66)-MAX(Lists!I$22,$AD66))/($AE66-$AD66))+N($D66)*IF($AG66-$AF66&lt;1,($AF66&gt;Lists!I$22)*($AF66&lt;=Lists!I$21),MAX(0,MIN(Lists!I$21,$AG66)-MAX(Lists!I$22,$AF66))/($AG66-$AF66))+N($E66)*IF($AI66-$AH66&lt;1,($AH66&gt;Lists!I$22)*($AH66&lt;=Lists!I$21),MAX(0,MIN(Lists!I$21,$AI66)-MAX(Lists!I$22,$AH66))/($AI66-$AH66))+N($F66)*IF($AK66-$AJ66&lt;1,($AJ66&gt;Lists!I$22)*($AJ66&lt;=Lists!I$21),MAX(0,MIN(Lists!I$21,$AK66)-MAX(Lists!I$22,$AJ66))/($AK66-$AJ66))+N($G66)*IF($AM66-$AL66&lt;1,($AL66&gt;Lists!I$22)*($AL66&lt;=Lists!I$21),MAX(0,MIN(Lists!I$21,$AM66)-MAX(Lists!I$22,$AL66))/($AM66-$AL66))))))))</f>
        <v>0</v>
      </c>
      <c r="T66" s="53" t="n">
        <f aca="false">IF($H66=0,0,IF($AP66="X",0,IF($AP66="S",$H66/$AO66*(MIN($AO66,MAX(0,INT((Lists!J$21-N($J66))/7)+1))-MIN($AO66,MAX(0,INT((Lists!J$22-N($J66))/7)+1))),IF($AP66="D",$H66*MAX(0,MIN(Lists!J$21,N($J66)+$AO66)-MAX(Lists!J$22,N($J66)))/$AO66,IF($AP66="M",$H66/$AO66*(IF(Lists!J$21&lt;$J66,0,MIN($AO66,(((YEAR(Lists!J$21)-YEAR($J66))*12+MONTH(Lists!J$21)-MONTH($J66))-(EDATE($J66,((YEAR(Lists!J$21)-YEAR($J66))*12+MONTH(Lists!J$21)-MONTH($J66)))&gt;Lists!J$21)+1)))-IF(Lists!J$22&lt;$J66,0,MIN($AO66,(((YEAR(Lists!J$22)-YEAR($J66))*12+MONTH(Lists!J$22)-MONTH($J66))-(EDATE($J66,((YEAR(Lists!J$22)-YEAR($J66))*12+MONTH(Lists!J$22)-MONTH($J66)))&gt;Lists!J$22)+1)))),IF($AP66="F",IF(N($K66)&lt;=0,0,MIN(MAX(0,$H66),N($K66)*IF(Lists!J$21&lt;$J66,0,(((YEAR(Lists!J$21)-YEAR($J66))*12+MONTH(Lists!J$21)-MONTH($J66))-(EDATE($J66,((YEAR(Lists!J$21)-YEAR($J66))*12+MONTH(Lists!J$21)-MONTH($J66)))&gt;Lists!J$21)+1)))-MIN(MAX(0,$H66),N($K66)*IF(Lists!J$22&lt;$J66,0,(((YEAR(Lists!J$22)-YEAR($J66))*12+MONTH(Lists!J$22)-MONTH($J66))-(EDATE($J66,((YEAR(Lists!J$22)-YEAR($J66))*12+MONTH(Lists!J$22)-MONTH($J66)))&gt;Lists!J$22)+1)))),N($C66)*IF($AE66-$AD66&lt;1,($AD66&gt;Lists!J$22)*($AD66&lt;=Lists!J$21),MAX(0,MIN(Lists!J$21,$AE66)-MAX(Lists!J$22,$AD66))/($AE66-$AD66))+N($D66)*IF($AG66-$AF66&lt;1,($AF66&gt;Lists!J$22)*($AF66&lt;=Lists!J$21),MAX(0,MIN(Lists!J$21,$AG66)-MAX(Lists!J$22,$AF66))/($AG66-$AF66))+N($E66)*IF($AI66-$AH66&lt;1,($AH66&gt;Lists!J$22)*($AH66&lt;=Lists!J$21),MAX(0,MIN(Lists!J$21,$AI66)-MAX(Lists!J$22,$AH66))/($AI66-$AH66))+N($F66)*IF($AK66-$AJ66&lt;1,($AJ66&gt;Lists!J$22)*($AJ66&lt;=Lists!J$21),MAX(0,MIN(Lists!J$21,$AK66)-MAX(Lists!J$22,$AJ66))/($AK66-$AJ66))+N($G66)*IF($AM66-$AL66&lt;1,($AL66&gt;Lists!J$22)*($AL66&lt;=Lists!J$21),MAX(0,MIN(Lists!J$21,$AM66)-MAX(Lists!J$22,$AL66))/($AM66-$AL66))))))))</f>
        <v>0</v>
      </c>
      <c r="U66" s="53" t="n">
        <f aca="false">IF($H66=0,0,IF($AP66="X",0,IF($AP66="S",$H66/$AO66*(MIN($AO66,MAX(0,INT((Lists!K$21-N($J66))/7)+1))-MIN($AO66,MAX(0,INT((Lists!K$22-N($J66))/7)+1))),IF($AP66="D",$H66*MAX(0,MIN(Lists!K$21,N($J66)+$AO66)-MAX(Lists!K$22,N($J66)))/$AO66,IF($AP66="M",$H66/$AO66*(IF(Lists!K$21&lt;$J66,0,MIN($AO66,(((YEAR(Lists!K$21)-YEAR($J66))*12+MONTH(Lists!K$21)-MONTH($J66))-(EDATE($J66,((YEAR(Lists!K$21)-YEAR($J66))*12+MONTH(Lists!K$21)-MONTH($J66)))&gt;Lists!K$21)+1)))-IF(Lists!K$22&lt;$J66,0,MIN($AO66,(((YEAR(Lists!K$22)-YEAR($J66))*12+MONTH(Lists!K$22)-MONTH($J66))-(EDATE($J66,((YEAR(Lists!K$22)-YEAR($J66))*12+MONTH(Lists!K$22)-MONTH($J66)))&gt;Lists!K$22)+1)))),IF($AP66="F",IF(N($K66)&lt;=0,0,MIN(MAX(0,$H66),N($K66)*IF(Lists!K$21&lt;$J66,0,(((YEAR(Lists!K$21)-YEAR($J66))*12+MONTH(Lists!K$21)-MONTH($J66))-(EDATE($J66,((YEAR(Lists!K$21)-YEAR($J66))*12+MONTH(Lists!K$21)-MONTH($J66)))&gt;Lists!K$21)+1)))-MIN(MAX(0,$H66),N($K66)*IF(Lists!K$22&lt;$J66,0,(((YEAR(Lists!K$22)-YEAR($J66))*12+MONTH(Lists!K$22)-MONTH($J66))-(EDATE($J66,((YEAR(Lists!K$22)-YEAR($J66))*12+MONTH(Lists!K$22)-MONTH($J66)))&gt;Lists!K$22)+1)))),N($C66)*IF($AE66-$AD66&lt;1,($AD66&gt;Lists!K$22)*($AD66&lt;=Lists!K$21),MAX(0,MIN(Lists!K$21,$AE66)-MAX(Lists!K$22,$AD66))/($AE66-$AD66))+N($D66)*IF($AG66-$AF66&lt;1,($AF66&gt;Lists!K$22)*($AF66&lt;=Lists!K$21),MAX(0,MIN(Lists!K$21,$AG66)-MAX(Lists!K$22,$AF66))/($AG66-$AF66))+N($E66)*IF($AI66-$AH66&lt;1,($AH66&gt;Lists!K$22)*($AH66&lt;=Lists!K$21),MAX(0,MIN(Lists!K$21,$AI66)-MAX(Lists!K$22,$AH66))/($AI66-$AH66))+N($F66)*IF($AK66-$AJ66&lt;1,($AJ66&gt;Lists!K$22)*($AJ66&lt;=Lists!K$21),MAX(0,MIN(Lists!K$21,$AK66)-MAX(Lists!K$22,$AJ66))/($AK66-$AJ66))+N($G66)*IF($AM66-$AL66&lt;1,($AL66&gt;Lists!K$22)*($AL66&lt;=Lists!K$21),MAX(0,MIN(Lists!K$21,$AM66)-MAX(Lists!K$22,$AL66))/($AM66-$AL66))))))))</f>
        <v>0</v>
      </c>
      <c r="V66" s="53" t="n">
        <f aca="false">IF($H66=0,0,IF($AP66="X",0,IF($AP66="S",$H66/$AO66*(MIN($AO66,MAX(0,INT((Lists!L$21-N($J66))/7)+1))-MIN($AO66,MAX(0,INT((Lists!L$22-N($J66))/7)+1))),IF($AP66="D",$H66*MAX(0,MIN(Lists!L$21,N($J66)+$AO66)-MAX(Lists!L$22,N($J66)))/$AO66,IF($AP66="M",$H66/$AO66*(IF(Lists!L$21&lt;$J66,0,MIN($AO66,(((YEAR(Lists!L$21)-YEAR($J66))*12+MONTH(Lists!L$21)-MONTH($J66))-(EDATE($J66,((YEAR(Lists!L$21)-YEAR($J66))*12+MONTH(Lists!L$21)-MONTH($J66)))&gt;Lists!L$21)+1)))-IF(Lists!L$22&lt;$J66,0,MIN($AO66,(((YEAR(Lists!L$22)-YEAR($J66))*12+MONTH(Lists!L$22)-MONTH($J66))-(EDATE($J66,((YEAR(Lists!L$22)-YEAR($J66))*12+MONTH(Lists!L$22)-MONTH($J66)))&gt;Lists!L$22)+1)))),IF($AP66="F",IF(N($K66)&lt;=0,0,MIN(MAX(0,$H66),N($K66)*IF(Lists!L$21&lt;$J66,0,(((YEAR(Lists!L$21)-YEAR($J66))*12+MONTH(Lists!L$21)-MONTH($J66))-(EDATE($J66,((YEAR(Lists!L$21)-YEAR($J66))*12+MONTH(Lists!L$21)-MONTH($J66)))&gt;Lists!L$21)+1)))-MIN(MAX(0,$H66),N($K66)*IF(Lists!L$22&lt;$J66,0,(((YEAR(Lists!L$22)-YEAR($J66))*12+MONTH(Lists!L$22)-MONTH($J66))-(EDATE($J66,((YEAR(Lists!L$22)-YEAR($J66))*12+MONTH(Lists!L$22)-MONTH($J66)))&gt;Lists!L$22)+1)))),N($C66)*IF($AE66-$AD66&lt;1,($AD66&gt;Lists!L$22)*($AD66&lt;=Lists!L$21),MAX(0,MIN(Lists!L$21,$AE66)-MAX(Lists!L$22,$AD66))/($AE66-$AD66))+N($D66)*IF($AG66-$AF66&lt;1,($AF66&gt;Lists!L$22)*($AF66&lt;=Lists!L$21),MAX(0,MIN(Lists!L$21,$AG66)-MAX(Lists!L$22,$AF66))/($AG66-$AF66))+N($E66)*IF($AI66-$AH66&lt;1,($AH66&gt;Lists!L$22)*($AH66&lt;=Lists!L$21),MAX(0,MIN(Lists!L$21,$AI66)-MAX(Lists!L$22,$AH66))/($AI66-$AH66))+N($F66)*IF($AK66-$AJ66&lt;1,($AJ66&gt;Lists!L$22)*($AJ66&lt;=Lists!L$21),MAX(0,MIN(Lists!L$21,$AK66)-MAX(Lists!L$22,$AJ66))/($AK66-$AJ66))+N($G66)*IF($AM66-$AL66&lt;1,($AL66&gt;Lists!L$22)*($AL66&lt;=Lists!L$21),MAX(0,MIN(Lists!L$21,$AM66)-MAX(Lists!L$22,$AL66))/($AM66-$AL66))))))))</f>
        <v>0</v>
      </c>
      <c r="W66" s="53" t="n">
        <f aca="false">IF($H66=0,0,IF($AP66="X",0,IF($AP66="S",$H66/$AO66*(MIN($AO66,MAX(0,INT((Lists!M$21-N($J66))/7)+1))-MIN($AO66,MAX(0,INT((Lists!M$22-N($J66))/7)+1))),IF($AP66="D",$H66*MAX(0,MIN(Lists!M$21,N($J66)+$AO66)-MAX(Lists!M$22,N($J66)))/$AO66,IF($AP66="M",$H66/$AO66*(IF(Lists!M$21&lt;$J66,0,MIN($AO66,(((YEAR(Lists!M$21)-YEAR($J66))*12+MONTH(Lists!M$21)-MONTH($J66))-(EDATE($J66,((YEAR(Lists!M$21)-YEAR($J66))*12+MONTH(Lists!M$21)-MONTH($J66)))&gt;Lists!M$21)+1)))-IF(Lists!M$22&lt;$J66,0,MIN($AO66,(((YEAR(Lists!M$22)-YEAR($J66))*12+MONTH(Lists!M$22)-MONTH($J66))-(EDATE($J66,((YEAR(Lists!M$22)-YEAR($J66))*12+MONTH(Lists!M$22)-MONTH($J66)))&gt;Lists!M$22)+1)))),IF($AP66="F",IF(N($K66)&lt;=0,0,MIN(MAX(0,$H66),N($K66)*IF(Lists!M$21&lt;$J66,0,(((YEAR(Lists!M$21)-YEAR($J66))*12+MONTH(Lists!M$21)-MONTH($J66))-(EDATE($J66,((YEAR(Lists!M$21)-YEAR($J66))*12+MONTH(Lists!M$21)-MONTH($J66)))&gt;Lists!M$21)+1)))-MIN(MAX(0,$H66),N($K66)*IF(Lists!M$22&lt;$J66,0,(((YEAR(Lists!M$22)-YEAR($J66))*12+MONTH(Lists!M$22)-MONTH($J66))-(EDATE($J66,((YEAR(Lists!M$22)-YEAR($J66))*12+MONTH(Lists!M$22)-MONTH($J66)))&gt;Lists!M$22)+1)))),N($C66)*IF($AE66-$AD66&lt;1,($AD66&gt;Lists!M$22)*($AD66&lt;=Lists!M$21),MAX(0,MIN(Lists!M$21,$AE66)-MAX(Lists!M$22,$AD66))/($AE66-$AD66))+N($D66)*IF($AG66-$AF66&lt;1,($AF66&gt;Lists!M$22)*($AF66&lt;=Lists!M$21),MAX(0,MIN(Lists!M$21,$AG66)-MAX(Lists!M$22,$AF66))/($AG66-$AF66))+N($E66)*IF($AI66-$AH66&lt;1,($AH66&gt;Lists!M$22)*($AH66&lt;=Lists!M$21),MAX(0,MIN(Lists!M$21,$AI66)-MAX(Lists!M$22,$AH66))/($AI66-$AH66))+N($F66)*IF($AK66-$AJ66&lt;1,($AJ66&gt;Lists!M$22)*($AJ66&lt;=Lists!M$21),MAX(0,MIN(Lists!M$21,$AK66)-MAX(Lists!M$22,$AJ66))/($AK66-$AJ66))+N($G66)*IF($AM66-$AL66&lt;1,($AL66&gt;Lists!M$22)*($AL66&lt;=Lists!M$21),MAX(0,MIN(Lists!M$21,$AM66)-MAX(Lists!M$22,$AL66))/($AM66-$AL66))))))))</f>
        <v>0</v>
      </c>
      <c r="X66" s="53" t="n">
        <f aca="false">IF($H66=0,0,IF($AP66="X",0,IF($AP66="S",$H66/$AO66*(MIN($AO66,MAX(0,INT((Lists!N$21-N($J66))/7)+1))-MIN($AO66,MAX(0,INT((Lists!N$22-N($J66))/7)+1))),IF($AP66="D",$H66*MAX(0,MIN(Lists!N$21,N($J66)+$AO66)-MAX(Lists!N$22,N($J66)))/$AO66,IF($AP66="M",$H66/$AO66*(IF(Lists!N$21&lt;$J66,0,MIN($AO66,(((YEAR(Lists!N$21)-YEAR($J66))*12+MONTH(Lists!N$21)-MONTH($J66))-(EDATE($J66,((YEAR(Lists!N$21)-YEAR($J66))*12+MONTH(Lists!N$21)-MONTH($J66)))&gt;Lists!N$21)+1)))-IF(Lists!N$22&lt;$J66,0,MIN($AO66,(((YEAR(Lists!N$22)-YEAR($J66))*12+MONTH(Lists!N$22)-MONTH($J66))-(EDATE($J66,((YEAR(Lists!N$22)-YEAR($J66))*12+MONTH(Lists!N$22)-MONTH($J66)))&gt;Lists!N$22)+1)))),IF($AP66="F",IF(N($K66)&lt;=0,0,MIN(MAX(0,$H66),N($K66)*IF(Lists!N$21&lt;$J66,0,(((YEAR(Lists!N$21)-YEAR($J66))*12+MONTH(Lists!N$21)-MONTH($J66))-(EDATE($J66,((YEAR(Lists!N$21)-YEAR($J66))*12+MONTH(Lists!N$21)-MONTH($J66)))&gt;Lists!N$21)+1)))-MIN(MAX(0,$H66),N($K66)*IF(Lists!N$22&lt;$J66,0,(((YEAR(Lists!N$22)-YEAR($J66))*12+MONTH(Lists!N$22)-MONTH($J66))-(EDATE($J66,((YEAR(Lists!N$22)-YEAR($J66))*12+MONTH(Lists!N$22)-MONTH($J66)))&gt;Lists!N$22)+1)))),N($C66)*IF($AE66-$AD66&lt;1,($AD66&gt;Lists!N$22)*($AD66&lt;=Lists!N$21),MAX(0,MIN(Lists!N$21,$AE66)-MAX(Lists!N$22,$AD66))/($AE66-$AD66))+N($D66)*IF($AG66-$AF66&lt;1,($AF66&gt;Lists!N$22)*($AF66&lt;=Lists!N$21),MAX(0,MIN(Lists!N$21,$AG66)-MAX(Lists!N$22,$AF66))/($AG66-$AF66))+N($E66)*IF($AI66-$AH66&lt;1,($AH66&gt;Lists!N$22)*($AH66&lt;=Lists!N$21),MAX(0,MIN(Lists!N$21,$AI66)-MAX(Lists!N$22,$AH66))/($AI66-$AH66))+N($F66)*IF($AK66-$AJ66&lt;1,($AJ66&gt;Lists!N$22)*($AJ66&lt;=Lists!N$21),MAX(0,MIN(Lists!N$21,$AK66)-MAX(Lists!N$22,$AJ66))/($AK66-$AJ66))+N($G66)*IF($AM66-$AL66&lt;1,($AL66&gt;Lists!N$22)*($AL66&lt;=Lists!N$21),MAX(0,MIN(Lists!N$21,$AM66)-MAX(Lists!N$22,$AL66))/($AM66-$AL66))))))))</f>
        <v>0</v>
      </c>
      <c r="Y66" s="53" t="n">
        <f aca="false">IF($H66=0,0,IF($AP66="X",0,IF($AP66="S",$H66/$AO66*(MIN($AO66,MAX(0,INT((Lists!O$21-N($J66))/7)+1))-MIN($AO66,MAX(0,INT((Lists!O$22-N($J66))/7)+1))),IF($AP66="D",$H66*MAX(0,MIN(Lists!O$21,N($J66)+$AO66)-MAX(Lists!O$22,N($J66)))/$AO66,IF($AP66="M",$H66/$AO66*(IF(Lists!O$21&lt;$J66,0,MIN($AO66,(((YEAR(Lists!O$21)-YEAR($J66))*12+MONTH(Lists!O$21)-MONTH($J66))-(EDATE($J66,((YEAR(Lists!O$21)-YEAR($J66))*12+MONTH(Lists!O$21)-MONTH($J66)))&gt;Lists!O$21)+1)))-IF(Lists!O$22&lt;$J66,0,MIN($AO66,(((YEAR(Lists!O$22)-YEAR($J66))*12+MONTH(Lists!O$22)-MONTH($J66))-(EDATE($J66,((YEAR(Lists!O$22)-YEAR($J66))*12+MONTH(Lists!O$22)-MONTH($J66)))&gt;Lists!O$22)+1)))),IF($AP66="F",IF(N($K66)&lt;=0,0,MIN(MAX(0,$H66),N($K66)*IF(Lists!O$21&lt;$J66,0,(((YEAR(Lists!O$21)-YEAR($J66))*12+MONTH(Lists!O$21)-MONTH($J66))-(EDATE($J66,((YEAR(Lists!O$21)-YEAR($J66))*12+MONTH(Lists!O$21)-MONTH($J66)))&gt;Lists!O$21)+1)))-MIN(MAX(0,$H66),N($K66)*IF(Lists!O$22&lt;$J66,0,(((YEAR(Lists!O$22)-YEAR($J66))*12+MONTH(Lists!O$22)-MONTH($J66))-(EDATE($J66,((YEAR(Lists!O$22)-YEAR($J66))*12+MONTH(Lists!O$22)-MONTH($J66)))&gt;Lists!O$22)+1)))),N($C66)*IF($AE66-$AD66&lt;1,($AD66&gt;Lists!O$22)*($AD66&lt;=Lists!O$21),MAX(0,MIN(Lists!O$21,$AE66)-MAX(Lists!O$22,$AD66))/($AE66-$AD66))+N($D66)*IF($AG66-$AF66&lt;1,($AF66&gt;Lists!O$22)*($AF66&lt;=Lists!O$21),MAX(0,MIN(Lists!O$21,$AG66)-MAX(Lists!O$22,$AF66))/($AG66-$AF66))+N($E66)*IF($AI66-$AH66&lt;1,($AH66&gt;Lists!O$22)*($AH66&lt;=Lists!O$21),MAX(0,MIN(Lists!O$21,$AI66)-MAX(Lists!O$22,$AH66))/($AI66-$AH66))+N($F66)*IF($AK66-$AJ66&lt;1,($AJ66&gt;Lists!O$22)*($AJ66&lt;=Lists!O$21),MAX(0,MIN(Lists!O$21,$AK66)-MAX(Lists!O$22,$AJ66))/($AK66-$AJ66))+N($G66)*IF($AM66-$AL66&lt;1,($AL66&gt;Lists!O$22)*($AL66&lt;=Lists!O$21),MAX(0,MIN(Lists!O$21,$AM66)-MAX(Lists!O$22,$AL66))/($AM66-$AL66))))))))</f>
        <v>0</v>
      </c>
      <c r="Z66" s="46" t="n">
        <f aca="false">SUM(M66:Y66)</f>
        <v>0</v>
      </c>
      <c r="AA66" s="92" t="n">
        <f aca="false">H66-Z66</f>
        <v>0</v>
      </c>
      <c r="AB66" s="55"/>
      <c r="AC66" s="2"/>
      <c r="AD66" s="93" t="n">
        <f aca="false">Setup!$D$10+MAX(0,$AN66-30)</f>
        <v>46345</v>
      </c>
      <c r="AE66" s="93" t="n">
        <f aca="false">Setup!$D$10+IF($AN66-30&lt;0,MAX(Setup!$D$22,$AN66-0),$AN66-0)</f>
        <v>46375</v>
      </c>
      <c r="AF66" s="93" t="n">
        <f aca="false">Setup!$D$10+MAX(0,$AN66-60)</f>
        <v>46335</v>
      </c>
      <c r="AG66" s="93" t="n">
        <f aca="false">Setup!$D$10+IF($AN66-60&lt;0,MAX(Setup!$D$22,$AN66-31),$AN66-31)</f>
        <v>46363</v>
      </c>
      <c r="AH66" s="93" t="n">
        <f aca="false">Setup!$D$10+MAX(0,$AN66-90)</f>
        <v>46335</v>
      </c>
      <c r="AI66" s="93" t="n">
        <f aca="false">Setup!$D$10+IF($AN66-90&lt;0,MAX(Setup!$D$22,$AN66-61),$AN66-61)</f>
        <v>46363</v>
      </c>
      <c r="AJ66" s="93" t="n">
        <f aca="false">Setup!$D$10+MAX(0,$AN66-120)</f>
        <v>46335</v>
      </c>
      <c r="AK66" s="93" t="n">
        <f aca="false">Setup!$D$10+IF($AN66-120&lt;0,MAX(Setup!$D$22,$AN66-91),$AN66-91)</f>
        <v>46363</v>
      </c>
      <c r="AL66" s="93" t="n">
        <f aca="false">Setup!$D$10</f>
        <v>46335</v>
      </c>
      <c r="AM66" s="93" t="n">
        <f aca="false">IF(AL66=2958465,AL66,Setup!$D$10+Setup!$D$22)</f>
        <v>46363</v>
      </c>
      <c r="AN66" s="94" t="n">
        <f aca="false">IF(N(L66)=0,Setup!$D$21,L66)</f>
        <v>40</v>
      </c>
      <c r="AO66" s="94" t="n">
        <f aca="false">MAX(1,ROUND(N(K66),0))</f>
        <v>1</v>
      </c>
      <c r="AP66" s="95" t="str">
        <f aca="false">IF(I66="On hold","X",IF(N(J66)=0,"A",IF(I66="Specific date","S",IF(I66="Spread over days","D",IF(I66="Monthly on set day","M",IF(I66="Monthly fixed amount","F","A"))))))</f>
        <v>A</v>
      </c>
    </row>
    <row r="67" customFormat="false" ht="15" hidden="false" customHeight="false" outlineLevel="0" collapsed="false">
      <c r="A67" s="87" t="n">
        <v>59</v>
      </c>
      <c r="B67" s="55"/>
      <c r="C67" s="88"/>
      <c r="D67" s="88"/>
      <c r="E67" s="88"/>
      <c r="F67" s="88"/>
      <c r="G67" s="88"/>
      <c r="H67" s="89" t="n">
        <f aca="false">SUM(C67:G67)</f>
        <v>0</v>
      </c>
      <c r="I67" s="58"/>
      <c r="J67" s="90"/>
      <c r="K67" s="91"/>
      <c r="L67" s="80"/>
      <c r="M67" s="53" t="n">
        <f aca="false">IF($H67=0,0,IF($AP67="X",0,IF($AP67="S",$H67/$AO67*(MIN($AO67,MAX(0,INT((Lists!C$21-N($J67))/7)+1))-MIN($AO67,MAX(0,INT((Lists!C$22-N($J67))/7)+1))),IF($AP67="D",$H67*MAX(0,MIN(Lists!C$21,N($J67)+$AO67)-MAX(Lists!C$22,N($J67)))/$AO67,IF($AP67="M",$H67/$AO67*(IF(Lists!C$21&lt;$J67,0,MIN($AO67,(((YEAR(Lists!C$21)-YEAR($J67))*12+MONTH(Lists!C$21)-MONTH($J67))-(EDATE($J67,((YEAR(Lists!C$21)-YEAR($J67))*12+MONTH(Lists!C$21)-MONTH($J67)))&gt;Lists!C$21)+1)))-IF(Lists!C$22&lt;$J67,0,MIN($AO67,(((YEAR(Lists!C$22)-YEAR($J67))*12+MONTH(Lists!C$22)-MONTH($J67))-(EDATE($J67,((YEAR(Lists!C$22)-YEAR($J67))*12+MONTH(Lists!C$22)-MONTH($J67)))&gt;Lists!C$22)+1)))),IF($AP67="F",IF(N($K67)&lt;=0,0,MIN(MAX(0,$H67),N($K67)*IF(Lists!C$21&lt;$J67,0,(((YEAR(Lists!C$21)-YEAR($J67))*12+MONTH(Lists!C$21)-MONTH($J67))-(EDATE($J67,((YEAR(Lists!C$21)-YEAR($J67))*12+MONTH(Lists!C$21)-MONTH($J67)))&gt;Lists!C$21)+1)))-MIN(MAX(0,$H67),N($K67)*IF(Lists!C$22&lt;$J67,0,(((YEAR(Lists!C$22)-YEAR($J67))*12+MONTH(Lists!C$22)-MONTH($J67))-(EDATE($J67,((YEAR(Lists!C$22)-YEAR($J67))*12+MONTH(Lists!C$22)-MONTH($J67)))&gt;Lists!C$22)+1)))),N($C67)*IF($AE67-$AD67&lt;1,($AD67&gt;Lists!C$22)*($AD67&lt;=Lists!C$21),MAX(0,MIN(Lists!C$21,$AE67)-MAX(Lists!C$22,$AD67))/($AE67-$AD67))+N($D67)*IF($AG67-$AF67&lt;1,($AF67&gt;Lists!C$22)*($AF67&lt;=Lists!C$21),MAX(0,MIN(Lists!C$21,$AG67)-MAX(Lists!C$22,$AF67))/($AG67-$AF67))+N($E67)*IF($AI67-$AH67&lt;1,($AH67&gt;Lists!C$22)*($AH67&lt;=Lists!C$21),MAX(0,MIN(Lists!C$21,$AI67)-MAX(Lists!C$22,$AH67))/($AI67-$AH67))+N($F67)*IF($AK67-$AJ67&lt;1,($AJ67&gt;Lists!C$22)*($AJ67&lt;=Lists!C$21),MAX(0,MIN(Lists!C$21,$AK67)-MAX(Lists!C$22,$AJ67))/($AK67-$AJ67))+N($G67)*IF($AM67-$AL67&lt;1,($AL67&gt;Lists!C$22)*($AL67&lt;=Lists!C$21),MAX(0,MIN(Lists!C$21,$AM67)-MAX(Lists!C$22,$AL67))/($AM67-$AL67))))))))</f>
        <v>0</v>
      </c>
      <c r="N67" s="53" t="n">
        <f aca="false">IF($H67=0,0,IF($AP67="X",0,IF($AP67="S",$H67/$AO67*(MIN($AO67,MAX(0,INT((Lists!D$21-N($J67))/7)+1))-MIN($AO67,MAX(0,INT((Lists!D$22-N($J67))/7)+1))),IF($AP67="D",$H67*MAX(0,MIN(Lists!D$21,N($J67)+$AO67)-MAX(Lists!D$22,N($J67)))/$AO67,IF($AP67="M",$H67/$AO67*(IF(Lists!D$21&lt;$J67,0,MIN($AO67,(((YEAR(Lists!D$21)-YEAR($J67))*12+MONTH(Lists!D$21)-MONTH($J67))-(EDATE($J67,((YEAR(Lists!D$21)-YEAR($J67))*12+MONTH(Lists!D$21)-MONTH($J67)))&gt;Lists!D$21)+1)))-IF(Lists!D$22&lt;$J67,0,MIN($AO67,(((YEAR(Lists!D$22)-YEAR($J67))*12+MONTH(Lists!D$22)-MONTH($J67))-(EDATE($J67,((YEAR(Lists!D$22)-YEAR($J67))*12+MONTH(Lists!D$22)-MONTH($J67)))&gt;Lists!D$22)+1)))),IF($AP67="F",IF(N($K67)&lt;=0,0,MIN(MAX(0,$H67),N($K67)*IF(Lists!D$21&lt;$J67,0,(((YEAR(Lists!D$21)-YEAR($J67))*12+MONTH(Lists!D$21)-MONTH($J67))-(EDATE($J67,((YEAR(Lists!D$21)-YEAR($J67))*12+MONTH(Lists!D$21)-MONTH($J67)))&gt;Lists!D$21)+1)))-MIN(MAX(0,$H67),N($K67)*IF(Lists!D$22&lt;$J67,0,(((YEAR(Lists!D$22)-YEAR($J67))*12+MONTH(Lists!D$22)-MONTH($J67))-(EDATE($J67,((YEAR(Lists!D$22)-YEAR($J67))*12+MONTH(Lists!D$22)-MONTH($J67)))&gt;Lists!D$22)+1)))),N($C67)*IF($AE67-$AD67&lt;1,($AD67&gt;Lists!D$22)*($AD67&lt;=Lists!D$21),MAX(0,MIN(Lists!D$21,$AE67)-MAX(Lists!D$22,$AD67))/($AE67-$AD67))+N($D67)*IF($AG67-$AF67&lt;1,($AF67&gt;Lists!D$22)*($AF67&lt;=Lists!D$21),MAX(0,MIN(Lists!D$21,$AG67)-MAX(Lists!D$22,$AF67))/($AG67-$AF67))+N($E67)*IF($AI67-$AH67&lt;1,($AH67&gt;Lists!D$22)*($AH67&lt;=Lists!D$21),MAX(0,MIN(Lists!D$21,$AI67)-MAX(Lists!D$22,$AH67))/($AI67-$AH67))+N($F67)*IF($AK67-$AJ67&lt;1,($AJ67&gt;Lists!D$22)*($AJ67&lt;=Lists!D$21),MAX(0,MIN(Lists!D$21,$AK67)-MAX(Lists!D$22,$AJ67))/($AK67-$AJ67))+N($G67)*IF($AM67-$AL67&lt;1,($AL67&gt;Lists!D$22)*($AL67&lt;=Lists!D$21),MAX(0,MIN(Lists!D$21,$AM67)-MAX(Lists!D$22,$AL67))/($AM67-$AL67))))))))</f>
        <v>0</v>
      </c>
      <c r="O67" s="53" t="n">
        <f aca="false">IF($H67=0,0,IF($AP67="X",0,IF($AP67="S",$H67/$AO67*(MIN($AO67,MAX(0,INT((Lists!E$21-N($J67))/7)+1))-MIN($AO67,MAX(0,INT((Lists!E$22-N($J67))/7)+1))),IF($AP67="D",$H67*MAX(0,MIN(Lists!E$21,N($J67)+$AO67)-MAX(Lists!E$22,N($J67)))/$AO67,IF($AP67="M",$H67/$AO67*(IF(Lists!E$21&lt;$J67,0,MIN($AO67,(((YEAR(Lists!E$21)-YEAR($J67))*12+MONTH(Lists!E$21)-MONTH($J67))-(EDATE($J67,((YEAR(Lists!E$21)-YEAR($J67))*12+MONTH(Lists!E$21)-MONTH($J67)))&gt;Lists!E$21)+1)))-IF(Lists!E$22&lt;$J67,0,MIN($AO67,(((YEAR(Lists!E$22)-YEAR($J67))*12+MONTH(Lists!E$22)-MONTH($J67))-(EDATE($J67,((YEAR(Lists!E$22)-YEAR($J67))*12+MONTH(Lists!E$22)-MONTH($J67)))&gt;Lists!E$22)+1)))),IF($AP67="F",IF(N($K67)&lt;=0,0,MIN(MAX(0,$H67),N($K67)*IF(Lists!E$21&lt;$J67,0,(((YEAR(Lists!E$21)-YEAR($J67))*12+MONTH(Lists!E$21)-MONTH($J67))-(EDATE($J67,((YEAR(Lists!E$21)-YEAR($J67))*12+MONTH(Lists!E$21)-MONTH($J67)))&gt;Lists!E$21)+1)))-MIN(MAX(0,$H67),N($K67)*IF(Lists!E$22&lt;$J67,0,(((YEAR(Lists!E$22)-YEAR($J67))*12+MONTH(Lists!E$22)-MONTH($J67))-(EDATE($J67,((YEAR(Lists!E$22)-YEAR($J67))*12+MONTH(Lists!E$22)-MONTH($J67)))&gt;Lists!E$22)+1)))),N($C67)*IF($AE67-$AD67&lt;1,($AD67&gt;Lists!E$22)*($AD67&lt;=Lists!E$21),MAX(0,MIN(Lists!E$21,$AE67)-MAX(Lists!E$22,$AD67))/($AE67-$AD67))+N($D67)*IF($AG67-$AF67&lt;1,($AF67&gt;Lists!E$22)*($AF67&lt;=Lists!E$21),MAX(0,MIN(Lists!E$21,$AG67)-MAX(Lists!E$22,$AF67))/($AG67-$AF67))+N($E67)*IF($AI67-$AH67&lt;1,($AH67&gt;Lists!E$22)*($AH67&lt;=Lists!E$21),MAX(0,MIN(Lists!E$21,$AI67)-MAX(Lists!E$22,$AH67))/($AI67-$AH67))+N($F67)*IF($AK67-$AJ67&lt;1,($AJ67&gt;Lists!E$22)*($AJ67&lt;=Lists!E$21),MAX(0,MIN(Lists!E$21,$AK67)-MAX(Lists!E$22,$AJ67))/($AK67-$AJ67))+N($G67)*IF($AM67-$AL67&lt;1,($AL67&gt;Lists!E$22)*($AL67&lt;=Lists!E$21),MAX(0,MIN(Lists!E$21,$AM67)-MAX(Lists!E$22,$AL67))/($AM67-$AL67))))))))</f>
        <v>0</v>
      </c>
      <c r="P67" s="53" t="n">
        <f aca="false">IF($H67=0,0,IF($AP67="X",0,IF($AP67="S",$H67/$AO67*(MIN($AO67,MAX(0,INT((Lists!F$21-N($J67))/7)+1))-MIN($AO67,MAX(0,INT((Lists!F$22-N($J67))/7)+1))),IF($AP67="D",$H67*MAX(0,MIN(Lists!F$21,N($J67)+$AO67)-MAX(Lists!F$22,N($J67)))/$AO67,IF($AP67="M",$H67/$AO67*(IF(Lists!F$21&lt;$J67,0,MIN($AO67,(((YEAR(Lists!F$21)-YEAR($J67))*12+MONTH(Lists!F$21)-MONTH($J67))-(EDATE($J67,((YEAR(Lists!F$21)-YEAR($J67))*12+MONTH(Lists!F$21)-MONTH($J67)))&gt;Lists!F$21)+1)))-IF(Lists!F$22&lt;$J67,0,MIN($AO67,(((YEAR(Lists!F$22)-YEAR($J67))*12+MONTH(Lists!F$22)-MONTH($J67))-(EDATE($J67,((YEAR(Lists!F$22)-YEAR($J67))*12+MONTH(Lists!F$22)-MONTH($J67)))&gt;Lists!F$22)+1)))),IF($AP67="F",IF(N($K67)&lt;=0,0,MIN(MAX(0,$H67),N($K67)*IF(Lists!F$21&lt;$J67,0,(((YEAR(Lists!F$21)-YEAR($J67))*12+MONTH(Lists!F$21)-MONTH($J67))-(EDATE($J67,((YEAR(Lists!F$21)-YEAR($J67))*12+MONTH(Lists!F$21)-MONTH($J67)))&gt;Lists!F$21)+1)))-MIN(MAX(0,$H67),N($K67)*IF(Lists!F$22&lt;$J67,0,(((YEAR(Lists!F$22)-YEAR($J67))*12+MONTH(Lists!F$22)-MONTH($J67))-(EDATE($J67,((YEAR(Lists!F$22)-YEAR($J67))*12+MONTH(Lists!F$22)-MONTH($J67)))&gt;Lists!F$22)+1)))),N($C67)*IF($AE67-$AD67&lt;1,($AD67&gt;Lists!F$22)*($AD67&lt;=Lists!F$21),MAX(0,MIN(Lists!F$21,$AE67)-MAX(Lists!F$22,$AD67))/($AE67-$AD67))+N($D67)*IF($AG67-$AF67&lt;1,($AF67&gt;Lists!F$22)*($AF67&lt;=Lists!F$21),MAX(0,MIN(Lists!F$21,$AG67)-MAX(Lists!F$22,$AF67))/($AG67-$AF67))+N($E67)*IF($AI67-$AH67&lt;1,($AH67&gt;Lists!F$22)*($AH67&lt;=Lists!F$21),MAX(0,MIN(Lists!F$21,$AI67)-MAX(Lists!F$22,$AH67))/($AI67-$AH67))+N($F67)*IF($AK67-$AJ67&lt;1,($AJ67&gt;Lists!F$22)*($AJ67&lt;=Lists!F$21),MAX(0,MIN(Lists!F$21,$AK67)-MAX(Lists!F$22,$AJ67))/($AK67-$AJ67))+N($G67)*IF($AM67-$AL67&lt;1,($AL67&gt;Lists!F$22)*($AL67&lt;=Lists!F$21),MAX(0,MIN(Lists!F$21,$AM67)-MAX(Lists!F$22,$AL67))/($AM67-$AL67))))))))</f>
        <v>0</v>
      </c>
      <c r="Q67" s="53" t="n">
        <f aca="false">IF($H67=0,0,IF($AP67="X",0,IF($AP67="S",$H67/$AO67*(MIN($AO67,MAX(0,INT((Lists!G$21-N($J67))/7)+1))-MIN($AO67,MAX(0,INT((Lists!G$22-N($J67))/7)+1))),IF($AP67="D",$H67*MAX(0,MIN(Lists!G$21,N($J67)+$AO67)-MAX(Lists!G$22,N($J67)))/$AO67,IF($AP67="M",$H67/$AO67*(IF(Lists!G$21&lt;$J67,0,MIN($AO67,(((YEAR(Lists!G$21)-YEAR($J67))*12+MONTH(Lists!G$21)-MONTH($J67))-(EDATE($J67,((YEAR(Lists!G$21)-YEAR($J67))*12+MONTH(Lists!G$21)-MONTH($J67)))&gt;Lists!G$21)+1)))-IF(Lists!G$22&lt;$J67,0,MIN($AO67,(((YEAR(Lists!G$22)-YEAR($J67))*12+MONTH(Lists!G$22)-MONTH($J67))-(EDATE($J67,((YEAR(Lists!G$22)-YEAR($J67))*12+MONTH(Lists!G$22)-MONTH($J67)))&gt;Lists!G$22)+1)))),IF($AP67="F",IF(N($K67)&lt;=0,0,MIN(MAX(0,$H67),N($K67)*IF(Lists!G$21&lt;$J67,0,(((YEAR(Lists!G$21)-YEAR($J67))*12+MONTH(Lists!G$21)-MONTH($J67))-(EDATE($J67,((YEAR(Lists!G$21)-YEAR($J67))*12+MONTH(Lists!G$21)-MONTH($J67)))&gt;Lists!G$21)+1)))-MIN(MAX(0,$H67),N($K67)*IF(Lists!G$22&lt;$J67,0,(((YEAR(Lists!G$22)-YEAR($J67))*12+MONTH(Lists!G$22)-MONTH($J67))-(EDATE($J67,((YEAR(Lists!G$22)-YEAR($J67))*12+MONTH(Lists!G$22)-MONTH($J67)))&gt;Lists!G$22)+1)))),N($C67)*IF($AE67-$AD67&lt;1,($AD67&gt;Lists!G$22)*($AD67&lt;=Lists!G$21),MAX(0,MIN(Lists!G$21,$AE67)-MAX(Lists!G$22,$AD67))/($AE67-$AD67))+N($D67)*IF($AG67-$AF67&lt;1,($AF67&gt;Lists!G$22)*($AF67&lt;=Lists!G$21),MAX(0,MIN(Lists!G$21,$AG67)-MAX(Lists!G$22,$AF67))/($AG67-$AF67))+N($E67)*IF($AI67-$AH67&lt;1,($AH67&gt;Lists!G$22)*($AH67&lt;=Lists!G$21),MAX(0,MIN(Lists!G$21,$AI67)-MAX(Lists!G$22,$AH67))/($AI67-$AH67))+N($F67)*IF($AK67-$AJ67&lt;1,($AJ67&gt;Lists!G$22)*($AJ67&lt;=Lists!G$21),MAX(0,MIN(Lists!G$21,$AK67)-MAX(Lists!G$22,$AJ67))/($AK67-$AJ67))+N($G67)*IF($AM67-$AL67&lt;1,($AL67&gt;Lists!G$22)*($AL67&lt;=Lists!G$21),MAX(0,MIN(Lists!G$21,$AM67)-MAX(Lists!G$22,$AL67))/($AM67-$AL67))))))))</f>
        <v>0</v>
      </c>
      <c r="R67" s="53" t="n">
        <f aca="false">IF($H67=0,0,IF($AP67="X",0,IF($AP67="S",$H67/$AO67*(MIN($AO67,MAX(0,INT((Lists!H$21-N($J67))/7)+1))-MIN($AO67,MAX(0,INT((Lists!H$22-N($J67))/7)+1))),IF($AP67="D",$H67*MAX(0,MIN(Lists!H$21,N($J67)+$AO67)-MAX(Lists!H$22,N($J67)))/$AO67,IF($AP67="M",$H67/$AO67*(IF(Lists!H$21&lt;$J67,0,MIN($AO67,(((YEAR(Lists!H$21)-YEAR($J67))*12+MONTH(Lists!H$21)-MONTH($J67))-(EDATE($J67,((YEAR(Lists!H$21)-YEAR($J67))*12+MONTH(Lists!H$21)-MONTH($J67)))&gt;Lists!H$21)+1)))-IF(Lists!H$22&lt;$J67,0,MIN($AO67,(((YEAR(Lists!H$22)-YEAR($J67))*12+MONTH(Lists!H$22)-MONTH($J67))-(EDATE($J67,((YEAR(Lists!H$22)-YEAR($J67))*12+MONTH(Lists!H$22)-MONTH($J67)))&gt;Lists!H$22)+1)))),IF($AP67="F",IF(N($K67)&lt;=0,0,MIN(MAX(0,$H67),N($K67)*IF(Lists!H$21&lt;$J67,0,(((YEAR(Lists!H$21)-YEAR($J67))*12+MONTH(Lists!H$21)-MONTH($J67))-(EDATE($J67,((YEAR(Lists!H$21)-YEAR($J67))*12+MONTH(Lists!H$21)-MONTH($J67)))&gt;Lists!H$21)+1)))-MIN(MAX(0,$H67),N($K67)*IF(Lists!H$22&lt;$J67,0,(((YEAR(Lists!H$22)-YEAR($J67))*12+MONTH(Lists!H$22)-MONTH($J67))-(EDATE($J67,((YEAR(Lists!H$22)-YEAR($J67))*12+MONTH(Lists!H$22)-MONTH($J67)))&gt;Lists!H$22)+1)))),N($C67)*IF($AE67-$AD67&lt;1,($AD67&gt;Lists!H$22)*($AD67&lt;=Lists!H$21),MAX(0,MIN(Lists!H$21,$AE67)-MAX(Lists!H$22,$AD67))/($AE67-$AD67))+N($D67)*IF($AG67-$AF67&lt;1,($AF67&gt;Lists!H$22)*($AF67&lt;=Lists!H$21),MAX(0,MIN(Lists!H$21,$AG67)-MAX(Lists!H$22,$AF67))/($AG67-$AF67))+N($E67)*IF($AI67-$AH67&lt;1,($AH67&gt;Lists!H$22)*($AH67&lt;=Lists!H$21),MAX(0,MIN(Lists!H$21,$AI67)-MAX(Lists!H$22,$AH67))/($AI67-$AH67))+N($F67)*IF($AK67-$AJ67&lt;1,($AJ67&gt;Lists!H$22)*($AJ67&lt;=Lists!H$21),MAX(0,MIN(Lists!H$21,$AK67)-MAX(Lists!H$22,$AJ67))/($AK67-$AJ67))+N($G67)*IF($AM67-$AL67&lt;1,($AL67&gt;Lists!H$22)*($AL67&lt;=Lists!H$21),MAX(0,MIN(Lists!H$21,$AM67)-MAX(Lists!H$22,$AL67))/($AM67-$AL67))))))))</f>
        <v>0</v>
      </c>
      <c r="S67" s="53" t="n">
        <f aca="false">IF($H67=0,0,IF($AP67="X",0,IF($AP67="S",$H67/$AO67*(MIN($AO67,MAX(0,INT((Lists!I$21-N($J67))/7)+1))-MIN($AO67,MAX(0,INT((Lists!I$22-N($J67))/7)+1))),IF($AP67="D",$H67*MAX(0,MIN(Lists!I$21,N($J67)+$AO67)-MAX(Lists!I$22,N($J67)))/$AO67,IF($AP67="M",$H67/$AO67*(IF(Lists!I$21&lt;$J67,0,MIN($AO67,(((YEAR(Lists!I$21)-YEAR($J67))*12+MONTH(Lists!I$21)-MONTH($J67))-(EDATE($J67,((YEAR(Lists!I$21)-YEAR($J67))*12+MONTH(Lists!I$21)-MONTH($J67)))&gt;Lists!I$21)+1)))-IF(Lists!I$22&lt;$J67,0,MIN($AO67,(((YEAR(Lists!I$22)-YEAR($J67))*12+MONTH(Lists!I$22)-MONTH($J67))-(EDATE($J67,((YEAR(Lists!I$22)-YEAR($J67))*12+MONTH(Lists!I$22)-MONTH($J67)))&gt;Lists!I$22)+1)))),IF($AP67="F",IF(N($K67)&lt;=0,0,MIN(MAX(0,$H67),N($K67)*IF(Lists!I$21&lt;$J67,0,(((YEAR(Lists!I$21)-YEAR($J67))*12+MONTH(Lists!I$21)-MONTH($J67))-(EDATE($J67,((YEAR(Lists!I$21)-YEAR($J67))*12+MONTH(Lists!I$21)-MONTH($J67)))&gt;Lists!I$21)+1)))-MIN(MAX(0,$H67),N($K67)*IF(Lists!I$22&lt;$J67,0,(((YEAR(Lists!I$22)-YEAR($J67))*12+MONTH(Lists!I$22)-MONTH($J67))-(EDATE($J67,((YEAR(Lists!I$22)-YEAR($J67))*12+MONTH(Lists!I$22)-MONTH($J67)))&gt;Lists!I$22)+1)))),N($C67)*IF($AE67-$AD67&lt;1,($AD67&gt;Lists!I$22)*($AD67&lt;=Lists!I$21),MAX(0,MIN(Lists!I$21,$AE67)-MAX(Lists!I$22,$AD67))/($AE67-$AD67))+N($D67)*IF($AG67-$AF67&lt;1,($AF67&gt;Lists!I$22)*($AF67&lt;=Lists!I$21),MAX(0,MIN(Lists!I$21,$AG67)-MAX(Lists!I$22,$AF67))/($AG67-$AF67))+N($E67)*IF($AI67-$AH67&lt;1,($AH67&gt;Lists!I$22)*($AH67&lt;=Lists!I$21),MAX(0,MIN(Lists!I$21,$AI67)-MAX(Lists!I$22,$AH67))/($AI67-$AH67))+N($F67)*IF($AK67-$AJ67&lt;1,($AJ67&gt;Lists!I$22)*($AJ67&lt;=Lists!I$21),MAX(0,MIN(Lists!I$21,$AK67)-MAX(Lists!I$22,$AJ67))/($AK67-$AJ67))+N($G67)*IF($AM67-$AL67&lt;1,($AL67&gt;Lists!I$22)*($AL67&lt;=Lists!I$21),MAX(0,MIN(Lists!I$21,$AM67)-MAX(Lists!I$22,$AL67))/($AM67-$AL67))))))))</f>
        <v>0</v>
      </c>
      <c r="T67" s="53" t="n">
        <f aca="false">IF($H67=0,0,IF($AP67="X",0,IF($AP67="S",$H67/$AO67*(MIN($AO67,MAX(0,INT((Lists!J$21-N($J67))/7)+1))-MIN($AO67,MAX(0,INT((Lists!J$22-N($J67))/7)+1))),IF($AP67="D",$H67*MAX(0,MIN(Lists!J$21,N($J67)+$AO67)-MAX(Lists!J$22,N($J67)))/$AO67,IF($AP67="M",$H67/$AO67*(IF(Lists!J$21&lt;$J67,0,MIN($AO67,(((YEAR(Lists!J$21)-YEAR($J67))*12+MONTH(Lists!J$21)-MONTH($J67))-(EDATE($J67,((YEAR(Lists!J$21)-YEAR($J67))*12+MONTH(Lists!J$21)-MONTH($J67)))&gt;Lists!J$21)+1)))-IF(Lists!J$22&lt;$J67,0,MIN($AO67,(((YEAR(Lists!J$22)-YEAR($J67))*12+MONTH(Lists!J$22)-MONTH($J67))-(EDATE($J67,((YEAR(Lists!J$22)-YEAR($J67))*12+MONTH(Lists!J$22)-MONTH($J67)))&gt;Lists!J$22)+1)))),IF($AP67="F",IF(N($K67)&lt;=0,0,MIN(MAX(0,$H67),N($K67)*IF(Lists!J$21&lt;$J67,0,(((YEAR(Lists!J$21)-YEAR($J67))*12+MONTH(Lists!J$21)-MONTH($J67))-(EDATE($J67,((YEAR(Lists!J$21)-YEAR($J67))*12+MONTH(Lists!J$21)-MONTH($J67)))&gt;Lists!J$21)+1)))-MIN(MAX(0,$H67),N($K67)*IF(Lists!J$22&lt;$J67,0,(((YEAR(Lists!J$22)-YEAR($J67))*12+MONTH(Lists!J$22)-MONTH($J67))-(EDATE($J67,((YEAR(Lists!J$22)-YEAR($J67))*12+MONTH(Lists!J$22)-MONTH($J67)))&gt;Lists!J$22)+1)))),N($C67)*IF($AE67-$AD67&lt;1,($AD67&gt;Lists!J$22)*($AD67&lt;=Lists!J$21),MAX(0,MIN(Lists!J$21,$AE67)-MAX(Lists!J$22,$AD67))/($AE67-$AD67))+N($D67)*IF($AG67-$AF67&lt;1,($AF67&gt;Lists!J$22)*($AF67&lt;=Lists!J$21),MAX(0,MIN(Lists!J$21,$AG67)-MAX(Lists!J$22,$AF67))/($AG67-$AF67))+N($E67)*IF($AI67-$AH67&lt;1,($AH67&gt;Lists!J$22)*($AH67&lt;=Lists!J$21),MAX(0,MIN(Lists!J$21,$AI67)-MAX(Lists!J$22,$AH67))/($AI67-$AH67))+N($F67)*IF($AK67-$AJ67&lt;1,($AJ67&gt;Lists!J$22)*($AJ67&lt;=Lists!J$21),MAX(0,MIN(Lists!J$21,$AK67)-MAX(Lists!J$22,$AJ67))/($AK67-$AJ67))+N($G67)*IF($AM67-$AL67&lt;1,($AL67&gt;Lists!J$22)*($AL67&lt;=Lists!J$21),MAX(0,MIN(Lists!J$21,$AM67)-MAX(Lists!J$22,$AL67))/($AM67-$AL67))))))))</f>
        <v>0</v>
      </c>
      <c r="U67" s="53" t="n">
        <f aca="false">IF($H67=0,0,IF($AP67="X",0,IF($AP67="S",$H67/$AO67*(MIN($AO67,MAX(0,INT((Lists!K$21-N($J67))/7)+1))-MIN($AO67,MAX(0,INT((Lists!K$22-N($J67))/7)+1))),IF($AP67="D",$H67*MAX(0,MIN(Lists!K$21,N($J67)+$AO67)-MAX(Lists!K$22,N($J67)))/$AO67,IF($AP67="M",$H67/$AO67*(IF(Lists!K$21&lt;$J67,0,MIN($AO67,(((YEAR(Lists!K$21)-YEAR($J67))*12+MONTH(Lists!K$21)-MONTH($J67))-(EDATE($J67,((YEAR(Lists!K$21)-YEAR($J67))*12+MONTH(Lists!K$21)-MONTH($J67)))&gt;Lists!K$21)+1)))-IF(Lists!K$22&lt;$J67,0,MIN($AO67,(((YEAR(Lists!K$22)-YEAR($J67))*12+MONTH(Lists!K$22)-MONTH($J67))-(EDATE($J67,((YEAR(Lists!K$22)-YEAR($J67))*12+MONTH(Lists!K$22)-MONTH($J67)))&gt;Lists!K$22)+1)))),IF($AP67="F",IF(N($K67)&lt;=0,0,MIN(MAX(0,$H67),N($K67)*IF(Lists!K$21&lt;$J67,0,(((YEAR(Lists!K$21)-YEAR($J67))*12+MONTH(Lists!K$21)-MONTH($J67))-(EDATE($J67,((YEAR(Lists!K$21)-YEAR($J67))*12+MONTH(Lists!K$21)-MONTH($J67)))&gt;Lists!K$21)+1)))-MIN(MAX(0,$H67),N($K67)*IF(Lists!K$22&lt;$J67,0,(((YEAR(Lists!K$22)-YEAR($J67))*12+MONTH(Lists!K$22)-MONTH($J67))-(EDATE($J67,((YEAR(Lists!K$22)-YEAR($J67))*12+MONTH(Lists!K$22)-MONTH($J67)))&gt;Lists!K$22)+1)))),N($C67)*IF($AE67-$AD67&lt;1,($AD67&gt;Lists!K$22)*($AD67&lt;=Lists!K$21),MAX(0,MIN(Lists!K$21,$AE67)-MAX(Lists!K$22,$AD67))/($AE67-$AD67))+N($D67)*IF($AG67-$AF67&lt;1,($AF67&gt;Lists!K$22)*($AF67&lt;=Lists!K$21),MAX(0,MIN(Lists!K$21,$AG67)-MAX(Lists!K$22,$AF67))/($AG67-$AF67))+N($E67)*IF($AI67-$AH67&lt;1,($AH67&gt;Lists!K$22)*($AH67&lt;=Lists!K$21),MAX(0,MIN(Lists!K$21,$AI67)-MAX(Lists!K$22,$AH67))/($AI67-$AH67))+N($F67)*IF($AK67-$AJ67&lt;1,($AJ67&gt;Lists!K$22)*($AJ67&lt;=Lists!K$21),MAX(0,MIN(Lists!K$21,$AK67)-MAX(Lists!K$22,$AJ67))/($AK67-$AJ67))+N($G67)*IF($AM67-$AL67&lt;1,($AL67&gt;Lists!K$22)*($AL67&lt;=Lists!K$21),MAX(0,MIN(Lists!K$21,$AM67)-MAX(Lists!K$22,$AL67))/($AM67-$AL67))))))))</f>
        <v>0</v>
      </c>
      <c r="V67" s="53" t="n">
        <f aca="false">IF($H67=0,0,IF($AP67="X",0,IF($AP67="S",$H67/$AO67*(MIN($AO67,MAX(0,INT((Lists!L$21-N($J67))/7)+1))-MIN($AO67,MAX(0,INT((Lists!L$22-N($J67))/7)+1))),IF($AP67="D",$H67*MAX(0,MIN(Lists!L$21,N($J67)+$AO67)-MAX(Lists!L$22,N($J67)))/$AO67,IF($AP67="M",$H67/$AO67*(IF(Lists!L$21&lt;$J67,0,MIN($AO67,(((YEAR(Lists!L$21)-YEAR($J67))*12+MONTH(Lists!L$21)-MONTH($J67))-(EDATE($J67,((YEAR(Lists!L$21)-YEAR($J67))*12+MONTH(Lists!L$21)-MONTH($J67)))&gt;Lists!L$21)+1)))-IF(Lists!L$22&lt;$J67,0,MIN($AO67,(((YEAR(Lists!L$22)-YEAR($J67))*12+MONTH(Lists!L$22)-MONTH($J67))-(EDATE($J67,((YEAR(Lists!L$22)-YEAR($J67))*12+MONTH(Lists!L$22)-MONTH($J67)))&gt;Lists!L$22)+1)))),IF($AP67="F",IF(N($K67)&lt;=0,0,MIN(MAX(0,$H67),N($K67)*IF(Lists!L$21&lt;$J67,0,(((YEAR(Lists!L$21)-YEAR($J67))*12+MONTH(Lists!L$21)-MONTH($J67))-(EDATE($J67,((YEAR(Lists!L$21)-YEAR($J67))*12+MONTH(Lists!L$21)-MONTH($J67)))&gt;Lists!L$21)+1)))-MIN(MAX(0,$H67),N($K67)*IF(Lists!L$22&lt;$J67,0,(((YEAR(Lists!L$22)-YEAR($J67))*12+MONTH(Lists!L$22)-MONTH($J67))-(EDATE($J67,((YEAR(Lists!L$22)-YEAR($J67))*12+MONTH(Lists!L$22)-MONTH($J67)))&gt;Lists!L$22)+1)))),N($C67)*IF($AE67-$AD67&lt;1,($AD67&gt;Lists!L$22)*($AD67&lt;=Lists!L$21),MAX(0,MIN(Lists!L$21,$AE67)-MAX(Lists!L$22,$AD67))/($AE67-$AD67))+N($D67)*IF($AG67-$AF67&lt;1,($AF67&gt;Lists!L$22)*($AF67&lt;=Lists!L$21),MAX(0,MIN(Lists!L$21,$AG67)-MAX(Lists!L$22,$AF67))/($AG67-$AF67))+N($E67)*IF($AI67-$AH67&lt;1,($AH67&gt;Lists!L$22)*($AH67&lt;=Lists!L$21),MAX(0,MIN(Lists!L$21,$AI67)-MAX(Lists!L$22,$AH67))/($AI67-$AH67))+N($F67)*IF($AK67-$AJ67&lt;1,($AJ67&gt;Lists!L$22)*($AJ67&lt;=Lists!L$21),MAX(0,MIN(Lists!L$21,$AK67)-MAX(Lists!L$22,$AJ67))/($AK67-$AJ67))+N($G67)*IF($AM67-$AL67&lt;1,($AL67&gt;Lists!L$22)*($AL67&lt;=Lists!L$21),MAX(0,MIN(Lists!L$21,$AM67)-MAX(Lists!L$22,$AL67))/($AM67-$AL67))))))))</f>
        <v>0</v>
      </c>
      <c r="W67" s="53" t="n">
        <f aca="false">IF($H67=0,0,IF($AP67="X",0,IF($AP67="S",$H67/$AO67*(MIN($AO67,MAX(0,INT((Lists!M$21-N($J67))/7)+1))-MIN($AO67,MAX(0,INT((Lists!M$22-N($J67))/7)+1))),IF($AP67="D",$H67*MAX(0,MIN(Lists!M$21,N($J67)+$AO67)-MAX(Lists!M$22,N($J67)))/$AO67,IF($AP67="M",$H67/$AO67*(IF(Lists!M$21&lt;$J67,0,MIN($AO67,(((YEAR(Lists!M$21)-YEAR($J67))*12+MONTH(Lists!M$21)-MONTH($J67))-(EDATE($J67,((YEAR(Lists!M$21)-YEAR($J67))*12+MONTH(Lists!M$21)-MONTH($J67)))&gt;Lists!M$21)+1)))-IF(Lists!M$22&lt;$J67,0,MIN($AO67,(((YEAR(Lists!M$22)-YEAR($J67))*12+MONTH(Lists!M$22)-MONTH($J67))-(EDATE($J67,((YEAR(Lists!M$22)-YEAR($J67))*12+MONTH(Lists!M$22)-MONTH($J67)))&gt;Lists!M$22)+1)))),IF($AP67="F",IF(N($K67)&lt;=0,0,MIN(MAX(0,$H67),N($K67)*IF(Lists!M$21&lt;$J67,0,(((YEAR(Lists!M$21)-YEAR($J67))*12+MONTH(Lists!M$21)-MONTH($J67))-(EDATE($J67,((YEAR(Lists!M$21)-YEAR($J67))*12+MONTH(Lists!M$21)-MONTH($J67)))&gt;Lists!M$21)+1)))-MIN(MAX(0,$H67),N($K67)*IF(Lists!M$22&lt;$J67,0,(((YEAR(Lists!M$22)-YEAR($J67))*12+MONTH(Lists!M$22)-MONTH($J67))-(EDATE($J67,((YEAR(Lists!M$22)-YEAR($J67))*12+MONTH(Lists!M$22)-MONTH($J67)))&gt;Lists!M$22)+1)))),N($C67)*IF($AE67-$AD67&lt;1,($AD67&gt;Lists!M$22)*($AD67&lt;=Lists!M$21),MAX(0,MIN(Lists!M$21,$AE67)-MAX(Lists!M$22,$AD67))/($AE67-$AD67))+N($D67)*IF($AG67-$AF67&lt;1,($AF67&gt;Lists!M$22)*($AF67&lt;=Lists!M$21),MAX(0,MIN(Lists!M$21,$AG67)-MAX(Lists!M$22,$AF67))/($AG67-$AF67))+N($E67)*IF($AI67-$AH67&lt;1,($AH67&gt;Lists!M$22)*($AH67&lt;=Lists!M$21),MAX(0,MIN(Lists!M$21,$AI67)-MAX(Lists!M$22,$AH67))/($AI67-$AH67))+N($F67)*IF($AK67-$AJ67&lt;1,($AJ67&gt;Lists!M$22)*($AJ67&lt;=Lists!M$21),MAX(0,MIN(Lists!M$21,$AK67)-MAX(Lists!M$22,$AJ67))/($AK67-$AJ67))+N($G67)*IF($AM67-$AL67&lt;1,($AL67&gt;Lists!M$22)*($AL67&lt;=Lists!M$21),MAX(0,MIN(Lists!M$21,$AM67)-MAX(Lists!M$22,$AL67))/($AM67-$AL67))))))))</f>
        <v>0</v>
      </c>
      <c r="X67" s="53" t="n">
        <f aca="false">IF($H67=0,0,IF($AP67="X",0,IF($AP67="S",$H67/$AO67*(MIN($AO67,MAX(0,INT((Lists!N$21-N($J67))/7)+1))-MIN($AO67,MAX(0,INT((Lists!N$22-N($J67))/7)+1))),IF($AP67="D",$H67*MAX(0,MIN(Lists!N$21,N($J67)+$AO67)-MAX(Lists!N$22,N($J67)))/$AO67,IF($AP67="M",$H67/$AO67*(IF(Lists!N$21&lt;$J67,0,MIN($AO67,(((YEAR(Lists!N$21)-YEAR($J67))*12+MONTH(Lists!N$21)-MONTH($J67))-(EDATE($J67,((YEAR(Lists!N$21)-YEAR($J67))*12+MONTH(Lists!N$21)-MONTH($J67)))&gt;Lists!N$21)+1)))-IF(Lists!N$22&lt;$J67,0,MIN($AO67,(((YEAR(Lists!N$22)-YEAR($J67))*12+MONTH(Lists!N$22)-MONTH($J67))-(EDATE($J67,((YEAR(Lists!N$22)-YEAR($J67))*12+MONTH(Lists!N$22)-MONTH($J67)))&gt;Lists!N$22)+1)))),IF($AP67="F",IF(N($K67)&lt;=0,0,MIN(MAX(0,$H67),N($K67)*IF(Lists!N$21&lt;$J67,0,(((YEAR(Lists!N$21)-YEAR($J67))*12+MONTH(Lists!N$21)-MONTH($J67))-(EDATE($J67,((YEAR(Lists!N$21)-YEAR($J67))*12+MONTH(Lists!N$21)-MONTH($J67)))&gt;Lists!N$21)+1)))-MIN(MAX(0,$H67),N($K67)*IF(Lists!N$22&lt;$J67,0,(((YEAR(Lists!N$22)-YEAR($J67))*12+MONTH(Lists!N$22)-MONTH($J67))-(EDATE($J67,((YEAR(Lists!N$22)-YEAR($J67))*12+MONTH(Lists!N$22)-MONTH($J67)))&gt;Lists!N$22)+1)))),N($C67)*IF($AE67-$AD67&lt;1,($AD67&gt;Lists!N$22)*($AD67&lt;=Lists!N$21),MAX(0,MIN(Lists!N$21,$AE67)-MAX(Lists!N$22,$AD67))/($AE67-$AD67))+N($D67)*IF($AG67-$AF67&lt;1,($AF67&gt;Lists!N$22)*($AF67&lt;=Lists!N$21),MAX(0,MIN(Lists!N$21,$AG67)-MAX(Lists!N$22,$AF67))/($AG67-$AF67))+N($E67)*IF($AI67-$AH67&lt;1,($AH67&gt;Lists!N$22)*($AH67&lt;=Lists!N$21),MAX(0,MIN(Lists!N$21,$AI67)-MAX(Lists!N$22,$AH67))/($AI67-$AH67))+N($F67)*IF($AK67-$AJ67&lt;1,($AJ67&gt;Lists!N$22)*($AJ67&lt;=Lists!N$21),MAX(0,MIN(Lists!N$21,$AK67)-MAX(Lists!N$22,$AJ67))/($AK67-$AJ67))+N($G67)*IF($AM67-$AL67&lt;1,($AL67&gt;Lists!N$22)*($AL67&lt;=Lists!N$21),MAX(0,MIN(Lists!N$21,$AM67)-MAX(Lists!N$22,$AL67))/($AM67-$AL67))))))))</f>
        <v>0</v>
      </c>
      <c r="Y67" s="53" t="n">
        <f aca="false">IF($H67=0,0,IF($AP67="X",0,IF($AP67="S",$H67/$AO67*(MIN($AO67,MAX(0,INT((Lists!O$21-N($J67))/7)+1))-MIN($AO67,MAX(0,INT((Lists!O$22-N($J67))/7)+1))),IF($AP67="D",$H67*MAX(0,MIN(Lists!O$21,N($J67)+$AO67)-MAX(Lists!O$22,N($J67)))/$AO67,IF($AP67="M",$H67/$AO67*(IF(Lists!O$21&lt;$J67,0,MIN($AO67,(((YEAR(Lists!O$21)-YEAR($J67))*12+MONTH(Lists!O$21)-MONTH($J67))-(EDATE($J67,((YEAR(Lists!O$21)-YEAR($J67))*12+MONTH(Lists!O$21)-MONTH($J67)))&gt;Lists!O$21)+1)))-IF(Lists!O$22&lt;$J67,0,MIN($AO67,(((YEAR(Lists!O$22)-YEAR($J67))*12+MONTH(Lists!O$22)-MONTH($J67))-(EDATE($J67,((YEAR(Lists!O$22)-YEAR($J67))*12+MONTH(Lists!O$22)-MONTH($J67)))&gt;Lists!O$22)+1)))),IF($AP67="F",IF(N($K67)&lt;=0,0,MIN(MAX(0,$H67),N($K67)*IF(Lists!O$21&lt;$J67,0,(((YEAR(Lists!O$21)-YEAR($J67))*12+MONTH(Lists!O$21)-MONTH($J67))-(EDATE($J67,((YEAR(Lists!O$21)-YEAR($J67))*12+MONTH(Lists!O$21)-MONTH($J67)))&gt;Lists!O$21)+1)))-MIN(MAX(0,$H67),N($K67)*IF(Lists!O$22&lt;$J67,0,(((YEAR(Lists!O$22)-YEAR($J67))*12+MONTH(Lists!O$22)-MONTH($J67))-(EDATE($J67,((YEAR(Lists!O$22)-YEAR($J67))*12+MONTH(Lists!O$22)-MONTH($J67)))&gt;Lists!O$22)+1)))),N($C67)*IF($AE67-$AD67&lt;1,($AD67&gt;Lists!O$22)*($AD67&lt;=Lists!O$21),MAX(0,MIN(Lists!O$21,$AE67)-MAX(Lists!O$22,$AD67))/($AE67-$AD67))+N($D67)*IF($AG67-$AF67&lt;1,($AF67&gt;Lists!O$22)*($AF67&lt;=Lists!O$21),MAX(0,MIN(Lists!O$21,$AG67)-MAX(Lists!O$22,$AF67))/($AG67-$AF67))+N($E67)*IF($AI67-$AH67&lt;1,($AH67&gt;Lists!O$22)*($AH67&lt;=Lists!O$21),MAX(0,MIN(Lists!O$21,$AI67)-MAX(Lists!O$22,$AH67))/($AI67-$AH67))+N($F67)*IF($AK67-$AJ67&lt;1,($AJ67&gt;Lists!O$22)*($AJ67&lt;=Lists!O$21),MAX(0,MIN(Lists!O$21,$AK67)-MAX(Lists!O$22,$AJ67))/($AK67-$AJ67))+N($G67)*IF($AM67-$AL67&lt;1,($AL67&gt;Lists!O$22)*($AL67&lt;=Lists!O$21),MAX(0,MIN(Lists!O$21,$AM67)-MAX(Lists!O$22,$AL67))/($AM67-$AL67))))))))</f>
        <v>0</v>
      </c>
      <c r="Z67" s="46" t="n">
        <f aca="false">SUM(M67:Y67)</f>
        <v>0</v>
      </c>
      <c r="AA67" s="92" t="n">
        <f aca="false">H67-Z67</f>
        <v>0</v>
      </c>
      <c r="AB67" s="55"/>
      <c r="AC67" s="2"/>
      <c r="AD67" s="93" t="n">
        <f aca="false">Setup!$D$10+MAX(0,$AN67-30)</f>
        <v>46345</v>
      </c>
      <c r="AE67" s="93" t="n">
        <f aca="false">Setup!$D$10+IF($AN67-30&lt;0,MAX(Setup!$D$22,$AN67-0),$AN67-0)</f>
        <v>46375</v>
      </c>
      <c r="AF67" s="93" t="n">
        <f aca="false">Setup!$D$10+MAX(0,$AN67-60)</f>
        <v>46335</v>
      </c>
      <c r="AG67" s="93" t="n">
        <f aca="false">Setup!$D$10+IF($AN67-60&lt;0,MAX(Setup!$D$22,$AN67-31),$AN67-31)</f>
        <v>46363</v>
      </c>
      <c r="AH67" s="93" t="n">
        <f aca="false">Setup!$D$10+MAX(0,$AN67-90)</f>
        <v>46335</v>
      </c>
      <c r="AI67" s="93" t="n">
        <f aca="false">Setup!$D$10+IF($AN67-90&lt;0,MAX(Setup!$D$22,$AN67-61),$AN67-61)</f>
        <v>46363</v>
      </c>
      <c r="AJ67" s="93" t="n">
        <f aca="false">Setup!$D$10+MAX(0,$AN67-120)</f>
        <v>46335</v>
      </c>
      <c r="AK67" s="93" t="n">
        <f aca="false">Setup!$D$10+IF($AN67-120&lt;0,MAX(Setup!$D$22,$AN67-91),$AN67-91)</f>
        <v>46363</v>
      </c>
      <c r="AL67" s="93" t="n">
        <f aca="false">Setup!$D$10</f>
        <v>46335</v>
      </c>
      <c r="AM67" s="93" t="n">
        <f aca="false">IF(AL67=2958465,AL67,Setup!$D$10+Setup!$D$22)</f>
        <v>46363</v>
      </c>
      <c r="AN67" s="94" t="n">
        <f aca="false">IF(N(L67)=0,Setup!$D$21,L67)</f>
        <v>40</v>
      </c>
      <c r="AO67" s="94" t="n">
        <f aca="false">MAX(1,ROUND(N(K67),0))</f>
        <v>1</v>
      </c>
      <c r="AP67" s="95" t="str">
        <f aca="false">IF(I67="On hold","X",IF(N(J67)=0,"A",IF(I67="Specific date","S",IF(I67="Spread over days","D",IF(I67="Monthly on set day","M",IF(I67="Monthly fixed amount","F","A"))))))</f>
        <v>A</v>
      </c>
    </row>
    <row r="68" customFormat="false" ht="15" hidden="false" customHeight="false" outlineLevel="0" collapsed="false">
      <c r="A68" s="87" t="n">
        <v>60</v>
      </c>
      <c r="B68" s="55"/>
      <c r="C68" s="88"/>
      <c r="D68" s="88"/>
      <c r="E68" s="88"/>
      <c r="F68" s="88"/>
      <c r="G68" s="88"/>
      <c r="H68" s="89" t="n">
        <f aca="false">SUM(C68:G68)</f>
        <v>0</v>
      </c>
      <c r="I68" s="58"/>
      <c r="J68" s="90"/>
      <c r="K68" s="91"/>
      <c r="L68" s="80"/>
      <c r="M68" s="53" t="n">
        <f aca="false">IF($H68=0,0,IF($AP68="X",0,IF($AP68="S",$H68/$AO68*(MIN($AO68,MAX(0,INT((Lists!C$21-N($J68))/7)+1))-MIN($AO68,MAX(0,INT((Lists!C$22-N($J68))/7)+1))),IF($AP68="D",$H68*MAX(0,MIN(Lists!C$21,N($J68)+$AO68)-MAX(Lists!C$22,N($J68)))/$AO68,IF($AP68="M",$H68/$AO68*(IF(Lists!C$21&lt;$J68,0,MIN($AO68,(((YEAR(Lists!C$21)-YEAR($J68))*12+MONTH(Lists!C$21)-MONTH($J68))-(EDATE($J68,((YEAR(Lists!C$21)-YEAR($J68))*12+MONTH(Lists!C$21)-MONTH($J68)))&gt;Lists!C$21)+1)))-IF(Lists!C$22&lt;$J68,0,MIN($AO68,(((YEAR(Lists!C$22)-YEAR($J68))*12+MONTH(Lists!C$22)-MONTH($J68))-(EDATE($J68,((YEAR(Lists!C$22)-YEAR($J68))*12+MONTH(Lists!C$22)-MONTH($J68)))&gt;Lists!C$22)+1)))),IF($AP68="F",IF(N($K68)&lt;=0,0,MIN(MAX(0,$H68),N($K68)*IF(Lists!C$21&lt;$J68,0,(((YEAR(Lists!C$21)-YEAR($J68))*12+MONTH(Lists!C$21)-MONTH($J68))-(EDATE($J68,((YEAR(Lists!C$21)-YEAR($J68))*12+MONTH(Lists!C$21)-MONTH($J68)))&gt;Lists!C$21)+1)))-MIN(MAX(0,$H68),N($K68)*IF(Lists!C$22&lt;$J68,0,(((YEAR(Lists!C$22)-YEAR($J68))*12+MONTH(Lists!C$22)-MONTH($J68))-(EDATE($J68,((YEAR(Lists!C$22)-YEAR($J68))*12+MONTH(Lists!C$22)-MONTH($J68)))&gt;Lists!C$22)+1)))),N($C68)*IF($AE68-$AD68&lt;1,($AD68&gt;Lists!C$22)*($AD68&lt;=Lists!C$21),MAX(0,MIN(Lists!C$21,$AE68)-MAX(Lists!C$22,$AD68))/($AE68-$AD68))+N($D68)*IF($AG68-$AF68&lt;1,($AF68&gt;Lists!C$22)*($AF68&lt;=Lists!C$21),MAX(0,MIN(Lists!C$21,$AG68)-MAX(Lists!C$22,$AF68))/($AG68-$AF68))+N($E68)*IF($AI68-$AH68&lt;1,($AH68&gt;Lists!C$22)*($AH68&lt;=Lists!C$21),MAX(0,MIN(Lists!C$21,$AI68)-MAX(Lists!C$22,$AH68))/($AI68-$AH68))+N($F68)*IF($AK68-$AJ68&lt;1,($AJ68&gt;Lists!C$22)*($AJ68&lt;=Lists!C$21),MAX(0,MIN(Lists!C$21,$AK68)-MAX(Lists!C$22,$AJ68))/($AK68-$AJ68))+N($G68)*IF($AM68-$AL68&lt;1,($AL68&gt;Lists!C$22)*($AL68&lt;=Lists!C$21),MAX(0,MIN(Lists!C$21,$AM68)-MAX(Lists!C$22,$AL68))/($AM68-$AL68))))))))</f>
        <v>0</v>
      </c>
      <c r="N68" s="53" t="n">
        <f aca="false">IF($H68=0,0,IF($AP68="X",0,IF($AP68="S",$H68/$AO68*(MIN($AO68,MAX(0,INT((Lists!D$21-N($J68))/7)+1))-MIN($AO68,MAX(0,INT((Lists!D$22-N($J68))/7)+1))),IF($AP68="D",$H68*MAX(0,MIN(Lists!D$21,N($J68)+$AO68)-MAX(Lists!D$22,N($J68)))/$AO68,IF($AP68="M",$H68/$AO68*(IF(Lists!D$21&lt;$J68,0,MIN($AO68,(((YEAR(Lists!D$21)-YEAR($J68))*12+MONTH(Lists!D$21)-MONTH($J68))-(EDATE($J68,((YEAR(Lists!D$21)-YEAR($J68))*12+MONTH(Lists!D$21)-MONTH($J68)))&gt;Lists!D$21)+1)))-IF(Lists!D$22&lt;$J68,0,MIN($AO68,(((YEAR(Lists!D$22)-YEAR($J68))*12+MONTH(Lists!D$22)-MONTH($J68))-(EDATE($J68,((YEAR(Lists!D$22)-YEAR($J68))*12+MONTH(Lists!D$22)-MONTH($J68)))&gt;Lists!D$22)+1)))),IF($AP68="F",IF(N($K68)&lt;=0,0,MIN(MAX(0,$H68),N($K68)*IF(Lists!D$21&lt;$J68,0,(((YEAR(Lists!D$21)-YEAR($J68))*12+MONTH(Lists!D$21)-MONTH($J68))-(EDATE($J68,((YEAR(Lists!D$21)-YEAR($J68))*12+MONTH(Lists!D$21)-MONTH($J68)))&gt;Lists!D$21)+1)))-MIN(MAX(0,$H68),N($K68)*IF(Lists!D$22&lt;$J68,0,(((YEAR(Lists!D$22)-YEAR($J68))*12+MONTH(Lists!D$22)-MONTH($J68))-(EDATE($J68,((YEAR(Lists!D$22)-YEAR($J68))*12+MONTH(Lists!D$22)-MONTH($J68)))&gt;Lists!D$22)+1)))),N($C68)*IF($AE68-$AD68&lt;1,($AD68&gt;Lists!D$22)*($AD68&lt;=Lists!D$21),MAX(0,MIN(Lists!D$21,$AE68)-MAX(Lists!D$22,$AD68))/($AE68-$AD68))+N($D68)*IF($AG68-$AF68&lt;1,($AF68&gt;Lists!D$22)*($AF68&lt;=Lists!D$21),MAX(0,MIN(Lists!D$21,$AG68)-MAX(Lists!D$22,$AF68))/($AG68-$AF68))+N($E68)*IF($AI68-$AH68&lt;1,($AH68&gt;Lists!D$22)*($AH68&lt;=Lists!D$21),MAX(0,MIN(Lists!D$21,$AI68)-MAX(Lists!D$22,$AH68))/($AI68-$AH68))+N($F68)*IF($AK68-$AJ68&lt;1,($AJ68&gt;Lists!D$22)*($AJ68&lt;=Lists!D$21),MAX(0,MIN(Lists!D$21,$AK68)-MAX(Lists!D$22,$AJ68))/($AK68-$AJ68))+N($G68)*IF($AM68-$AL68&lt;1,($AL68&gt;Lists!D$22)*($AL68&lt;=Lists!D$21),MAX(0,MIN(Lists!D$21,$AM68)-MAX(Lists!D$22,$AL68))/($AM68-$AL68))))))))</f>
        <v>0</v>
      </c>
      <c r="O68" s="53" t="n">
        <f aca="false">IF($H68=0,0,IF($AP68="X",0,IF($AP68="S",$H68/$AO68*(MIN($AO68,MAX(0,INT((Lists!E$21-N($J68))/7)+1))-MIN($AO68,MAX(0,INT((Lists!E$22-N($J68))/7)+1))),IF($AP68="D",$H68*MAX(0,MIN(Lists!E$21,N($J68)+$AO68)-MAX(Lists!E$22,N($J68)))/$AO68,IF($AP68="M",$H68/$AO68*(IF(Lists!E$21&lt;$J68,0,MIN($AO68,(((YEAR(Lists!E$21)-YEAR($J68))*12+MONTH(Lists!E$21)-MONTH($J68))-(EDATE($J68,((YEAR(Lists!E$21)-YEAR($J68))*12+MONTH(Lists!E$21)-MONTH($J68)))&gt;Lists!E$21)+1)))-IF(Lists!E$22&lt;$J68,0,MIN($AO68,(((YEAR(Lists!E$22)-YEAR($J68))*12+MONTH(Lists!E$22)-MONTH($J68))-(EDATE($J68,((YEAR(Lists!E$22)-YEAR($J68))*12+MONTH(Lists!E$22)-MONTH($J68)))&gt;Lists!E$22)+1)))),IF($AP68="F",IF(N($K68)&lt;=0,0,MIN(MAX(0,$H68),N($K68)*IF(Lists!E$21&lt;$J68,0,(((YEAR(Lists!E$21)-YEAR($J68))*12+MONTH(Lists!E$21)-MONTH($J68))-(EDATE($J68,((YEAR(Lists!E$21)-YEAR($J68))*12+MONTH(Lists!E$21)-MONTH($J68)))&gt;Lists!E$21)+1)))-MIN(MAX(0,$H68),N($K68)*IF(Lists!E$22&lt;$J68,0,(((YEAR(Lists!E$22)-YEAR($J68))*12+MONTH(Lists!E$22)-MONTH($J68))-(EDATE($J68,((YEAR(Lists!E$22)-YEAR($J68))*12+MONTH(Lists!E$22)-MONTH($J68)))&gt;Lists!E$22)+1)))),N($C68)*IF($AE68-$AD68&lt;1,($AD68&gt;Lists!E$22)*($AD68&lt;=Lists!E$21),MAX(0,MIN(Lists!E$21,$AE68)-MAX(Lists!E$22,$AD68))/($AE68-$AD68))+N($D68)*IF($AG68-$AF68&lt;1,($AF68&gt;Lists!E$22)*($AF68&lt;=Lists!E$21),MAX(0,MIN(Lists!E$21,$AG68)-MAX(Lists!E$22,$AF68))/($AG68-$AF68))+N($E68)*IF($AI68-$AH68&lt;1,($AH68&gt;Lists!E$22)*($AH68&lt;=Lists!E$21),MAX(0,MIN(Lists!E$21,$AI68)-MAX(Lists!E$22,$AH68))/($AI68-$AH68))+N($F68)*IF($AK68-$AJ68&lt;1,($AJ68&gt;Lists!E$22)*($AJ68&lt;=Lists!E$21),MAX(0,MIN(Lists!E$21,$AK68)-MAX(Lists!E$22,$AJ68))/($AK68-$AJ68))+N($G68)*IF($AM68-$AL68&lt;1,($AL68&gt;Lists!E$22)*($AL68&lt;=Lists!E$21),MAX(0,MIN(Lists!E$21,$AM68)-MAX(Lists!E$22,$AL68))/($AM68-$AL68))))))))</f>
        <v>0</v>
      </c>
      <c r="P68" s="53" t="n">
        <f aca="false">IF($H68=0,0,IF($AP68="X",0,IF($AP68="S",$H68/$AO68*(MIN($AO68,MAX(0,INT((Lists!F$21-N($J68))/7)+1))-MIN($AO68,MAX(0,INT((Lists!F$22-N($J68))/7)+1))),IF($AP68="D",$H68*MAX(0,MIN(Lists!F$21,N($J68)+$AO68)-MAX(Lists!F$22,N($J68)))/$AO68,IF($AP68="M",$H68/$AO68*(IF(Lists!F$21&lt;$J68,0,MIN($AO68,(((YEAR(Lists!F$21)-YEAR($J68))*12+MONTH(Lists!F$21)-MONTH($J68))-(EDATE($J68,((YEAR(Lists!F$21)-YEAR($J68))*12+MONTH(Lists!F$21)-MONTH($J68)))&gt;Lists!F$21)+1)))-IF(Lists!F$22&lt;$J68,0,MIN($AO68,(((YEAR(Lists!F$22)-YEAR($J68))*12+MONTH(Lists!F$22)-MONTH($J68))-(EDATE($J68,((YEAR(Lists!F$22)-YEAR($J68))*12+MONTH(Lists!F$22)-MONTH($J68)))&gt;Lists!F$22)+1)))),IF($AP68="F",IF(N($K68)&lt;=0,0,MIN(MAX(0,$H68),N($K68)*IF(Lists!F$21&lt;$J68,0,(((YEAR(Lists!F$21)-YEAR($J68))*12+MONTH(Lists!F$21)-MONTH($J68))-(EDATE($J68,((YEAR(Lists!F$21)-YEAR($J68))*12+MONTH(Lists!F$21)-MONTH($J68)))&gt;Lists!F$21)+1)))-MIN(MAX(0,$H68),N($K68)*IF(Lists!F$22&lt;$J68,0,(((YEAR(Lists!F$22)-YEAR($J68))*12+MONTH(Lists!F$22)-MONTH($J68))-(EDATE($J68,((YEAR(Lists!F$22)-YEAR($J68))*12+MONTH(Lists!F$22)-MONTH($J68)))&gt;Lists!F$22)+1)))),N($C68)*IF($AE68-$AD68&lt;1,($AD68&gt;Lists!F$22)*($AD68&lt;=Lists!F$21),MAX(0,MIN(Lists!F$21,$AE68)-MAX(Lists!F$22,$AD68))/($AE68-$AD68))+N($D68)*IF($AG68-$AF68&lt;1,($AF68&gt;Lists!F$22)*($AF68&lt;=Lists!F$21),MAX(0,MIN(Lists!F$21,$AG68)-MAX(Lists!F$22,$AF68))/($AG68-$AF68))+N($E68)*IF($AI68-$AH68&lt;1,($AH68&gt;Lists!F$22)*($AH68&lt;=Lists!F$21),MAX(0,MIN(Lists!F$21,$AI68)-MAX(Lists!F$22,$AH68))/($AI68-$AH68))+N($F68)*IF($AK68-$AJ68&lt;1,($AJ68&gt;Lists!F$22)*($AJ68&lt;=Lists!F$21),MAX(0,MIN(Lists!F$21,$AK68)-MAX(Lists!F$22,$AJ68))/($AK68-$AJ68))+N($G68)*IF($AM68-$AL68&lt;1,($AL68&gt;Lists!F$22)*($AL68&lt;=Lists!F$21),MAX(0,MIN(Lists!F$21,$AM68)-MAX(Lists!F$22,$AL68))/($AM68-$AL68))))))))</f>
        <v>0</v>
      </c>
      <c r="Q68" s="53" t="n">
        <f aca="false">IF($H68=0,0,IF($AP68="X",0,IF($AP68="S",$H68/$AO68*(MIN($AO68,MAX(0,INT((Lists!G$21-N($J68))/7)+1))-MIN($AO68,MAX(0,INT((Lists!G$22-N($J68))/7)+1))),IF($AP68="D",$H68*MAX(0,MIN(Lists!G$21,N($J68)+$AO68)-MAX(Lists!G$22,N($J68)))/$AO68,IF($AP68="M",$H68/$AO68*(IF(Lists!G$21&lt;$J68,0,MIN($AO68,(((YEAR(Lists!G$21)-YEAR($J68))*12+MONTH(Lists!G$21)-MONTH($J68))-(EDATE($J68,((YEAR(Lists!G$21)-YEAR($J68))*12+MONTH(Lists!G$21)-MONTH($J68)))&gt;Lists!G$21)+1)))-IF(Lists!G$22&lt;$J68,0,MIN($AO68,(((YEAR(Lists!G$22)-YEAR($J68))*12+MONTH(Lists!G$22)-MONTH($J68))-(EDATE($J68,((YEAR(Lists!G$22)-YEAR($J68))*12+MONTH(Lists!G$22)-MONTH($J68)))&gt;Lists!G$22)+1)))),IF($AP68="F",IF(N($K68)&lt;=0,0,MIN(MAX(0,$H68),N($K68)*IF(Lists!G$21&lt;$J68,0,(((YEAR(Lists!G$21)-YEAR($J68))*12+MONTH(Lists!G$21)-MONTH($J68))-(EDATE($J68,((YEAR(Lists!G$21)-YEAR($J68))*12+MONTH(Lists!G$21)-MONTH($J68)))&gt;Lists!G$21)+1)))-MIN(MAX(0,$H68),N($K68)*IF(Lists!G$22&lt;$J68,0,(((YEAR(Lists!G$22)-YEAR($J68))*12+MONTH(Lists!G$22)-MONTH($J68))-(EDATE($J68,((YEAR(Lists!G$22)-YEAR($J68))*12+MONTH(Lists!G$22)-MONTH($J68)))&gt;Lists!G$22)+1)))),N($C68)*IF($AE68-$AD68&lt;1,($AD68&gt;Lists!G$22)*($AD68&lt;=Lists!G$21),MAX(0,MIN(Lists!G$21,$AE68)-MAX(Lists!G$22,$AD68))/($AE68-$AD68))+N($D68)*IF($AG68-$AF68&lt;1,($AF68&gt;Lists!G$22)*($AF68&lt;=Lists!G$21),MAX(0,MIN(Lists!G$21,$AG68)-MAX(Lists!G$22,$AF68))/($AG68-$AF68))+N($E68)*IF($AI68-$AH68&lt;1,($AH68&gt;Lists!G$22)*($AH68&lt;=Lists!G$21),MAX(0,MIN(Lists!G$21,$AI68)-MAX(Lists!G$22,$AH68))/($AI68-$AH68))+N($F68)*IF($AK68-$AJ68&lt;1,($AJ68&gt;Lists!G$22)*($AJ68&lt;=Lists!G$21),MAX(0,MIN(Lists!G$21,$AK68)-MAX(Lists!G$22,$AJ68))/($AK68-$AJ68))+N($G68)*IF($AM68-$AL68&lt;1,($AL68&gt;Lists!G$22)*($AL68&lt;=Lists!G$21),MAX(0,MIN(Lists!G$21,$AM68)-MAX(Lists!G$22,$AL68))/($AM68-$AL68))))))))</f>
        <v>0</v>
      </c>
      <c r="R68" s="53" t="n">
        <f aca="false">IF($H68=0,0,IF($AP68="X",0,IF($AP68="S",$H68/$AO68*(MIN($AO68,MAX(0,INT((Lists!H$21-N($J68))/7)+1))-MIN($AO68,MAX(0,INT((Lists!H$22-N($J68))/7)+1))),IF($AP68="D",$H68*MAX(0,MIN(Lists!H$21,N($J68)+$AO68)-MAX(Lists!H$22,N($J68)))/$AO68,IF($AP68="M",$H68/$AO68*(IF(Lists!H$21&lt;$J68,0,MIN($AO68,(((YEAR(Lists!H$21)-YEAR($J68))*12+MONTH(Lists!H$21)-MONTH($J68))-(EDATE($J68,((YEAR(Lists!H$21)-YEAR($J68))*12+MONTH(Lists!H$21)-MONTH($J68)))&gt;Lists!H$21)+1)))-IF(Lists!H$22&lt;$J68,0,MIN($AO68,(((YEAR(Lists!H$22)-YEAR($J68))*12+MONTH(Lists!H$22)-MONTH($J68))-(EDATE($J68,((YEAR(Lists!H$22)-YEAR($J68))*12+MONTH(Lists!H$22)-MONTH($J68)))&gt;Lists!H$22)+1)))),IF($AP68="F",IF(N($K68)&lt;=0,0,MIN(MAX(0,$H68),N($K68)*IF(Lists!H$21&lt;$J68,0,(((YEAR(Lists!H$21)-YEAR($J68))*12+MONTH(Lists!H$21)-MONTH($J68))-(EDATE($J68,((YEAR(Lists!H$21)-YEAR($J68))*12+MONTH(Lists!H$21)-MONTH($J68)))&gt;Lists!H$21)+1)))-MIN(MAX(0,$H68),N($K68)*IF(Lists!H$22&lt;$J68,0,(((YEAR(Lists!H$22)-YEAR($J68))*12+MONTH(Lists!H$22)-MONTH($J68))-(EDATE($J68,((YEAR(Lists!H$22)-YEAR($J68))*12+MONTH(Lists!H$22)-MONTH($J68)))&gt;Lists!H$22)+1)))),N($C68)*IF($AE68-$AD68&lt;1,($AD68&gt;Lists!H$22)*($AD68&lt;=Lists!H$21),MAX(0,MIN(Lists!H$21,$AE68)-MAX(Lists!H$22,$AD68))/($AE68-$AD68))+N($D68)*IF($AG68-$AF68&lt;1,($AF68&gt;Lists!H$22)*($AF68&lt;=Lists!H$21),MAX(0,MIN(Lists!H$21,$AG68)-MAX(Lists!H$22,$AF68))/($AG68-$AF68))+N($E68)*IF($AI68-$AH68&lt;1,($AH68&gt;Lists!H$22)*($AH68&lt;=Lists!H$21),MAX(0,MIN(Lists!H$21,$AI68)-MAX(Lists!H$22,$AH68))/($AI68-$AH68))+N($F68)*IF($AK68-$AJ68&lt;1,($AJ68&gt;Lists!H$22)*($AJ68&lt;=Lists!H$21),MAX(0,MIN(Lists!H$21,$AK68)-MAX(Lists!H$22,$AJ68))/($AK68-$AJ68))+N($G68)*IF($AM68-$AL68&lt;1,($AL68&gt;Lists!H$22)*($AL68&lt;=Lists!H$21),MAX(0,MIN(Lists!H$21,$AM68)-MAX(Lists!H$22,$AL68))/($AM68-$AL68))))))))</f>
        <v>0</v>
      </c>
      <c r="S68" s="53" t="n">
        <f aca="false">IF($H68=0,0,IF($AP68="X",0,IF($AP68="S",$H68/$AO68*(MIN($AO68,MAX(0,INT((Lists!I$21-N($J68))/7)+1))-MIN($AO68,MAX(0,INT((Lists!I$22-N($J68))/7)+1))),IF($AP68="D",$H68*MAX(0,MIN(Lists!I$21,N($J68)+$AO68)-MAX(Lists!I$22,N($J68)))/$AO68,IF($AP68="M",$H68/$AO68*(IF(Lists!I$21&lt;$J68,0,MIN($AO68,(((YEAR(Lists!I$21)-YEAR($J68))*12+MONTH(Lists!I$21)-MONTH($J68))-(EDATE($J68,((YEAR(Lists!I$21)-YEAR($J68))*12+MONTH(Lists!I$21)-MONTH($J68)))&gt;Lists!I$21)+1)))-IF(Lists!I$22&lt;$J68,0,MIN($AO68,(((YEAR(Lists!I$22)-YEAR($J68))*12+MONTH(Lists!I$22)-MONTH($J68))-(EDATE($J68,((YEAR(Lists!I$22)-YEAR($J68))*12+MONTH(Lists!I$22)-MONTH($J68)))&gt;Lists!I$22)+1)))),IF($AP68="F",IF(N($K68)&lt;=0,0,MIN(MAX(0,$H68),N($K68)*IF(Lists!I$21&lt;$J68,0,(((YEAR(Lists!I$21)-YEAR($J68))*12+MONTH(Lists!I$21)-MONTH($J68))-(EDATE($J68,((YEAR(Lists!I$21)-YEAR($J68))*12+MONTH(Lists!I$21)-MONTH($J68)))&gt;Lists!I$21)+1)))-MIN(MAX(0,$H68),N($K68)*IF(Lists!I$22&lt;$J68,0,(((YEAR(Lists!I$22)-YEAR($J68))*12+MONTH(Lists!I$22)-MONTH($J68))-(EDATE($J68,((YEAR(Lists!I$22)-YEAR($J68))*12+MONTH(Lists!I$22)-MONTH($J68)))&gt;Lists!I$22)+1)))),N($C68)*IF($AE68-$AD68&lt;1,($AD68&gt;Lists!I$22)*($AD68&lt;=Lists!I$21),MAX(0,MIN(Lists!I$21,$AE68)-MAX(Lists!I$22,$AD68))/($AE68-$AD68))+N($D68)*IF($AG68-$AF68&lt;1,($AF68&gt;Lists!I$22)*($AF68&lt;=Lists!I$21),MAX(0,MIN(Lists!I$21,$AG68)-MAX(Lists!I$22,$AF68))/($AG68-$AF68))+N($E68)*IF($AI68-$AH68&lt;1,($AH68&gt;Lists!I$22)*($AH68&lt;=Lists!I$21),MAX(0,MIN(Lists!I$21,$AI68)-MAX(Lists!I$22,$AH68))/($AI68-$AH68))+N($F68)*IF($AK68-$AJ68&lt;1,($AJ68&gt;Lists!I$22)*($AJ68&lt;=Lists!I$21),MAX(0,MIN(Lists!I$21,$AK68)-MAX(Lists!I$22,$AJ68))/($AK68-$AJ68))+N($G68)*IF($AM68-$AL68&lt;1,($AL68&gt;Lists!I$22)*($AL68&lt;=Lists!I$21),MAX(0,MIN(Lists!I$21,$AM68)-MAX(Lists!I$22,$AL68))/($AM68-$AL68))))))))</f>
        <v>0</v>
      </c>
      <c r="T68" s="53" t="n">
        <f aca="false">IF($H68=0,0,IF($AP68="X",0,IF($AP68="S",$H68/$AO68*(MIN($AO68,MAX(0,INT((Lists!J$21-N($J68))/7)+1))-MIN($AO68,MAX(0,INT((Lists!J$22-N($J68))/7)+1))),IF($AP68="D",$H68*MAX(0,MIN(Lists!J$21,N($J68)+$AO68)-MAX(Lists!J$22,N($J68)))/$AO68,IF($AP68="M",$H68/$AO68*(IF(Lists!J$21&lt;$J68,0,MIN($AO68,(((YEAR(Lists!J$21)-YEAR($J68))*12+MONTH(Lists!J$21)-MONTH($J68))-(EDATE($J68,((YEAR(Lists!J$21)-YEAR($J68))*12+MONTH(Lists!J$21)-MONTH($J68)))&gt;Lists!J$21)+1)))-IF(Lists!J$22&lt;$J68,0,MIN($AO68,(((YEAR(Lists!J$22)-YEAR($J68))*12+MONTH(Lists!J$22)-MONTH($J68))-(EDATE($J68,((YEAR(Lists!J$22)-YEAR($J68))*12+MONTH(Lists!J$22)-MONTH($J68)))&gt;Lists!J$22)+1)))),IF($AP68="F",IF(N($K68)&lt;=0,0,MIN(MAX(0,$H68),N($K68)*IF(Lists!J$21&lt;$J68,0,(((YEAR(Lists!J$21)-YEAR($J68))*12+MONTH(Lists!J$21)-MONTH($J68))-(EDATE($J68,((YEAR(Lists!J$21)-YEAR($J68))*12+MONTH(Lists!J$21)-MONTH($J68)))&gt;Lists!J$21)+1)))-MIN(MAX(0,$H68),N($K68)*IF(Lists!J$22&lt;$J68,0,(((YEAR(Lists!J$22)-YEAR($J68))*12+MONTH(Lists!J$22)-MONTH($J68))-(EDATE($J68,((YEAR(Lists!J$22)-YEAR($J68))*12+MONTH(Lists!J$22)-MONTH($J68)))&gt;Lists!J$22)+1)))),N($C68)*IF($AE68-$AD68&lt;1,($AD68&gt;Lists!J$22)*($AD68&lt;=Lists!J$21),MAX(0,MIN(Lists!J$21,$AE68)-MAX(Lists!J$22,$AD68))/($AE68-$AD68))+N($D68)*IF($AG68-$AF68&lt;1,($AF68&gt;Lists!J$22)*($AF68&lt;=Lists!J$21),MAX(0,MIN(Lists!J$21,$AG68)-MAX(Lists!J$22,$AF68))/($AG68-$AF68))+N($E68)*IF($AI68-$AH68&lt;1,($AH68&gt;Lists!J$22)*($AH68&lt;=Lists!J$21),MAX(0,MIN(Lists!J$21,$AI68)-MAX(Lists!J$22,$AH68))/($AI68-$AH68))+N($F68)*IF($AK68-$AJ68&lt;1,($AJ68&gt;Lists!J$22)*($AJ68&lt;=Lists!J$21),MAX(0,MIN(Lists!J$21,$AK68)-MAX(Lists!J$22,$AJ68))/($AK68-$AJ68))+N($G68)*IF($AM68-$AL68&lt;1,($AL68&gt;Lists!J$22)*($AL68&lt;=Lists!J$21),MAX(0,MIN(Lists!J$21,$AM68)-MAX(Lists!J$22,$AL68))/($AM68-$AL68))))))))</f>
        <v>0</v>
      </c>
      <c r="U68" s="53" t="n">
        <f aca="false">IF($H68=0,0,IF($AP68="X",0,IF($AP68="S",$H68/$AO68*(MIN($AO68,MAX(0,INT((Lists!K$21-N($J68))/7)+1))-MIN($AO68,MAX(0,INT((Lists!K$22-N($J68))/7)+1))),IF($AP68="D",$H68*MAX(0,MIN(Lists!K$21,N($J68)+$AO68)-MAX(Lists!K$22,N($J68)))/$AO68,IF($AP68="M",$H68/$AO68*(IF(Lists!K$21&lt;$J68,0,MIN($AO68,(((YEAR(Lists!K$21)-YEAR($J68))*12+MONTH(Lists!K$21)-MONTH($J68))-(EDATE($J68,((YEAR(Lists!K$21)-YEAR($J68))*12+MONTH(Lists!K$21)-MONTH($J68)))&gt;Lists!K$21)+1)))-IF(Lists!K$22&lt;$J68,0,MIN($AO68,(((YEAR(Lists!K$22)-YEAR($J68))*12+MONTH(Lists!K$22)-MONTH($J68))-(EDATE($J68,((YEAR(Lists!K$22)-YEAR($J68))*12+MONTH(Lists!K$22)-MONTH($J68)))&gt;Lists!K$22)+1)))),IF($AP68="F",IF(N($K68)&lt;=0,0,MIN(MAX(0,$H68),N($K68)*IF(Lists!K$21&lt;$J68,0,(((YEAR(Lists!K$21)-YEAR($J68))*12+MONTH(Lists!K$21)-MONTH($J68))-(EDATE($J68,((YEAR(Lists!K$21)-YEAR($J68))*12+MONTH(Lists!K$21)-MONTH($J68)))&gt;Lists!K$21)+1)))-MIN(MAX(0,$H68),N($K68)*IF(Lists!K$22&lt;$J68,0,(((YEAR(Lists!K$22)-YEAR($J68))*12+MONTH(Lists!K$22)-MONTH($J68))-(EDATE($J68,((YEAR(Lists!K$22)-YEAR($J68))*12+MONTH(Lists!K$22)-MONTH($J68)))&gt;Lists!K$22)+1)))),N($C68)*IF($AE68-$AD68&lt;1,($AD68&gt;Lists!K$22)*($AD68&lt;=Lists!K$21),MAX(0,MIN(Lists!K$21,$AE68)-MAX(Lists!K$22,$AD68))/($AE68-$AD68))+N($D68)*IF($AG68-$AF68&lt;1,($AF68&gt;Lists!K$22)*($AF68&lt;=Lists!K$21),MAX(0,MIN(Lists!K$21,$AG68)-MAX(Lists!K$22,$AF68))/($AG68-$AF68))+N($E68)*IF($AI68-$AH68&lt;1,($AH68&gt;Lists!K$22)*($AH68&lt;=Lists!K$21),MAX(0,MIN(Lists!K$21,$AI68)-MAX(Lists!K$22,$AH68))/($AI68-$AH68))+N($F68)*IF($AK68-$AJ68&lt;1,($AJ68&gt;Lists!K$22)*($AJ68&lt;=Lists!K$21),MAX(0,MIN(Lists!K$21,$AK68)-MAX(Lists!K$22,$AJ68))/($AK68-$AJ68))+N($G68)*IF($AM68-$AL68&lt;1,($AL68&gt;Lists!K$22)*($AL68&lt;=Lists!K$21),MAX(0,MIN(Lists!K$21,$AM68)-MAX(Lists!K$22,$AL68))/($AM68-$AL68))))))))</f>
        <v>0</v>
      </c>
      <c r="V68" s="53" t="n">
        <f aca="false">IF($H68=0,0,IF($AP68="X",0,IF($AP68="S",$H68/$AO68*(MIN($AO68,MAX(0,INT((Lists!L$21-N($J68))/7)+1))-MIN($AO68,MAX(0,INT((Lists!L$22-N($J68))/7)+1))),IF($AP68="D",$H68*MAX(0,MIN(Lists!L$21,N($J68)+$AO68)-MAX(Lists!L$22,N($J68)))/$AO68,IF($AP68="M",$H68/$AO68*(IF(Lists!L$21&lt;$J68,0,MIN($AO68,(((YEAR(Lists!L$21)-YEAR($J68))*12+MONTH(Lists!L$21)-MONTH($J68))-(EDATE($J68,((YEAR(Lists!L$21)-YEAR($J68))*12+MONTH(Lists!L$21)-MONTH($J68)))&gt;Lists!L$21)+1)))-IF(Lists!L$22&lt;$J68,0,MIN($AO68,(((YEAR(Lists!L$22)-YEAR($J68))*12+MONTH(Lists!L$22)-MONTH($J68))-(EDATE($J68,((YEAR(Lists!L$22)-YEAR($J68))*12+MONTH(Lists!L$22)-MONTH($J68)))&gt;Lists!L$22)+1)))),IF($AP68="F",IF(N($K68)&lt;=0,0,MIN(MAX(0,$H68),N($K68)*IF(Lists!L$21&lt;$J68,0,(((YEAR(Lists!L$21)-YEAR($J68))*12+MONTH(Lists!L$21)-MONTH($J68))-(EDATE($J68,((YEAR(Lists!L$21)-YEAR($J68))*12+MONTH(Lists!L$21)-MONTH($J68)))&gt;Lists!L$21)+1)))-MIN(MAX(0,$H68),N($K68)*IF(Lists!L$22&lt;$J68,0,(((YEAR(Lists!L$22)-YEAR($J68))*12+MONTH(Lists!L$22)-MONTH($J68))-(EDATE($J68,((YEAR(Lists!L$22)-YEAR($J68))*12+MONTH(Lists!L$22)-MONTH($J68)))&gt;Lists!L$22)+1)))),N($C68)*IF($AE68-$AD68&lt;1,($AD68&gt;Lists!L$22)*($AD68&lt;=Lists!L$21),MAX(0,MIN(Lists!L$21,$AE68)-MAX(Lists!L$22,$AD68))/($AE68-$AD68))+N($D68)*IF($AG68-$AF68&lt;1,($AF68&gt;Lists!L$22)*($AF68&lt;=Lists!L$21),MAX(0,MIN(Lists!L$21,$AG68)-MAX(Lists!L$22,$AF68))/($AG68-$AF68))+N($E68)*IF($AI68-$AH68&lt;1,($AH68&gt;Lists!L$22)*($AH68&lt;=Lists!L$21),MAX(0,MIN(Lists!L$21,$AI68)-MAX(Lists!L$22,$AH68))/($AI68-$AH68))+N($F68)*IF($AK68-$AJ68&lt;1,($AJ68&gt;Lists!L$22)*($AJ68&lt;=Lists!L$21),MAX(0,MIN(Lists!L$21,$AK68)-MAX(Lists!L$22,$AJ68))/($AK68-$AJ68))+N($G68)*IF($AM68-$AL68&lt;1,($AL68&gt;Lists!L$22)*($AL68&lt;=Lists!L$21),MAX(0,MIN(Lists!L$21,$AM68)-MAX(Lists!L$22,$AL68))/($AM68-$AL68))))))))</f>
        <v>0</v>
      </c>
      <c r="W68" s="53" t="n">
        <f aca="false">IF($H68=0,0,IF($AP68="X",0,IF($AP68="S",$H68/$AO68*(MIN($AO68,MAX(0,INT((Lists!M$21-N($J68))/7)+1))-MIN($AO68,MAX(0,INT((Lists!M$22-N($J68))/7)+1))),IF($AP68="D",$H68*MAX(0,MIN(Lists!M$21,N($J68)+$AO68)-MAX(Lists!M$22,N($J68)))/$AO68,IF($AP68="M",$H68/$AO68*(IF(Lists!M$21&lt;$J68,0,MIN($AO68,(((YEAR(Lists!M$21)-YEAR($J68))*12+MONTH(Lists!M$21)-MONTH($J68))-(EDATE($J68,((YEAR(Lists!M$21)-YEAR($J68))*12+MONTH(Lists!M$21)-MONTH($J68)))&gt;Lists!M$21)+1)))-IF(Lists!M$22&lt;$J68,0,MIN($AO68,(((YEAR(Lists!M$22)-YEAR($J68))*12+MONTH(Lists!M$22)-MONTH($J68))-(EDATE($J68,((YEAR(Lists!M$22)-YEAR($J68))*12+MONTH(Lists!M$22)-MONTH($J68)))&gt;Lists!M$22)+1)))),IF($AP68="F",IF(N($K68)&lt;=0,0,MIN(MAX(0,$H68),N($K68)*IF(Lists!M$21&lt;$J68,0,(((YEAR(Lists!M$21)-YEAR($J68))*12+MONTH(Lists!M$21)-MONTH($J68))-(EDATE($J68,((YEAR(Lists!M$21)-YEAR($J68))*12+MONTH(Lists!M$21)-MONTH($J68)))&gt;Lists!M$21)+1)))-MIN(MAX(0,$H68),N($K68)*IF(Lists!M$22&lt;$J68,0,(((YEAR(Lists!M$22)-YEAR($J68))*12+MONTH(Lists!M$22)-MONTH($J68))-(EDATE($J68,((YEAR(Lists!M$22)-YEAR($J68))*12+MONTH(Lists!M$22)-MONTH($J68)))&gt;Lists!M$22)+1)))),N($C68)*IF($AE68-$AD68&lt;1,($AD68&gt;Lists!M$22)*($AD68&lt;=Lists!M$21),MAX(0,MIN(Lists!M$21,$AE68)-MAX(Lists!M$22,$AD68))/($AE68-$AD68))+N($D68)*IF($AG68-$AF68&lt;1,($AF68&gt;Lists!M$22)*($AF68&lt;=Lists!M$21),MAX(0,MIN(Lists!M$21,$AG68)-MAX(Lists!M$22,$AF68))/($AG68-$AF68))+N($E68)*IF($AI68-$AH68&lt;1,($AH68&gt;Lists!M$22)*($AH68&lt;=Lists!M$21),MAX(0,MIN(Lists!M$21,$AI68)-MAX(Lists!M$22,$AH68))/($AI68-$AH68))+N($F68)*IF($AK68-$AJ68&lt;1,($AJ68&gt;Lists!M$22)*($AJ68&lt;=Lists!M$21),MAX(0,MIN(Lists!M$21,$AK68)-MAX(Lists!M$22,$AJ68))/($AK68-$AJ68))+N($G68)*IF($AM68-$AL68&lt;1,($AL68&gt;Lists!M$22)*($AL68&lt;=Lists!M$21),MAX(0,MIN(Lists!M$21,$AM68)-MAX(Lists!M$22,$AL68))/($AM68-$AL68))))))))</f>
        <v>0</v>
      </c>
      <c r="X68" s="53" t="n">
        <f aca="false">IF($H68=0,0,IF($AP68="X",0,IF($AP68="S",$H68/$AO68*(MIN($AO68,MAX(0,INT((Lists!N$21-N($J68))/7)+1))-MIN($AO68,MAX(0,INT((Lists!N$22-N($J68))/7)+1))),IF($AP68="D",$H68*MAX(0,MIN(Lists!N$21,N($J68)+$AO68)-MAX(Lists!N$22,N($J68)))/$AO68,IF($AP68="M",$H68/$AO68*(IF(Lists!N$21&lt;$J68,0,MIN($AO68,(((YEAR(Lists!N$21)-YEAR($J68))*12+MONTH(Lists!N$21)-MONTH($J68))-(EDATE($J68,((YEAR(Lists!N$21)-YEAR($J68))*12+MONTH(Lists!N$21)-MONTH($J68)))&gt;Lists!N$21)+1)))-IF(Lists!N$22&lt;$J68,0,MIN($AO68,(((YEAR(Lists!N$22)-YEAR($J68))*12+MONTH(Lists!N$22)-MONTH($J68))-(EDATE($J68,((YEAR(Lists!N$22)-YEAR($J68))*12+MONTH(Lists!N$22)-MONTH($J68)))&gt;Lists!N$22)+1)))),IF($AP68="F",IF(N($K68)&lt;=0,0,MIN(MAX(0,$H68),N($K68)*IF(Lists!N$21&lt;$J68,0,(((YEAR(Lists!N$21)-YEAR($J68))*12+MONTH(Lists!N$21)-MONTH($J68))-(EDATE($J68,((YEAR(Lists!N$21)-YEAR($J68))*12+MONTH(Lists!N$21)-MONTH($J68)))&gt;Lists!N$21)+1)))-MIN(MAX(0,$H68),N($K68)*IF(Lists!N$22&lt;$J68,0,(((YEAR(Lists!N$22)-YEAR($J68))*12+MONTH(Lists!N$22)-MONTH($J68))-(EDATE($J68,((YEAR(Lists!N$22)-YEAR($J68))*12+MONTH(Lists!N$22)-MONTH($J68)))&gt;Lists!N$22)+1)))),N($C68)*IF($AE68-$AD68&lt;1,($AD68&gt;Lists!N$22)*($AD68&lt;=Lists!N$21),MAX(0,MIN(Lists!N$21,$AE68)-MAX(Lists!N$22,$AD68))/($AE68-$AD68))+N($D68)*IF($AG68-$AF68&lt;1,($AF68&gt;Lists!N$22)*($AF68&lt;=Lists!N$21),MAX(0,MIN(Lists!N$21,$AG68)-MAX(Lists!N$22,$AF68))/($AG68-$AF68))+N($E68)*IF($AI68-$AH68&lt;1,($AH68&gt;Lists!N$22)*($AH68&lt;=Lists!N$21),MAX(0,MIN(Lists!N$21,$AI68)-MAX(Lists!N$22,$AH68))/($AI68-$AH68))+N($F68)*IF($AK68-$AJ68&lt;1,($AJ68&gt;Lists!N$22)*($AJ68&lt;=Lists!N$21),MAX(0,MIN(Lists!N$21,$AK68)-MAX(Lists!N$22,$AJ68))/($AK68-$AJ68))+N($G68)*IF($AM68-$AL68&lt;1,($AL68&gt;Lists!N$22)*($AL68&lt;=Lists!N$21),MAX(0,MIN(Lists!N$21,$AM68)-MAX(Lists!N$22,$AL68))/($AM68-$AL68))))))))</f>
        <v>0</v>
      </c>
      <c r="Y68" s="53" t="n">
        <f aca="false">IF($H68=0,0,IF($AP68="X",0,IF($AP68="S",$H68/$AO68*(MIN($AO68,MAX(0,INT((Lists!O$21-N($J68))/7)+1))-MIN($AO68,MAX(0,INT((Lists!O$22-N($J68))/7)+1))),IF($AP68="D",$H68*MAX(0,MIN(Lists!O$21,N($J68)+$AO68)-MAX(Lists!O$22,N($J68)))/$AO68,IF($AP68="M",$H68/$AO68*(IF(Lists!O$21&lt;$J68,0,MIN($AO68,(((YEAR(Lists!O$21)-YEAR($J68))*12+MONTH(Lists!O$21)-MONTH($J68))-(EDATE($J68,((YEAR(Lists!O$21)-YEAR($J68))*12+MONTH(Lists!O$21)-MONTH($J68)))&gt;Lists!O$21)+1)))-IF(Lists!O$22&lt;$J68,0,MIN($AO68,(((YEAR(Lists!O$22)-YEAR($J68))*12+MONTH(Lists!O$22)-MONTH($J68))-(EDATE($J68,((YEAR(Lists!O$22)-YEAR($J68))*12+MONTH(Lists!O$22)-MONTH($J68)))&gt;Lists!O$22)+1)))),IF($AP68="F",IF(N($K68)&lt;=0,0,MIN(MAX(0,$H68),N($K68)*IF(Lists!O$21&lt;$J68,0,(((YEAR(Lists!O$21)-YEAR($J68))*12+MONTH(Lists!O$21)-MONTH($J68))-(EDATE($J68,((YEAR(Lists!O$21)-YEAR($J68))*12+MONTH(Lists!O$21)-MONTH($J68)))&gt;Lists!O$21)+1)))-MIN(MAX(0,$H68),N($K68)*IF(Lists!O$22&lt;$J68,0,(((YEAR(Lists!O$22)-YEAR($J68))*12+MONTH(Lists!O$22)-MONTH($J68))-(EDATE($J68,((YEAR(Lists!O$22)-YEAR($J68))*12+MONTH(Lists!O$22)-MONTH($J68)))&gt;Lists!O$22)+1)))),N($C68)*IF($AE68-$AD68&lt;1,($AD68&gt;Lists!O$22)*($AD68&lt;=Lists!O$21),MAX(0,MIN(Lists!O$21,$AE68)-MAX(Lists!O$22,$AD68))/($AE68-$AD68))+N($D68)*IF($AG68-$AF68&lt;1,($AF68&gt;Lists!O$22)*($AF68&lt;=Lists!O$21),MAX(0,MIN(Lists!O$21,$AG68)-MAX(Lists!O$22,$AF68))/($AG68-$AF68))+N($E68)*IF($AI68-$AH68&lt;1,($AH68&gt;Lists!O$22)*($AH68&lt;=Lists!O$21),MAX(0,MIN(Lists!O$21,$AI68)-MAX(Lists!O$22,$AH68))/($AI68-$AH68))+N($F68)*IF($AK68-$AJ68&lt;1,($AJ68&gt;Lists!O$22)*($AJ68&lt;=Lists!O$21),MAX(0,MIN(Lists!O$21,$AK68)-MAX(Lists!O$22,$AJ68))/($AK68-$AJ68))+N($G68)*IF($AM68-$AL68&lt;1,($AL68&gt;Lists!O$22)*($AL68&lt;=Lists!O$21),MAX(0,MIN(Lists!O$21,$AM68)-MAX(Lists!O$22,$AL68))/($AM68-$AL68))))))))</f>
        <v>0</v>
      </c>
      <c r="Z68" s="46" t="n">
        <f aca="false">SUM(M68:Y68)</f>
        <v>0</v>
      </c>
      <c r="AA68" s="92" t="n">
        <f aca="false">H68-Z68</f>
        <v>0</v>
      </c>
      <c r="AB68" s="55"/>
      <c r="AC68" s="2"/>
      <c r="AD68" s="93" t="n">
        <f aca="false">Setup!$D$10+MAX(0,$AN68-30)</f>
        <v>46345</v>
      </c>
      <c r="AE68" s="93" t="n">
        <f aca="false">Setup!$D$10+IF($AN68-30&lt;0,MAX(Setup!$D$22,$AN68-0),$AN68-0)</f>
        <v>46375</v>
      </c>
      <c r="AF68" s="93" t="n">
        <f aca="false">Setup!$D$10+MAX(0,$AN68-60)</f>
        <v>46335</v>
      </c>
      <c r="AG68" s="93" t="n">
        <f aca="false">Setup!$D$10+IF($AN68-60&lt;0,MAX(Setup!$D$22,$AN68-31),$AN68-31)</f>
        <v>46363</v>
      </c>
      <c r="AH68" s="93" t="n">
        <f aca="false">Setup!$D$10+MAX(0,$AN68-90)</f>
        <v>46335</v>
      </c>
      <c r="AI68" s="93" t="n">
        <f aca="false">Setup!$D$10+IF($AN68-90&lt;0,MAX(Setup!$D$22,$AN68-61),$AN68-61)</f>
        <v>46363</v>
      </c>
      <c r="AJ68" s="93" t="n">
        <f aca="false">Setup!$D$10+MAX(0,$AN68-120)</f>
        <v>46335</v>
      </c>
      <c r="AK68" s="93" t="n">
        <f aca="false">Setup!$D$10+IF($AN68-120&lt;0,MAX(Setup!$D$22,$AN68-91),$AN68-91)</f>
        <v>46363</v>
      </c>
      <c r="AL68" s="93" t="n">
        <f aca="false">Setup!$D$10</f>
        <v>46335</v>
      </c>
      <c r="AM68" s="93" t="n">
        <f aca="false">IF(AL68=2958465,AL68,Setup!$D$10+Setup!$D$22)</f>
        <v>46363</v>
      </c>
      <c r="AN68" s="94" t="n">
        <f aca="false">IF(N(L68)=0,Setup!$D$21,L68)</f>
        <v>40</v>
      </c>
      <c r="AO68" s="94" t="n">
        <f aca="false">MAX(1,ROUND(N(K68),0))</f>
        <v>1</v>
      </c>
      <c r="AP68" s="95" t="str">
        <f aca="false">IF(I68="On hold","X",IF(N(J68)=0,"A",IF(I68="Specific date","S",IF(I68="Spread over days","D",IF(I68="Monthly on set day","M",IF(I68="Monthly fixed amount","F","A"))))))</f>
        <v>A</v>
      </c>
    </row>
    <row r="69" customFormat="false" ht="15" hidden="false" customHeight="false" outlineLevel="0" collapsed="false">
      <c r="A69" s="2"/>
      <c r="B69" s="15" t="s">
        <v>426</v>
      </c>
      <c r="C69" s="48" t="n">
        <f aca="false">SUM(C9:C68)</f>
        <v>256000</v>
      </c>
      <c r="D69" s="48" t="n">
        <f aca="false">SUM(D9:D68)</f>
        <v>105000</v>
      </c>
      <c r="E69" s="48" t="n">
        <f aca="false">SUM(E9:E68)</f>
        <v>0</v>
      </c>
      <c r="F69" s="48" t="n">
        <f aca="false">SUM(F9:F68)</f>
        <v>0</v>
      </c>
      <c r="G69" s="48" t="n">
        <f aca="false">SUM(G9:G68)</f>
        <v>0</v>
      </c>
      <c r="H69" s="48" t="n">
        <f aca="false">SUM(H9:H68)</f>
        <v>361000</v>
      </c>
      <c r="I69" s="2"/>
      <c r="J69" s="2"/>
      <c r="K69" s="2"/>
      <c r="L69" s="2"/>
      <c r="M69" s="48" t="n">
        <f aca="false">SUM(M9:M68)</f>
        <v>15000</v>
      </c>
      <c r="N69" s="48" t="n">
        <f aca="false">SUM(N9:N68)</f>
        <v>32583.3333333333</v>
      </c>
      <c r="O69" s="48" t="n">
        <f aca="false">SUM(O9:O68)</f>
        <v>70583.3333333333</v>
      </c>
      <c r="P69" s="48" t="n">
        <f aca="false">SUM(P9:P68)</f>
        <v>70583.3333333333</v>
      </c>
      <c r="Q69" s="48" t="n">
        <f aca="false">SUM(Q9:Q68)</f>
        <v>55583.3333333333</v>
      </c>
      <c r="R69" s="48" t="n">
        <f aca="false">SUM(R9:R68)</f>
        <v>44333.3333333333</v>
      </c>
      <c r="S69" s="48" t="n">
        <f aca="false">SUM(S9:S68)</f>
        <v>6333.33333333333</v>
      </c>
      <c r="T69" s="48" t="n">
        <f aca="false">SUM(T9:T68)</f>
        <v>0</v>
      </c>
      <c r="U69" s="48" t="n">
        <f aca="false">SUM(U9:U68)</f>
        <v>66000</v>
      </c>
      <c r="V69" s="48" t="n">
        <f aca="false">SUM(V9:V68)</f>
        <v>0</v>
      </c>
      <c r="W69" s="48" t="n">
        <f aca="false">SUM(W9:W68)</f>
        <v>0</v>
      </c>
      <c r="X69" s="48" t="n">
        <f aca="false">SUM(X9:X68)</f>
        <v>0</v>
      </c>
      <c r="Y69" s="48" t="n">
        <f aca="false">SUM(Y9:Y68)</f>
        <v>0</v>
      </c>
      <c r="Z69" s="48" t="n">
        <f aca="false">SUM(Z9:Z68)</f>
        <v>361000</v>
      </c>
      <c r="AA69" s="48" t="n">
        <f aca="false">SUM(AA9:AA68)</f>
        <v>0</v>
      </c>
      <c r="AB69" s="2"/>
      <c r="AC69" s="2"/>
      <c r="AD69" s="2"/>
      <c r="AE69" s="2"/>
      <c r="AF69" s="2"/>
      <c r="AG69" s="2"/>
      <c r="AH69" s="2"/>
      <c r="AI69" s="2"/>
      <c r="AJ69" s="2"/>
      <c r="AK69" s="2"/>
      <c r="AL69" s="2"/>
      <c r="AM69" s="2"/>
      <c r="AN69" s="2"/>
      <c r="AO69" s="2"/>
      <c r="AP69" s="2"/>
    </row>
    <row r="70" customFormat="false" ht="15" hidden="false" customHeight="fals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row>
    <row r="71" customFormat="false" ht="15" hidden="false" customHeight="false" outlineLevel="0" collapsed="false">
      <c r="A71" s="2"/>
      <c r="B71" s="15" t="s">
        <v>427</v>
      </c>
      <c r="C71" s="2"/>
      <c r="D71" s="2"/>
      <c r="E71" s="2"/>
      <c r="F71" s="2"/>
      <c r="G71" s="2"/>
      <c r="H71" s="88"/>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row>
    <row r="72" customFormat="false" ht="15" hidden="false" customHeight="false" outlineLevel="0" collapsed="false">
      <c r="A72" s="2"/>
      <c r="B72" s="15" t="s">
        <v>414</v>
      </c>
      <c r="C72" s="2"/>
      <c r="D72" s="2"/>
      <c r="E72" s="2"/>
      <c r="F72" s="2"/>
      <c r="G72" s="2"/>
      <c r="H72" s="89" t="str">
        <f aca="false">IF(H71="","",H69-H71)</f>
        <v/>
      </c>
      <c r="I72" s="31" t="str">
        <f aca="false">IF(H71="","",IF(ABS(H72)&lt;1,"✓ Agrees","✗ Does not agree – check the lines above"))</f>
        <v/>
      </c>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row>
  </sheetData>
  <sheetProtection sheet="true" formatCells="false" formatColumns="false" formatRows="false"/>
  <dataValidations count="2">
    <dataValidation allowBlank="true" error="Please enter a date, e.g. 15/11/2026" errorStyle="stop" errorTitle="Date needed" operator="greaterThan" showDropDown="false" showErrorMessage="false" showInputMessage="false" sqref="J9:J68" type="date">
      <formula1>36526</formula1>
      <formula2>0</formula2>
    </dataValidation>
    <dataValidation allowBlank="true" error="Please pick from the list." errorStyle="stop" errorTitle="Choose from the list" operator="between" showDropDown="false" showErrorMessage="false" showInputMessage="false" sqref="I9:I68" type="list">
      <formula1>Lists!$H$2:$H$7</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5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4"/>
    <col collapsed="false" customWidth="true" hidden="false" outlineLevel="0" max="3" min="3" style="1" width="8"/>
    <col collapsed="false" customWidth="true" hidden="false" outlineLevel="0" max="5" min="4" style="1" width="9"/>
    <col collapsed="false" customWidth="true" hidden="false" outlineLevel="0" max="6" min="6" style="1" width="12"/>
    <col collapsed="false" customWidth="true" hidden="false" outlineLevel="0" max="8" min="7" style="1" width="8"/>
    <col collapsed="false" customWidth="true" hidden="false" outlineLevel="0" max="9" min="9" style="1" width="2"/>
    <col collapsed="false" customWidth="true" hidden="false" outlineLevel="0" max="22" min="10" style="1" width="11"/>
    <col collapsed="false" customWidth="true" hidden="false" outlineLevel="0" max="24" min="23" style="1" width="13"/>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row>
    <row r="2" customFormat="false" ht="15" hidden="false" customHeight="false" outlineLevel="0" collapsed="false">
      <c r="A2" s="4" t="s">
        <v>428</v>
      </c>
      <c r="B2" s="2"/>
      <c r="C2" s="2"/>
      <c r="D2" s="2"/>
      <c r="E2" s="2"/>
      <c r="F2" s="2"/>
      <c r="G2" s="2"/>
      <c r="H2" s="2"/>
      <c r="I2" s="2"/>
      <c r="J2" s="2"/>
      <c r="K2" s="2"/>
      <c r="L2" s="2"/>
      <c r="M2" s="2"/>
      <c r="N2" s="2"/>
      <c r="O2" s="2"/>
      <c r="P2" s="2"/>
      <c r="Q2" s="2"/>
      <c r="R2" s="2"/>
      <c r="S2" s="2"/>
      <c r="T2" s="2"/>
      <c r="U2" s="2"/>
      <c r="V2" s="2"/>
      <c r="W2" s="2"/>
      <c r="X2" s="2"/>
    </row>
    <row r="3" customFormat="false" ht="15" hidden="false" customHeight="false" outlineLevel="0" collapsed="false">
      <c r="A3" s="21" t="s">
        <v>429</v>
      </c>
      <c r="B3" s="2"/>
      <c r="C3" s="2"/>
      <c r="D3" s="2"/>
      <c r="E3" s="2"/>
      <c r="F3" s="2"/>
      <c r="G3" s="2"/>
      <c r="H3" s="2"/>
      <c r="I3" s="2"/>
      <c r="J3" s="2"/>
      <c r="K3" s="2"/>
      <c r="L3" s="2"/>
      <c r="M3" s="2"/>
      <c r="N3" s="2"/>
      <c r="O3" s="2"/>
      <c r="P3" s="2"/>
      <c r="Q3" s="2"/>
      <c r="R3" s="2"/>
      <c r="S3" s="2"/>
      <c r="T3" s="2"/>
      <c r="U3" s="2"/>
      <c r="V3" s="2"/>
      <c r="W3" s="2"/>
      <c r="X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row>
    <row r="5" customFormat="false" ht="15" hidden="false" customHeight="false" outlineLevel="0" collapsed="false">
      <c r="A5" s="2"/>
      <c r="B5" s="2"/>
      <c r="C5" s="2"/>
      <c r="D5" s="2"/>
      <c r="E5" s="2"/>
      <c r="F5" s="2"/>
      <c r="G5" s="2"/>
      <c r="H5" s="2"/>
      <c r="I5" s="2"/>
      <c r="J5" s="42" t="str">
        <f aca="false">"Week "&amp;Lists!C$20</f>
        <v>Week 1</v>
      </c>
      <c r="K5" s="42" t="str">
        <f aca="false">"Week "&amp;Lists!D$20</f>
        <v>Week 2</v>
      </c>
      <c r="L5" s="42" t="str">
        <f aca="false">"Week "&amp;Lists!E$20</f>
        <v>Week 3</v>
      </c>
      <c r="M5" s="42" t="str">
        <f aca="false">"Week "&amp;Lists!F$20</f>
        <v>Week 4</v>
      </c>
      <c r="N5" s="42" t="str">
        <f aca="false">"Week "&amp;Lists!G$20</f>
        <v>Week 5</v>
      </c>
      <c r="O5" s="42" t="str">
        <f aca="false">"Week "&amp;Lists!H$20</f>
        <v>Week 6</v>
      </c>
      <c r="P5" s="42" t="str">
        <f aca="false">"Week "&amp;Lists!I$20</f>
        <v>Week 7</v>
      </c>
      <c r="Q5" s="42" t="str">
        <f aca="false">"Week "&amp;Lists!J$20</f>
        <v>Week 8</v>
      </c>
      <c r="R5" s="42" t="str">
        <f aca="false">"Week "&amp;Lists!K$20</f>
        <v>Week 9</v>
      </c>
      <c r="S5" s="42" t="str">
        <f aca="false">"Week "&amp;Lists!L$20</f>
        <v>Week 10</v>
      </c>
      <c r="T5" s="42" t="str">
        <f aca="false">"Week "&amp;Lists!M$20</f>
        <v>Week 11</v>
      </c>
      <c r="U5" s="42" t="str">
        <f aca="false">"Week "&amp;Lists!N$20</f>
        <v>Week 12</v>
      </c>
      <c r="V5" s="42" t="str">
        <f aca="false">"Week "&amp;Lists!O$20</f>
        <v>Week 13</v>
      </c>
      <c r="W5" s="42" t="s">
        <v>253</v>
      </c>
      <c r="X5" s="2"/>
    </row>
    <row r="6" customFormat="false" ht="15" hidden="false" customHeight="false" outlineLevel="0" collapsed="false">
      <c r="A6" s="2"/>
      <c r="B6" s="2"/>
      <c r="C6" s="2"/>
      <c r="D6" s="2"/>
      <c r="E6" s="2"/>
      <c r="F6" s="2"/>
      <c r="G6" s="2"/>
      <c r="H6" s="2"/>
      <c r="I6" s="2"/>
      <c r="J6" s="45" t="n">
        <f aca="false">Lists!C$21</f>
        <v>46339</v>
      </c>
      <c r="K6" s="45" t="n">
        <f aca="false">Lists!D$21</f>
        <v>46346</v>
      </c>
      <c r="L6" s="45" t="n">
        <f aca="false">Lists!E$21</f>
        <v>46353</v>
      </c>
      <c r="M6" s="45" t="n">
        <f aca="false">Lists!F$21</f>
        <v>46360</v>
      </c>
      <c r="N6" s="45" t="n">
        <f aca="false">Lists!G$21</f>
        <v>46367</v>
      </c>
      <c r="O6" s="45" t="n">
        <f aca="false">Lists!H$21</f>
        <v>46374</v>
      </c>
      <c r="P6" s="45" t="n">
        <f aca="false">Lists!I$21</f>
        <v>46381</v>
      </c>
      <c r="Q6" s="45" t="n">
        <f aca="false">Lists!J$21</f>
        <v>46388</v>
      </c>
      <c r="R6" s="45" t="n">
        <f aca="false">Lists!K$21</f>
        <v>46395</v>
      </c>
      <c r="S6" s="45" t="n">
        <f aca="false">Lists!L$21</f>
        <v>46402</v>
      </c>
      <c r="T6" s="45" t="n">
        <f aca="false">Lists!M$21</f>
        <v>46409</v>
      </c>
      <c r="U6" s="45" t="n">
        <f aca="false">Lists!N$21</f>
        <v>46416</v>
      </c>
      <c r="V6" s="45" t="n">
        <f aca="false">Lists!O$21</f>
        <v>46423</v>
      </c>
      <c r="W6" s="42" t="s">
        <v>254</v>
      </c>
      <c r="X6" s="2"/>
    </row>
    <row r="7" customFormat="false" ht="15" hidden="false" customHeight="false" outlineLevel="0" collapsed="false">
      <c r="A7" s="5" t="s">
        <v>430</v>
      </c>
      <c r="B7" s="6"/>
      <c r="C7" s="6"/>
      <c r="D7" s="6"/>
      <c r="E7" s="6"/>
      <c r="F7" s="6"/>
      <c r="G7" s="6"/>
      <c r="H7" s="6"/>
      <c r="I7" s="6"/>
      <c r="J7" s="6"/>
      <c r="K7" s="6"/>
      <c r="L7" s="6"/>
      <c r="M7" s="6"/>
      <c r="N7" s="6"/>
      <c r="O7" s="6"/>
      <c r="P7" s="6"/>
      <c r="Q7" s="6"/>
      <c r="R7" s="6"/>
      <c r="S7" s="6"/>
      <c r="T7" s="6"/>
      <c r="U7" s="6"/>
      <c r="V7" s="6"/>
      <c r="W7" s="6"/>
      <c r="X7" s="6"/>
    </row>
    <row r="8" customFormat="false" ht="42" hidden="false" customHeight="true" outlineLevel="0" collapsed="false">
      <c r="A8" s="56" t="s">
        <v>377</v>
      </c>
      <c r="B8" s="56" t="s">
        <v>431</v>
      </c>
      <c r="C8" s="56" t="s">
        <v>432</v>
      </c>
      <c r="D8" s="56" t="s">
        <v>433</v>
      </c>
      <c r="E8" s="56" t="s">
        <v>388</v>
      </c>
      <c r="F8" s="56" t="s">
        <v>434</v>
      </c>
      <c r="G8" s="56" t="s">
        <v>435</v>
      </c>
      <c r="H8" s="56" t="s">
        <v>436</v>
      </c>
      <c r="I8" s="2"/>
      <c r="J8" s="56" t="s">
        <v>437</v>
      </c>
      <c r="K8" s="56" t="s">
        <v>437</v>
      </c>
      <c r="L8" s="56" t="s">
        <v>437</v>
      </c>
      <c r="M8" s="56" t="s">
        <v>437</v>
      </c>
      <c r="N8" s="56" t="s">
        <v>437</v>
      </c>
      <c r="O8" s="56" t="s">
        <v>437</v>
      </c>
      <c r="P8" s="56" t="s">
        <v>437</v>
      </c>
      <c r="Q8" s="56" t="s">
        <v>437</v>
      </c>
      <c r="R8" s="56" t="s">
        <v>437</v>
      </c>
      <c r="S8" s="56" t="s">
        <v>437</v>
      </c>
      <c r="T8" s="56" t="s">
        <v>437</v>
      </c>
      <c r="U8" s="56" t="s">
        <v>437</v>
      </c>
      <c r="V8" s="56" t="s">
        <v>437</v>
      </c>
      <c r="W8" s="56" t="s">
        <v>438</v>
      </c>
      <c r="X8" s="2"/>
    </row>
    <row r="9" customFormat="false" ht="15" hidden="false" customHeight="false" outlineLevel="0" collapsed="false">
      <c r="A9" s="87" t="n">
        <v>1</v>
      </c>
      <c r="B9" s="55" t="s">
        <v>439</v>
      </c>
      <c r="C9" s="58" t="s">
        <v>186</v>
      </c>
      <c r="D9" s="79" t="n">
        <v>0</v>
      </c>
      <c r="E9" s="80" t="n">
        <v>60</v>
      </c>
      <c r="F9" s="88" t="n">
        <v>55000</v>
      </c>
      <c r="G9" s="58" t="s">
        <v>320</v>
      </c>
      <c r="H9" s="80" t="n">
        <v>1</v>
      </c>
      <c r="I9" s="2"/>
      <c r="J9" s="88"/>
      <c r="K9" s="88"/>
      <c r="L9" s="88"/>
      <c r="M9" s="88"/>
      <c r="N9" s="88"/>
      <c r="O9" s="88"/>
      <c r="P9" s="88" t="n">
        <v>-35000</v>
      </c>
      <c r="Q9" s="88" t="n">
        <v>-45000</v>
      </c>
      <c r="R9" s="88"/>
      <c r="S9" s="88"/>
      <c r="T9" s="88"/>
      <c r="U9" s="88"/>
      <c r="V9" s="88"/>
      <c r="W9" s="92" t="n">
        <f aca="false">W23</f>
        <v>635000</v>
      </c>
      <c r="X9" s="2"/>
    </row>
    <row r="10" customFormat="false" ht="15" hidden="false" customHeight="false" outlineLevel="0" collapsed="false">
      <c r="A10" s="87" t="n">
        <v>2</v>
      </c>
      <c r="B10" s="55" t="s">
        <v>440</v>
      </c>
      <c r="C10" s="58" t="s">
        <v>186</v>
      </c>
      <c r="D10" s="79" t="n">
        <v>0</v>
      </c>
      <c r="E10" s="80" t="n">
        <v>45</v>
      </c>
      <c r="F10" s="88" t="n">
        <v>22000</v>
      </c>
      <c r="G10" s="58" t="s">
        <v>320</v>
      </c>
      <c r="H10" s="80" t="n">
        <v>1</v>
      </c>
      <c r="I10" s="2"/>
      <c r="J10" s="88"/>
      <c r="K10" s="88"/>
      <c r="L10" s="88"/>
      <c r="M10" s="88"/>
      <c r="N10" s="88"/>
      <c r="O10" s="88"/>
      <c r="P10" s="88" t="n">
        <v>-12000</v>
      </c>
      <c r="Q10" s="88" t="n">
        <v>-16000</v>
      </c>
      <c r="R10" s="88"/>
      <c r="S10" s="88"/>
      <c r="T10" s="88"/>
      <c r="U10" s="88"/>
      <c r="V10" s="88"/>
      <c r="W10" s="92" t="n">
        <f aca="false">W24</f>
        <v>258000</v>
      </c>
      <c r="X10" s="2"/>
    </row>
    <row r="11" customFormat="false" ht="15" hidden="false" customHeight="false" outlineLevel="0" collapsed="false">
      <c r="A11" s="87" t="n">
        <v>3</v>
      </c>
      <c r="B11" s="55"/>
      <c r="C11" s="58"/>
      <c r="D11" s="79"/>
      <c r="E11" s="80"/>
      <c r="F11" s="88"/>
      <c r="G11" s="58"/>
      <c r="H11" s="80"/>
      <c r="I11" s="2"/>
      <c r="J11" s="88"/>
      <c r="K11" s="88"/>
      <c r="L11" s="88"/>
      <c r="M11" s="88"/>
      <c r="N11" s="88"/>
      <c r="O11" s="88"/>
      <c r="P11" s="88"/>
      <c r="Q11" s="88"/>
      <c r="R11" s="88"/>
      <c r="S11" s="88"/>
      <c r="T11" s="88"/>
      <c r="U11" s="88"/>
      <c r="V11" s="88"/>
      <c r="W11" s="92" t="n">
        <f aca="false">W25</f>
        <v>0</v>
      </c>
      <c r="X11" s="2"/>
    </row>
    <row r="12" customFormat="false" ht="15" hidden="false" customHeight="false" outlineLevel="0" collapsed="false">
      <c r="A12" s="87" t="n">
        <v>4</v>
      </c>
      <c r="B12" s="55"/>
      <c r="C12" s="58"/>
      <c r="D12" s="79"/>
      <c r="E12" s="80"/>
      <c r="F12" s="88"/>
      <c r="G12" s="58"/>
      <c r="H12" s="80"/>
      <c r="I12" s="2"/>
      <c r="J12" s="88"/>
      <c r="K12" s="88"/>
      <c r="L12" s="88"/>
      <c r="M12" s="88"/>
      <c r="N12" s="88"/>
      <c r="O12" s="88"/>
      <c r="P12" s="88"/>
      <c r="Q12" s="88"/>
      <c r="R12" s="88"/>
      <c r="S12" s="88"/>
      <c r="T12" s="88"/>
      <c r="U12" s="88"/>
      <c r="V12" s="88"/>
      <c r="W12" s="92" t="n">
        <f aca="false">W26</f>
        <v>0</v>
      </c>
      <c r="X12" s="2"/>
    </row>
    <row r="13" customFormat="false" ht="15" hidden="false" customHeight="false" outlineLevel="0" collapsed="false">
      <c r="A13" s="87" t="n">
        <v>5</v>
      </c>
      <c r="B13" s="55"/>
      <c r="C13" s="58"/>
      <c r="D13" s="79"/>
      <c r="E13" s="80"/>
      <c r="F13" s="88"/>
      <c r="G13" s="58"/>
      <c r="H13" s="80"/>
      <c r="I13" s="2"/>
      <c r="J13" s="88"/>
      <c r="K13" s="88"/>
      <c r="L13" s="88"/>
      <c r="M13" s="88"/>
      <c r="N13" s="88"/>
      <c r="O13" s="88"/>
      <c r="P13" s="88"/>
      <c r="Q13" s="88"/>
      <c r="R13" s="88"/>
      <c r="S13" s="88"/>
      <c r="T13" s="88"/>
      <c r="U13" s="88"/>
      <c r="V13" s="88"/>
      <c r="W13" s="92" t="n">
        <f aca="false">W27</f>
        <v>0</v>
      </c>
      <c r="X13" s="2"/>
    </row>
    <row r="14" customFormat="false" ht="15" hidden="false" customHeight="false" outlineLevel="0" collapsed="false">
      <c r="A14" s="87" t="n">
        <v>6</v>
      </c>
      <c r="B14" s="55"/>
      <c r="C14" s="58"/>
      <c r="D14" s="79"/>
      <c r="E14" s="80"/>
      <c r="F14" s="88"/>
      <c r="G14" s="58"/>
      <c r="H14" s="80"/>
      <c r="I14" s="2"/>
      <c r="J14" s="88"/>
      <c r="K14" s="88"/>
      <c r="L14" s="88"/>
      <c r="M14" s="88"/>
      <c r="N14" s="88"/>
      <c r="O14" s="88"/>
      <c r="P14" s="88"/>
      <c r="Q14" s="88"/>
      <c r="R14" s="88"/>
      <c r="S14" s="88"/>
      <c r="T14" s="88"/>
      <c r="U14" s="88"/>
      <c r="V14" s="88"/>
      <c r="W14" s="92" t="n">
        <f aca="false">W28</f>
        <v>0</v>
      </c>
      <c r="X14" s="2"/>
    </row>
    <row r="15" customFormat="false" ht="15" hidden="false" customHeight="false" outlineLevel="0" collapsed="false">
      <c r="A15" s="87" t="n">
        <v>7</v>
      </c>
      <c r="B15" s="55"/>
      <c r="C15" s="58"/>
      <c r="D15" s="79"/>
      <c r="E15" s="80"/>
      <c r="F15" s="88"/>
      <c r="G15" s="58"/>
      <c r="H15" s="80"/>
      <c r="I15" s="2"/>
      <c r="J15" s="88"/>
      <c r="K15" s="88"/>
      <c r="L15" s="88"/>
      <c r="M15" s="88"/>
      <c r="N15" s="88"/>
      <c r="O15" s="88"/>
      <c r="P15" s="88"/>
      <c r="Q15" s="88"/>
      <c r="R15" s="88"/>
      <c r="S15" s="88"/>
      <c r="T15" s="88"/>
      <c r="U15" s="88"/>
      <c r="V15" s="88"/>
      <c r="W15" s="92" t="n">
        <f aca="false">W29</f>
        <v>0</v>
      </c>
      <c r="X15" s="2"/>
    </row>
    <row r="16" customFormat="false" ht="15" hidden="false" customHeight="false" outlineLevel="0" collapsed="false">
      <c r="A16" s="87" t="n">
        <v>8</v>
      </c>
      <c r="B16" s="55"/>
      <c r="C16" s="58"/>
      <c r="D16" s="79"/>
      <c r="E16" s="80"/>
      <c r="F16" s="88"/>
      <c r="G16" s="58"/>
      <c r="H16" s="80"/>
      <c r="I16" s="2"/>
      <c r="J16" s="88"/>
      <c r="K16" s="88"/>
      <c r="L16" s="88"/>
      <c r="M16" s="88"/>
      <c r="N16" s="88"/>
      <c r="O16" s="88"/>
      <c r="P16" s="88"/>
      <c r="Q16" s="88"/>
      <c r="R16" s="88"/>
      <c r="S16" s="88"/>
      <c r="T16" s="88"/>
      <c r="U16" s="88"/>
      <c r="V16" s="88"/>
      <c r="W16" s="92" t="n">
        <f aca="false">W30</f>
        <v>0</v>
      </c>
      <c r="X16" s="2"/>
    </row>
    <row r="17" customFormat="false" ht="15" hidden="false" customHeight="false" outlineLevel="0" collapsed="false">
      <c r="A17" s="87" t="n">
        <v>9</v>
      </c>
      <c r="B17" s="55"/>
      <c r="C17" s="58"/>
      <c r="D17" s="79"/>
      <c r="E17" s="80"/>
      <c r="F17" s="88"/>
      <c r="G17" s="58"/>
      <c r="H17" s="80"/>
      <c r="I17" s="2"/>
      <c r="J17" s="88"/>
      <c r="K17" s="88"/>
      <c r="L17" s="88"/>
      <c r="M17" s="88"/>
      <c r="N17" s="88"/>
      <c r="O17" s="88"/>
      <c r="P17" s="88"/>
      <c r="Q17" s="88"/>
      <c r="R17" s="88"/>
      <c r="S17" s="88"/>
      <c r="T17" s="88"/>
      <c r="U17" s="88"/>
      <c r="V17" s="88"/>
      <c r="W17" s="92" t="n">
        <f aca="false">W31</f>
        <v>0</v>
      </c>
      <c r="X17" s="2"/>
    </row>
    <row r="18" customFormat="false" ht="15" hidden="false" customHeight="false" outlineLevel="0" collapsed="false">
      <c r="A18" s="87" t="n">
        <v>10</v>
      </c>
      <c r="B18" s="55"/>
      <c r="C18" s="58"/>
      <c r="D18" s="79"/>
      <c r="E18" s="80"/>
      <c r="F18" s="88"/>
      <c r="G18" s="58"/>
      <c r="H18" s="80"/>
      <c r="I18" s="2"/>
      <c r="J18" s="88"/>
      <c r="K18" s="88"/>
      <c r="L18" s="88"/>
      <c r="M18" s="88"/>
      <c r="N18" s="88"/>
      <c r="O18" s="88"/>
      <c r="P18" s="88"/>
      <c r="Q18" s="88"/>
      <c r="R18" s="88"/>
      <c r="S18" s="88"/>
      <c r="T18" s="88"/>
      <c r="U18" s="88"/>
      <c r="V18" s="88"/>
      <c r="W18" s="92" t="n">
        <f aca="false">W32</f>
        <v>0</v>
      </c>
      <c r="X18" s="2"/>
    </row>
    <row r="19" customFormat="false" ht="15" hidden="false" customHeight="false" outlineLevel="0" collapsed="false">
      <c r="A19" s="2"/>
      <c r="B19" s="2"/>
      <c r="C19" s="2"/>
      <c r="D19" s="2"/>
      <c r="E19" s="2"/>
      <c r="F19" s="2"/>
      <c r="G19" s="2"/>
      <c r="H19" s="2"/>
      <c r="I19" s="2"/>
      <c r="J19" s="2"/>
      <c r="K19" s="2"/>
      <c r="L19" s="2"/>
      <c r="M19" s="2"/>
      <c r="N19" s="2"/>
      <c r="O19" s="2"/>
      <c r="P19" s="2"/>
      <c r="Q19" s="2"/>
      <c r="R19" s="2"/>
      <c r="S19" s="2"/>
      <c r="T19" s="2"/>
      <c r="U19" s="2"/>
      <c r="V19" s="2"/>
      <c r="W19" s="2"/>
      <c r="X19" s="2"/>
    </row>
    <row r="20" customFormat="false" ht="15" hidden="false" customHeight="false" outlineLevel="0" collapsed="false">
      <c r="A20" s="2"/>
      <c r="B20" s="2"/>
      <c r="C20" s="2"/>
      <c r="D20" s="2"/>
      <c r="E20" s="2"/>
      <c r="F20" s="2"/>
      <c r="G20" s="2"/>
      <c r="H20" s="2"/>
      <c r="I20" s="2"/>
      <c r="J20" s="2"/>
      <c r="K20" s="2"/>
      <c r="L20" s="2"/>
      <c r="M20" s="2"/>
      <c r="N20" s="2"/>
      <c r="O20" s="2"/>
      <c r="P20" s="2"/>
      <c r="Q20" s="2"/>
      <c r="R20" s="2"/>
      <c r="S20" s="2"/>
      <c r="T20" s="2"/>
      <c r="U20" s="2"/>
      <c r="V20" s="2"/>
      <c r="W20" s="2"/>
      <c r="X20" s="2"/>
    </row>
    <row r="21" customFormat="false" ht="15" hidden="false" customHeight="false" outlineLevel="0" collapsed="false">
      <c r="A21" s="5" t="s">
        <v>441</v>
      </c>
      <c r="B21" s="6"/>
      <c r="C21" s="6"/>
      <c r="D21" s="6"/>
      <c r="E21" s="6"/>
      <c r="F21" s="6"/>
      <c r="G21" s="6"/>
      <c r="H21" s="6"/>
      <c r="I21" s="6"/>
      <c r="J21" s="6"/>
      <c r="K21" s="6"/>
      <c r="L21" s="6"/>
      <c r="M21" s="6"/>
      <c r="N21" s="6"/>
      <c r="O21" s="6"/>
      <c r="P21" s="6"/>
      <c r="Q21" s="6"/>
      <c r="R21" s="6"/>
      <c r="S21" s="6"/>
      <c r="T21" s="6"/>
      <c r="U21" s="6"/>
      <c r="V21" s="6"/>
      <c r="W21" s="6"/>
      <c r="X21" s="6"/>
    </row>
    <row r="22" customFormat="false" ht="23.85" hidden="false" customHeight="false" outlineLevel="0" collapsed="false">
      <c r="A22" s="2"/>
      <c r="B22" s="56" t="s">
        <v>442</v>
      </c>
      <c r="C22" s="56" t="s">
        <v>443</v>
      </c>
      <c r="D22" s="56" t="s">
        <v>444</v>
      </c>
      <c r="E22" s="56" t="s">
        <v>403</v>
      </c>
      <c r="F22" s="56" t="s">
        <v>445</v>
      </c>
      <c r="G22" s="2"/>
      <c r="H22" s="56" t="s">
        <v>436</v>
      </c>
      <c r="I22" s="2"/>
      <c r="J22" s="2"/>
      <c r="K22" s="2"/>
      <c r="L22" s="2"/>
      <c r="M22" s="2"/>
      <c r="N22" s="2"/>
      <c r="O22" s="2"/>
      <c r="P22" s="2"/>
      <c r="Q22" s="2"/>
      <c r="R22" s="2"/>
      <c r="S22" s="2"/>
      <c r="T22" s="2"/>
      <c r="U22" s="2"/>
      <c r="V22" s="2"/>
      <c r="W22" s="56" t="s">
        <v>438</v>
      </c>
      <c r="X22" s="2"/>
    </row>
    <row r="23" customFormat="false" ht="15" hidden="false" customHeight="false" outlineLevel="0" collapsed="false">
      <c r="A23" s="2"/>
      <c r="B23" s="9" t="str">
        <f aca="false">IF(B9="","",B9)</f>
        <v>Contract fabrication (large accounts)</v>
      </c>
      <c r="C23" s="96" t="n">
        <f aca="false">IF(AND(Setup!$D$16="Yes",C9&lt;&gt;"No"),1+Setup!$D$17,1)</f>
        <v>1.2</v>
      </c>
      <c r="D23" s="97" t="n">
        <f aca="false">IF(D9="",0,MIN(1,D9))</f>
        <v>0</v>
      </c>
      <c r="E23" s="98" t="n">
        <f aca="false">IF(E9="",Setup!$D$20,E9)</f>
        <v>60</v>
      </c>
      <c r="F23" s="92" t="n">
        <f aca="false">IF(G9="Month",N(F9)*12/52,N(F9))</f>
        <v>55000</v>
      </c>
      <c r="G23" s="2"/>
      <c r="H23" s="98" t="n">
        <f aca="false">MAX(1,N(H9))</f>
        <v>1</v>
      </c>
      <c r="I23" s="2"/>
      <c r="J23" s="53" t="n">
        <f aca="false">$F23*(Lists!C$20&gt;=$H23)+N(J9)</f>
        <v>55000</v>
      </c>
      <c r="K23" s="53" t="n">
        <f aca="false">$F23*(Lists!D$20&gt;=$H23)+N(K9)</f>
        <v>55000</v>
      </c>
      <c r="L23" s="53" t="n">
        <f aca="false">$F23*(Lists!E$20&gt;=$H23)+N(L9)</f>
        <v>55000</v>
      </c>
      <c r="M23" s="53" t="n">
        <f aca="false">$F23*(Lists!F$20&gt;=$H23)+N(M9)</f>
        <v>55000</v>
      </c>
      <c r="N23" s="53" t="n">
        <f aca="false">$F23*(Lists!G$20&gt;=$H23)+N(N9)</f>
        <v>55000</v>
      </c>
      <c r="O23" s="53" t="n">
        <f aca="false">$F23*(Lists!H$20&gt;=$H23)+N(O9)</f>
        <v>55000</v>
      </c>
      <c r="P23" s="53" t="n">
        <f aca="false">$F23*(Lists!I$20&gt;=$H23)+N(P9)</f>
        <v>20000</v>
      </c>
      <c r="Q23" s="53" t="n">
        <f aca="false">$F23*(Lists!J$20&gt;=$H23)+N(Q9)</f>
        <v>10000</v>
      </c>
      <c r="R23" s="53" t="n">
        <f aca="false">$F23*(Lists!K$20&gt;=$H23)+N(R9)</f>
        <v>55000</v>
      </c>
      <c r="S23" s="53" t="n">
        <f aca="false">$F23*(Lists!L$20&gt;=$H23)+N(S9)</f>
        <v>55000</v>
      </c>
      <c r="T23" s="53" t="n">
        <f aca="false">$F23*(Lists!M$20&gt;=$H23)+N(T9)</f>
        <v>55000</v>
      </c>
      <c r="U23" s="53" t="n">
        <f aca="false">$F23*(Lists!N$20&gt;=$H23)+N(U9)</f>
        <v>55000</v>
      </c>
      <c r="V23" s="53" t="n">
        <f aca="false">$F23*(Lists!O$20&gt;=$H23)+N(V9)</f>
        <v>55000</v>
      </c>
      <c r="W23" s="46" t="n">
        <f aca="false">SUM(J23:V23)</f>
        <v>635000</v>
      </c>
      <c r="X23" s="2"/>
    </row>
    <row r="24" customFormat="false" ht="15" hidden="false" customHeight="false" outlineLevel="0" collapsed="false">
      <c r="A24" s="2"/>
      <c r="B24" s="9" t="str">
        <f aca="false">IF(B10="","",B10)</f>
        <v>Repeat orders (smaller customers)</v>
      </c>
      <c r="C24" s="96" t="n">
        <f aca="false">IF(AND(Setup!$D$16="Yes",C10&lt;&gt;"No"),1+Setup!$D$17,1)</f>
        <v>1.2</v>
      </c>
      <c r="D24" s="97" t="n">
        <f aca="false">IF(D10="",0,MIN(1,D10))</f>
        <v>0</v>
      </c>
      <c r="E24" s="98" t="n">
        <f aca="false">IF(E10="",Setup!$D$20,E10)</f>
        <v>45</v>
      </c>
      <c r="F24" s="92" t="n">
        <f aca="false">IF(G10="Month",N(F10)*12/52,N(F10))</f>
        <v>22000</v>
      </c>
      <c r="G24" s="2"/>
      <c r="H24" s="98" t="n">
        <f aca="false">MAX(1,N(H10))</f>
        <v>1</v>
      </c>
      <c r="I24" s="2"/>
      <c r="J24" s="53" t="n">
        <f aca="false">$F24*(Lists!C$20&gt;=$H24)+N(J10)</f>
        <v>22000</v>
      </c>
      <c r="K24" s="53" t="n">
        <f aca="false">$F24*(Lists!D$20&gt;=$H24)+N(K10)</f>
        <v>22000</v>
      </c>
      <c r="L24" s="53" t="n">
        <f aca="false">$F24*(Lists!E$20&gt;=$H24)+N(L10)</f>
        <v>22000</v>
      </c>
      <c r="M24" s="53" t="n">
        <f aca="false">$F24*(Lists!F$20&gt;=$H24)+N(M10)</f>
        <v>22000</v>
      </c>
      <c r="N24" s="53" t="n">
        <f aca="false">$F24*(Lists!G$20&gt;=$H24)+N(N10)</f>
        <v>22000</v>
      </c>
      <c r="O24" s="53" t="n">
        <f aca="false">$F24*(Lists!H$20&gt;=$H24)+N(O10)</f>
        <v>22000</v>
      </c>
      <c r="P24" s="53" t="n">
        <f aca="false">$F24*(Lists!I$20&gt;=$H24)+N(P10)</f>
        <v>10000</v>
      </c>
      <c r="Q24" s="53" t="n">
        <f aca="false">$F24*(Lists!J$20&gt;=$H24)+N(Q10)</f>
        <v>6000</v>
      </c>
      <c r="R24" s="53" t="n">
        <f aca="false">$F24*(Lists!K$20&gt;=$H24)+N(R10)</f>
        <v>22000</v>
      </c>
      <c r="S24" s="53" t="n">
        <f aca="false">$F24*(Lists!L$20&gt;=$H24)+N(S10)</f>
        <v>22000</v>
      </c>
      <c r="T24" s="53" t="n">
        <f aca="false">$F24*(Lists!M$20&gt;=$H24)+N(T10)</f>
        <v>22000</v>
      </c>
      <c r="U24" s="53" t="n">
        <f aca="false">$F24*(Lists!N$20&gt;=$H24)+N(U10)</f>
        <v>22000</v>
      </c>
      <c r="V24" s="53" t="n">
        <f aca="false">$F24*(Lists!O$20&gt;=$H24)+N(V10)</f>
        <v>22000</v>
      </c>
      <c r="W24" s="46" t="n">
        <f aca="false">SUM(J24:V24)</f>
        <v>258000</v>
      </c>
      <c r="X24" s="2"/>
    </row>
    <row r="25" customFormat="false" ht="15" hidden="false" customHeight="false" outlineLevel="0" collapsed="false">
      <c r="A25" s="2"/>
      <c r="B25" s="9" t="str">
        <f aca="false">IF(B11="","",B11)</f>
        <v/>
      </c>
      <c r="C25" s="96" t="n">
        <f aca="false">IF(AND(Setup!$D$16="Yes",C11&lt;&gt;"No"),1+Setup!$D$17,1)</f>
        <v>1.2</v>
      </c>
      <c r="D25" s="97" t="n">
        <f aca="false">IF(D11="",0,MIN(1,D11))</f>
        <v>0</v>
      </c>
      <c r="E25" s="98" t="n">
        <f aca="false">IF(E11="",Setup!$D$20,E11)</f>
        <v>60</v>
      </c>
      <c r="F25" s="92" t="n">
        <f aca="false">IF(G11="Month",N(F11)*12/52,N(F11))</f>
        <v>0</v>
      </c>
      <c r="G25" s="2"/>
      <c r="H25" s="98" t="n">
        <f aca="false">MAX(1,N(H11))</f>
        <v>1</v>
      </c>
      <c r="I25" s="2"/>
      <c r="J25" s="53" t="n">
        <f aca="false">$F25*(Lists!C$20&gt;=$H25)+N(J11)</f>
        <v>0</v>
      </c>
      <c r="K25" s="53" t="n">
        <f aca="false">$F25*(Lists!D$20&gt;=$H25)+N(K11)</f>
        <v>0</v>
      </c>
      <c r="L25" s="53" t="n">
        <f aca="false">$F25*(Lists!E$20&gt;=$H25)+N(L11)</f>
        <v>0</v>
      </c>
      <c r="M25" s="53" t="n">
        <f aca="false">$F25*(Lists!F$20&gt;=$H25)+N(M11)</f>
        <v>0</v>
      </c>
      <c r="N25" s="53" t="n">
        <f aca="false">$F25*(Lists!G$20&gt;=$H25)+N(N11)</f>
        <v>0</v>
      </c>
      <c r="O25" s="53" t="n">
        <f aca="false">$F25*(Lists!H$20&gt;=$H25)+N(O11)</f>
        <v>0</v>
      </c>
      <c r="P25" s="53" t="n">
        <f aca="false">$F25*(Lists!I$20&gt;=$H25)+N(P11)</f>
        <v>0</v>
      </c>
      <c r="Q25" s="53" t="n">
        <f aca="false">$F25*(Lists!J$20&gt;=$H25)+N(Q11)</f>
        <v>0</v>
      </c>
      <c r="R25" s="53" t="n">
        <f aca="false">$F25*(Lists!K$20&gt;=$H25)+N(R11)</f>
        <v>0</v>
      </c>
      <c r="S25" s="53" t="n">
        <f aca="false">$F25*(Lists!L$20&gt;=$H25)+N(S11)</f>
        <v>0</v>
      </c>
      <c r="T25" s="53" t="n">
        <f aca="false">$F25*(Lists!M$20&gt;=$H25)+N(T11)</f>
        <v>0</v>
      </c>
      <c r="U25" s="53" t="n">
        <f aca="false">$F25*(Lists!N$20&gt;=$H25)+N(U11)</f>
        <v>0</v>
      </c>
      <c r="V25" s="53" t="n">
        <f aca="false">$F25*(Lists!O$20&gt;=$H25)+N(V11)</f>
        <v>0</v>
      </c>
      <c r="W25" s="46" t="n">
        <f aca="false">SUM(J25:V25)</f>
        <v>0</v>
      </c>
      <c r="X25" s="2"/>
    </row>
    <row r="26" customFormat="false" ht="15" hidden="false" customHeight="false" outlineLevel="0" collapsed="false">
      <c r="A26" s="2"/>
      <c r="B26" s="9" t="str">
        <f aca="false">IF(B12="","",B12)</f>
        <v/>
      </c>
      <c r="C26" s="96" t="n">
        <f aca="false">IF(AND(Setup!$D$16="Yes",C12&lt;&gt;"No"),1+Setup!$D$17,1)</f>
        <v>1.2</v>
      </c>
      <c r="D26" s="97" t="n">
        <f aca="false">IF(D12="",0,MIN(1,D12))</f>
        <v>0</v>
      </c>
      <c r="E26" s="98" t="n">
        <f aca="false">IF(E12="",Setup!$D$20,E12)</f>
        <v>60</v>
      </c>
      <c r="F26" s="92" t="n">
        <f aca="false">IF(G12="Month",N(F12)*12/52,N(F12))</f>
        <v>0</v>
      </c>
      <c r="G26" s="2"/>
      <c r="H26" s="98" t="n">
        <f aca="false">MAX(1,N(H12))</f>
        <v>1</v>
      </c>
      <c r="I26" s="2"/>
      <c r="J26" s="53" t="n">
        <f aca="false">$F26*(Lists!C$20&gt;=$H26)+N(J12)</f>
        <v>0</v>
      </c>
      <c r="K26" s="53" t="n">
        <f aca="false">$F26*(Lists!D$20&gt;=$H26)+N(K12)</f>
        <v>0</v>
      </c>
      <c r="L26" s="53" t="n">
        <f aca="false">$F26*(Lists!E$20&gt;=$H26)+N(L12)</f>
        <v>0</v>
      </c>
      <c r="M26" s="53" t="n">
        <f aca="false">$F26*(Lists!F$20&gt;=$H26)+N(M12)</f>
        <v>0</v>
      </c>
      <c r="N26" s="53" t="n">
        <f aca="false">$F26*(Lists!G$20&gt;=$H26)+N(N12)</f>
        <v>0</v>
      </c>
      <c r="O26" s="53" t="n">
        <f aca="false">$F26*(Lists!H$20&gt;=$H26)+N(O12)</f>
        <v>0</v>
      </c>
      <c r="P26" s="53" t="n">
        <f aca="false">$F26*(Lists!I$20&gt;=$H26)+N(P12)</f>
        <v>0</v>
      </c>
      <c r="Q26" s="53" t="n">
        <f aca="false">$F26*(Lists!J$20&gt;=$H26)+N(Q12)</f>
        <v>0</v>
      </c>
      <c r="R26" s="53" t="n">
        <f aca="false">$F26*(Lists!K$20&gt;=$H26)+N(R12)</f>
        <v>0</v>
      </c>
      <c r="S26" s="53" t="n">
        <f aca="false">$F26*(Lists!L$20&gt;=$H26)+N(S12)</f>
        <v>0</v>
      </c>
      <c r="T26" s="53" t="n">
        <f aca="false">$F26*(Lists!M$20&gt;=$H26)+N(T12)</f>
        <v>0</v>
      </c>
      <c r="U26" s="53" t="n">
        <f aca="false">$F26*(Lists!N$20&gt;=$H26)+N(U12)</f>
        <v>0</v>
      </c>
      <c r="V26" s="53" t="n">
        <f aca="false">$F26*(Lists!O$20&gt;=$H26)+N(V12)</f>
        <v>0</v>
      </c>
      <c r="W26" s="46" t="n">
        <f aca="false">SUM(J26:V26)</f>
        <v>0</v>
      </c>
      <c r="X26" s="2"/>
    </row>
    <row r="27" customFormat="false" ht="15" hidden="false" customHeight="false" outlineLevel="0" collapsed="false">
      <c r="A27" s="2"/>
      <c r="B27" s="9" t="str">
        <f aca="false">IF(B13="","",B13)</f>
        <v/>
      </c>
      <c r="C27" s="96" t="n">
        <f aca="false">IF(AND(Setup!$D$16="Yes",C13&lt;&gt;"No"),1+Setup!$D$17,1)</f>
        <v>1.2</v>
      </c>
      <c r="D27" s="97" t="n">
        <f aca="false">IF(D13="",0,MIN(1,D13))</f>
        <v>0</v>
      </c>
      <c r="E27" s="98" t="n">
        <f aca="false">IF(E13="",Setup!$D$20,E13)</f>
        <v>60</v>
      </c>
      <c r="F27" s="92" t="n">
        <f aca="false">IF(G13="Month",N(F13)*12/52,N(F13))</f>
        <v>0</v>
      </c>
      <c r="G27" s="2"/>
      <c r="H27" s="98" t="n">
        <f aca="false">MAX(1,N(H13))</f>
        <v>1</v>
      </c>
      <c r="I27" s="2"/>
      <c r="J27" s="53" t="n">
        <f aca="false">$F27*(Lists!C$20&gt;=$H27)+N(J13)</f>
        <v>0</v>
      </c>
      <c r="K27" s="53" t="n">
        <f aca="false">$F27*(Lists!D$20&gt;=$H27)+N(K13)</f>
        <v>0</v>
      </c>
      <c r="L27" s="53" t="n">
        <f aca="false">$F27*(Lists!E$20&gt;=$H27)+N(L13)</f>
        <v>0</v>
      </c>
      <c r="M27" s="53" t="n">
        <f aca="false">$F27*(Lists!F$20&gt;=$H27)+N(M13)</f>
        <v>0</v>
      </c>
      <c r="N27" s="53" t="n">
        <f aca="false">$F27*(Lists!G$20&gt;=$H27)+N(N13)</f>
        <v>0</v>
      </c>
      <c r="O27" s="53" t="n">
        <f aca="false">$F27*(Lists!H$20&gt;=$H27)+N(O13)</f>
        <v>0</v>
      </c>
      <c r="P27" s="53" t="n">
        <f aca="false">$F27*(Lists!I$20&gt;=$H27)+N(P13)</f>
        <v>0</v>
      </c>
      <c r="Q27" s="53" t="n">
        <f aca="false">$F27*(Lists!J$20&gt;=$H27)+N(Q13)</f>
        <v>0</v>
      </c>
      <c r="R27" s="53" t="n">
        <f aca="false">$F27*(Lists!K$20&gt;=$H27)+N(R13)</f>
        <v>0</v>
      </c>
      <c r="S27" s="53" t="n">
        <f aca="false">$F27*(Lists!L$20&gt;=$H27)+N(S13)</f>
        <v>0</v>
      </c>
      <c r="T27" s="53" t="n">
        <f aca="false">$F27*(Lists!M$20&gt;=$H27)+N(T13)</f>
        <v>0</v>
      </c>
      <c r="U27" s="53" t="n">
        <f aca="false">$F27*(Lists!N$20&gt;=$H27)+N(U13)</f>
        <v>0</v>
      </c>
      <c r="V27" s="53" t="n">
        <f aca="false">$F27*(Lists!O$20&gt;=$H27)+N(V13)</f>
        <v>0</v>
      </c>
      <c r="W27" s="46" t="n">
        <f aca="false">SUM(J27:V27)</f>
        <v>0</v>
      </c>
      <c r="X27" s="2"/>
    </row>
    <row r="28" customFormat="false" ht="15" hidden="false" customHeight="false" outlineLevel="0" collapsed="false">
      <c r="A28" s="2"/>
      <c r="B28" s="9" t="str">
        <f aca="false">IF(B14="","",B14)</f>
        <v/>
      </c>
      <c r="C28" s="96" t="n">
        <f aca="false">IF(AND(Setup!$D$16="Yes",C14&lt;&gt;"No"),1+Setup!$D$17,1)</f>
        <v>1.2</v>
      </c>
      <c r="D28" s="97" t="n">
        <f aca="false">IF(D14="",0,MIN(1,D14))</f>
        <v>0</v>
      </c>
      <c r="E28" s="98" t="n">
        <f aca="false">IF(E14="",Setup!$D$20,E14)</f>
        <v>60</v>
      </c>
      <c r="F28" s="92" t="n">
        <f aca="false">IF(G14="Month",N(F14)*12/52,N(F14))</f>
        <v>0</v>
      </c>
      <c r="G28" s="2"/>
      <c r="H28" s="98" t="n">
        <f aca="false">MAX(1,N(H14))</f>
        <v>1</v>
      </c>
      <c r="I28" s="2"/>
      <c r="J28" s="53" t="n">
        <f aca="false">$F28*(Lists!C$20&gt;=$H28)+N(J14)</f>
        <v>0</v>
      </c>
      <c r="K28" s="53" t="n">
        <f aca="false">$F28*(Lists!D$20&gt;=$H28)+N(K14)</f>
        <v>0</v>
      </c>
      <c r="L28" s="53" t="n">
        <f aca="false">$F28*(Lists!E$20&gt;=$H28)+N(L14)</f>
        <v>0</v>
      </c>
      <c r="M28" s="53" t="n">
        <f aca="false">$F28*(Lists!F$20&gt;=$H28)+N(M14)</f>
        <v>0</v>
      </c>
      <c r="N28" s="53" t="n">
        <f aca="false">$F28*(Lists!G$20&gt;=$H28)+N(N14)</f>
        <v>0</v>
      </c>
      <c r="O28" s="53" t="n">
        <f aca="false">$F28*(Lists!H$20&gt;=$H28)+N(O14)</f>
        <v>0</v>
      </c>
      <c r="P28" s="53" t="n">
        <f aca="false">$F28*(Lists!I$20&gt;=$H28)+N(P14)</f>
        <v>0</v>
      </c>
      <c r="Q28" s="53" t="n">
        <f aca="false">$F28*(Lists!J$20&gt;=$H28)+N(Q14)</f>
        <v>0</v>
      </c>
      <c r="R28" s="53" t="n">
        <f aca="false">$F28*(Lists!K$20&gt;=$H28)+N(R14)</f>
        <v>0</v>
      </c>
      <c r="S28" s="53" t="n">
        <f aca="false">$F28*(Lists!L$20&gt;=$H28)+N(S14)</f>
        <v>0</v>
      </c>
      <c r="T28" s="53" t="n">
        <f aca="false">$F28*(Lists!M$20&gt;=$H28)+N(T14)</f>
        <v>0</v>
      </c>
      <c r="U28" s="53" t="n">
        <f aca="false">$F28*(Lists!N$20&gt;=$H28)+N(U14)</f>
        <v>0</v>
      </c>
      <c r="V28" s="53" t="n">
        <f aca="false">$F28*(Lists!O$20&gt;=$H28)+N(V14)</f>
        <v>0</v>
      </c>
      <c r="W28" s="46" t="n">
        <f aca="false">SUM(J28:V28)</f>
        <v>0</v>
      </c>
      <c r="X28" s="2"/>
    </row>
    <row r="29" customFormat="false" ht="15" hidden="false" customHeight="false" outlineLevel="0" collapsed="false">
      <c r="A29" s="2"/>
      <c r="B29" s="9" t="str">
        <f aca="false">IF(B15="","",B15)</f>
        <v/>
      </c>
      <c r="C29" s="96" t="n">
        <f aca="false">IF(AND(Setup!$D$16="Yes",C15&lt;&gt;"No"),1+Setup!$D$17,1)</f>
        <v>1.2</v>
      </c>
      <c r="D29" s="97" t="n">
        <f aca="false">IF(D15="",0,MIN(1,D15))</f>
        <v>0</v>
      </c>
      <c r="E29" s="98" t="n">
        <f aca="false">IF(E15="",Setup!$D$20,E15)</f>
        <v>60</v>
      </c>
      <c r="F29" s="92" t="n">
        <f aca="false">IF(G15="Month",N(F15)*12/52,N(F15))</f>
        <v>0</v>
      </c>
      <c r="G29" s="2"/>
      <c r="H29" s="98" t="n">
        <f aca="false">MAX(1,N(H15))</f>
        <v>1</v>
      </c>
      <c r="I29" s="2"/>
      <c r="J29" s="53" t="n">
        <f aca="false">$F29*(Lists!C$20&gt;=$H29)+N(J15)</f>
        <v>0</v>
      </c>
      <c r="K29" s="53" t="n">
        <f aca="false">$F29*(Lists!D$20&gt;=$H29)+N(K15)</f>
        <v>0</v>
      </c>
      <c r="L29" s="53" t="n">
        <f aca="false">$F29*(Lists!E$20&gt;=$H29)+N(L15)</f>
        <v>0</v>
      </c>
      <c r="M29" s="53" t="n">
        <f aca="false">$F29*(Lists!F$20&gt;=$H29)+N(M15)</f>
        <v>0</v>
      </c>
      <c r="N29" s="53" t="n">
        <f aca="false">$F29*(Lists!G$20&gt;=$H29)+N(N15)</f>
        <v>0</v>
      </c>
      <c r="O29" s="53" t="n">
        <f aca="false">$F29*(Lists!H$20&gt;=$H29)+N(O15)</f>
        <v>0</v>
      </c>
      <c r="P29" s="53" t="n">
        <f aca="false">$F29*(Lists!I$20&gt;=$H29)+N(P15)</f>
        <v>0</v>
      </c>
      <c r="Q29" s="53" t="n">
        <f aca="false">$F29*(Lists!J$20&gt;=$H29)+N(Q15)</f>
        <v>0</v>
      </c>
      <c r="R29" s="53" t="n">
        <f aca="false">$F29*(Lists!K$20&gt;=$H29)+N(R15)</f>
        <v>0</v>
      </c>
      <c r="S29" s="53" t="n">
        <f aca="false">$F29*(Lists!L$20&gt;=$H29)+N(S15)</f>
        <v>0</v>
      </c>
      <c r="T29" s="53" t="n">
        <f aca="false">$F29*(Lists!M$20&gt;=$H29)+N(T15)</f>
        <v>0</v>
      </c>
      <c r="U29" s="53" t="n">
        <f aca="false">$F29*(Lists!N$20&gt;=$H29)+N(U15)</f>
        <v>0</v>
      </c>
      <c r="V29" s="53" t="n">
        <f aca="false">$F29*(Lists!O$20&gt;=$H29)+N(V15)</f>
        <v>0</v>
      </c>
      <c r="W29" s="46" t="n">
        <f aca="false">SUM(J29:V29)</f>
        <v>0</v>
      </c>
      <c r="X29" s="2"/>
    </row>
    <row r="30" customFormat="false" ht="15" hidden="false" customHeight="false" outlineLevel="0" collapsed="false">
      <c r="A30" s="2"/>
      <c r="B30" s="9" t="str">
        <f aca="false">IF(B16="","",B16)</f>
        <v/>
      </c>
      <c r="C30" s="96" t="n">
        <f aca="false">IF(AND(Setup!$D$16="Yes",C16&lt;&gt;"No"),1+Setup!$D$17,1)</f>
        <v>1.2</v>
      </c>
      <c r="D30" s="97" t="n">
        <f aca="false">IF(D16="",0,MIN(1,D16))</f>
        <v>0</v>
      </c>
      <c r="E30" s="98" t="n">
        <f aca="false">IF(E16="",Setup!$D$20,E16)</f>
        <v>60</v>
      </c>
      <c r="F30" s="92" t="n">
        <f aca="false">IF(G16="Month",N(F16)*12/52,N(F16))</f>
        <v>0</v>
      </c>
      <c r="G30" s="2"/>
      <c r="H30" s="98" t="n">
        <f aca="false">MAX(1,N(H16))</f>
        <v>1</v>
      </c>
      <c r="I30" s="2"/>
      <c r="J30" s="53" t="n">
        <f aca="false">$F30*(Lists!C$20&gt;=$H30)+N(J16)</f>
        <v>0</v>
      </c>
      <c r="K30" s="53" t="n">
        <f aca="false">$F30*(Lists!D$20&gt;=$H30)+N(K16)</f>
        <v>0</v>
      </c>
      <c r="L30" s="53" t="n">
        <f aca="false">$F30*(Lists!E$20&gt;=$H30)+N(L16)</f>
        <v>0</v>
      </c>
      <c r="M30" s="53" t="n">
        <f aca="false">$F30*(Lists!F$20&gt;=$H30)+N(M16)</f>
        <v>0</v>
      </c>
      <c r="N30" s="53" t="n">
        <f aca="false">$F30*(Lists!G$20&gt;=$H30)+N(N16)</f>
        <v>0</v>
      </c>
      <c r="O30" s="53" t="n">
        <f aca="false">$F30*(Lists!H$20&gt;=$H30)+N(O16)</f>
        <v>0</v>
      </c>
      <c r="P30" s="53" t="n">
        <f aca="false">$F30*(Lists!I$20&gt;=$H30)+N(P16)</f>
        <v>0</v>
      </c>
      <c r="Q30" s="53" t="n">
        <f aca="false">$F30*(Lists!J$20&gt;=$H30)+N(Q16)</f>
        <v>0</v>
      </c>
      <c r="R30" s="53" t="n">
        <f aca="false">$F30*(Lists!K$20&gt;=$H30)+N(R16)</f>
        <v>0</v>
      </c>
      <c r="S30" s="53" t="n">
        <f aca="false">$F30*(Lists!L$20&gt;=$H30)+N(S16)</f>
        <v>0</v>
      </c>
      <c r="T30" s="53" t="n">
        <f aca="false">$F30*(Lists!M$20&gt;=$H30)+N(T16)</f>
        <v>0</v>
      </c>
      <c r="U30" s="53" t="n">
        <f aca="false">$F30*(Lists!N$20&gt;=$H30)+N(U16)</f>
        <v>0</v>
      </c>
      <c r="V30" s="53" t="n">
        <f aca="false">$F30*(Lists!O$20&gt;=$H30)+N(V16)</f>
        <v>0</v>
      </c>
      <c r="W30" s="46" t="n">
        <f aca="false">SUM(J30:V30)</f>
        <v>0</v>
      </c>
      <c r="X30" s="2"/>
    </row>
    <row r="31" customFormat="false" ht="15" hidden="false" customHeight="false" outlineLevel="0" collapsed="false">
      <c r="A31" s="2"/>
      <c r="B31" s="9" t="str">
        <f aca="false">IF(B17="","",B17)</f>
        <v/>
      </c>
      <c r="C31" s="96" t="n">
        <f aca="false">IF(AND(Setup!$D$16="Yes",C17&lt;&gt;"No"),1+Setup!$D$17,1)</f>
        <v>1.2</v>
      </c>
      <c r="D31" s="97" t="n">
        <f aca="false">IF(D17="",0,MIN(1,D17))</f>
        <v>0</v>
      </c>
      <c r="E31" s="98" t="n">
        <f aca="false">IF(E17="",Setup!$D$20,E17)</f>
        <v>60</v>
      </c>
      <c r="F31" s="92" t="n">
        <f aca="false">IF(G17="Month",N(F17)*12/52,N(F17))</f>
        <v>0</v>
      </c>
      <c r="G31" s="2"/>
      <c r="H31" s="98" t="n">
        <f aca="false">MAX(1,N(H17))</f>
        <v>1</v>
      </c>
      <c r="I31" s="2"/>
      <c r="J31" s="53" t="n">
        <f aca="false">$F31*(Lists!C$20&gt;=$H31)+N(J17)</f>
        <v>0</v>
      </c>
      <c r="K31" s="53" t="n">
        <f aca="false">$F31*(Lists!D$20&gt;=$H31)+N(K17)</f>
        <v>0</v>
      </c>
      <c r="L31" s="53" t="n">
        <f aca="false">$F31*(Lists!E$20&gt;=$H31)+N(L17)</f>
        <v>0</v>
      </c>
      <c r="M31" s="53" t="n">
        <f aca="false">$F31*(Lists!F$20&gt;=$H31)+N(M17)</f>
        <v>0</v>
      </c>
      <c r="N31" s="53" t="n">
        <f aca="false">$F31*(Lists!G$20&gt;=$H31)+N(N17)</f>
        <v>0</v>
      </c>
      <c r="O31" s="53" t="n">
        <f aca="false">$F31*(Lists!H$20&gt;=$H31)+N(O17)</f>
        <v>0</v>
      </c>
      <c r="P31" s="53" t="n">
        <f aca="false">$F31*(Lists!I$20&gt;=$H31)+N(P17)</f>
        <v>0</v>
      </c>
      <c r="Q31" s="53" t="n">
        <f aca="false">$F31*(Lists!J$20&gt;=$H31)+N(Q17)</f>
        <v>0</v>
      </c>
      <c r="R31" s="53" t="n">
        <f aca="false">$F31*(Lists!K$20&gt;=$H31)+N(R17)</f>
        <v>0</v>
      </c>
      <c r="S31" s="53" t="n">
        <f aca="false">$F31*(Lists!L$20&gt;=$H31)+N(S17)</f>
        <v>0</v>
      </c>
      <c r="T31" s="53" t="n">
        <f aca="false">$F31*(Lists!M$20&gt;=$H31)+N(T17)</f>
        <v>0</v>
      </c>
      <c r="U31" s="53" t="n">
        <f aca="false">$F31*(Lists!N$20&gt;=$H31)+N(U17)</f>
        <v>0</v>
      </c>
      <c r="V31" s="53" t="n">
        <f aca="false">$F31*(Lists!O$20&gt;=$H31)+N(V17)</f>
        <v>0</v>
      </c>
      <c r="W31" s="46" t="n">
        <f aca="false">SUM(J31:V31)</f>
        <v>0</v>
      </c>
      <c r="X31" s="2"/>
    </row>
    <row r="32" customFormat="false" ht="15" hidden="false" customHeight="false" outlineLevel="0" collapsed="false">
      <c r="A32" s="2"/>
      <c r="B32" s="9" t="str">
        <f aca="false">IF(B18="","",B18)</f>
        <v/>
      </c>
      <c r="C32" s="96" t="n">
        <f aca="false">IF(AND(Setup!$D$16="Yes",C18&lt;&gt;"No"),1+Setup!$D$17,1)</f>
        <v>1.2</v>
      </c>
      <c r="D32" s="97" t="n">
        <f aca="false">IF(D18="",0,MIN(1,D18))</f>
        <v>0</v>
      </c>
      <c r="E32" s="98" t="n">
        <f aca="false">IF(E18="",Setup!$D$20,E18)</f>
        <v>60</v>
      </c>
      <c r="F32" s="92" t="n">
        <f aca="false">IF(G18="Month",N(F18)*12/52,N(F18))</f>
        <v>0</v>
      </c>
      <c r="G32" s="2"/>
      <c r="H32" s="98" t="n">
        <f aca="false">MAX(1,N(H18))</f>
        <v>1</v>
      </c>
      <c r="I32" s="2"/>
      <c r="J32" s="53" t="n">
        <f aca="false">$F32*(Lists!C$20&gt;=$H32)+N(J18)</f>
        <v>0</v>
      </c>
      <c r="K32" s="53" t="n">
        <f aca="false">$F32*(Lists!D$20&gt;=$H32)+N(K18)</f>
        <v>0</v>
      </c>
      <c r="L32" s="53" t="n">
        <f aca="false">$F32*(Lists!E$20&gt;=$H32)+N(L18)</f>
        <v>0</v>
      </c>
      <c r="M32" s="53" t="n">
        <f aca="false">$F32*(Lists!F$20&gt;=$H32)+N(M18)</f>
        <v>0</v>
      </c>
      <c r="N32" s="53" t="n">
        <f aca="false">$F32*(Lists!G$20&gt;=$H32)+N(N18)</f>
        <v>0</v>
      </c>
      <c r="O32" s="53" t="n">
        <f aca="false">$F32*(Lists!H$20&gt;=$H32)+N(O18)</f>
        <v>0</v>
      </c>
      <c r="P32" s="53" t="n">
        <f aca="false">$F32*(Lists!I$20&gt;=$H32)+N(P18)</f>
        <v>0</v>
      </c>
      <c r="Q32" s="53" t="n">
        <f aca="false">$F32*(Lists!J$20&gt;=$H32)+N(Q18)</f>
        <v>0</v>
      </c>
      <c r="R32" s="53" t="n">
        <f aca="false">$F32*(Lists!K$20&gt;=$H32)+N(R18)</f>
        <v>0</v>
      </c>
      <c r="S32" s="53" t="n">
        <f aca="false">$F32*(Lists!L$20&gt;=$H32)+N(S18)</f>
        <v>0</v>
      </c>
      <c r="T32" s="53" t="n">
        <f aca="false">$F32*(Lists!M$20&gt;=$H32)+N(T18)</f>
        <v>0</v>
      </c>
      <c r="U32" s="53" t="n">
        <f aca="false">$F32*(Lists!N$20&gt;=$H32)+N(U18)</f>
        <v>0</v>
      </c>
      <c r="V32" s="53" t="n">
        <f aca="false">$F32*(Lists!O$20&gt;=$H32)+N(V18)</f>
        <v>0</v>
      </c>
      <c r="W32" s="46" t="n">
        <f aca="false">SUM(J32:V32)</f>
        <v>0</v>
      </c>
      <c r="X32" s="2"/>
    </row>
    <row r="33" customFormat="false" ht="15" hidden="false" customHeight="false" outlineLevel="0" collapsed="false">
      <c r="A33" s="2"/>
      <c r="B33" s="15" t="s">
        <v>446</v>
      </c>
      <c r="C33" s="2"/>
      <c r="D33" s="2"/>
      <c r="E33" s="2"/>
      <c r="F33" s="2"/>
      <c r="G33" s="2"/>
      <c r="H33" s="2"/>
      <c r="I33" s="2"/>
      <c r="J33" s="48" t="n">
        <f aca="false">SUM(J23:J32)</f>
        <v>77000</v>
      </c>
      <c r="K33" s="48" t="n">
        <f aca="false">SUM(K23:K32)</f>
        <v>77000</v>
      </c>
      <c r="L33" s="48" t="n">
        <f aca="false">SUM(L23:L32)</f>
        <v>77000</v>
      </c>
      <c r="M33" s="48" t="n">
        <f aca="false">SUM(M23:M32)</f>
        <v>77000</v>
      </c>
      <c r="N33" s="48" t="n">
        <f aca="false">SUM(N23:N32)</f>
        <v>77000</v>
      </c>
      <c r="O33" s="48" t="n">
        <f aca="false">SUM(O23:O32)</f>
        <v>77000</v>
      </c>
      <c r="P33" s="48" t="n">
        <f aca="false">SUM(P23:P32)</f>
        <v>30000</v>
      </c>
      <c r="Q33" s="48" t="n">
        <f aca="false">SUM(Q23:Q32)</f>
        <v>16000</v>
      </c>
      <c r="R33" s="48" t="n">
        <f aca="false">SUM(R23:R32)</f>
        <v>77000</v>
      </c>
      <c r="S33" s="48" t="n">
        <f aca="false">SUM(S23:S32)</f>
        <v>77000</v>
      </c>
      <c r="T33" s="48" t="n">
        <f aca="false">SUM(T23:T32)</f>
        <v>77000</v>
      </c>
      <c r="U33" s="48" t="n">
        <f aca="false">SUM(U23:U32)</f>
        <v>77000</v>
      </c>
      <c r="V33" s="48" t="n">
        <f aca="false">SUM(V23:V32)</f>
        <v>77000</v>
      </c>
      <c r="W33" s="48" t="n">
        <f aca="false">SUM(W23:W32)</f>
        <v>893000</v>
      </c>
      <c r="X33" s="2"/>
    </row>
    <row r="34" customFormat="false" ht="1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c r="W34" s="2"/>
      <c r="X34" s="2"/>
    </row>
    <row r="35" customFormat="false" ht="15" hidden="false" customHeight="false" outlineLevel="0" collapsed="false">
      <c r="A35" s="5" t="s">
        <v>447</v>
      </c>
      <c r="B35" s="6"/>
      <c r="C35" s="6"/>
      <c r="D35" s="6"/>
      <c r="E35" s="6"/>
      <c r="F35" s="6"/>
      <c r="G35" s="6"/>
      <c r="H35" s="6"/>
      <c r="I35" s="6"/>
      <c r="J35" s="6"/>
      <c r="K35" s="6"/>
      <c r="L35" s="6"/>
      <c r="M35" s="6"/>
      <c r="N35" s="6"/>
      <c r="O35" s="6"/>
      <c r="P35" s="6"/>
      <c r="Q35" s="6"/>
      <c r="R35" s="6"/>
      <c r="S35" s="6"/>
      <c r="T35" s="6"/>
      <c r="U35" s="6"/>
      <c r="V35" s="6"/>
      <c r="W35" s="6"/>
      <c r="X35" s="6"/>
    </row>
    <row r="36" customFormat="false" ht="23.85" hidden="false" customHeight="false" outlineLevel="0" collapsed="false">
      <c r="A36" s="2"/>
      <c r="B36" s="56" t="s">
        <v>442</v>
      </c>
      <c r="C36" s="2"/>
      <c r="D36" s="2"/>
      <c r="E36" s="2"/>
      <c r="F36" s="2"/>
      <c r="G36" s="2"/>
      <c r="H36" s="2"/>
      <c r="I36" s="2"/>
      <c r="J36" s="2"/>
      <c r="K36" s="2"/>
      <c r="L36" s="2"/>
      <c r="M36" s="2"/>
      <c r="N36" s="2"/>
      <c r="O36" s="2"/>
      <c r="P36" s="2"/>
      <c r="Q36" s="2"/>
      <c r="R36" s="2"/>
      <c r="S36" s="2"/>
      <c r="T36" s="2"/>
      <c r="U36" s="2"/>
      <c r="V36" s="2"/>
      <c r="W36" s="56" t="s">
        <v>448</v>
      </c>
      <c r="X36" s="56" t="s">
        <v>449</v>
      </c>
    </row>
    <row r="37" customFormat="false" ht="15" hidden="false" customHeight="false" outlineLevel="0" collapsed="false">
      <c r="A37" s="2"/>
      <c r="B37" s="9" t="str">
        <f aca="false">B23</f>
        <v>Contract fabrication (large accounts)</v>
      </c>
      <c r="C37" s="2"/>
      <c r="D37" s="2"/>
      <c r="E37" s="2"/>
      <c r="F37" s="2"/>
      <c r="G37" s="2"/>
      <c r="H37" s="2"/>
      <c r="I37" s="2"/>
      <c r="J37" s="53" t="n">
        <f aca="false">J23*$C23*$D23+(1-$D23)*$C23*SUMPRODUCT($J23:$V23,(Lists!$C$21:$O$21+$E23&gt;Lists!C$22)*(Lists!$C$21:$O$21+$E23&lt;=Lists!C$21))</f>
        <v>0</v>
      </c>
      <c r="K37" s="53" t="n">
        <f aca="false">K23*$C23*$D23+(1-$D23)*$C23*SUMPRODUCT($J23:$V23,(Lists!$C$21:$O$21+$E23&gt;Lists!D$22)*(Lists!$C$21:$O$21+$E23&lt;=Lists!D$21))</f>
        <v>0</v>
      </c>
      <c r="L37" s="53" t="n">
        <f aca="false">L23*$C23*$D23+(1-$D23)*$C23*SUMPRODUCT($J23:$V23,(Lists!$C$21:$O$21+$E23&gt;Lists!E$22)*(Lists!$C$21:$O$21+$E23&lt;=Lists!E$21))</f>
        <v>0</v>
      </c>
      <c r="M37" s="53" t="n">
        <f aca="false">M23*$C23*$D23+(1-$D23)*$C23*SUMPRODUCT($J23:$V23,(Lists!$C$21:$O$21+$E23&gt;Lists!F$22)*(Lists!$C$21:$O$21+$E23&lt;=Lists!F$21))</f>
        <v>0</v>
      </c>
      <c r="N37" s="53" t="n">
        <f aca="false">N23*$C23*$D23+(1-$D23)*$C23*SUMPRODUCT($J23:$V23,(Lists!$C$21:$O$21+$E23&gt;Lists!G$22)*(Lists!$C$21:$O$21+$E23&lt;=Lists!G$21))</f>
        <v>0</v>
      </c>
      <c r="O37" s="53" t="n">
        <f aca="false">O23*$C23*$D23+(1-$D23)*$C23*SUMPRODUCT($J23:$V23,(Lists!$C$21:$O$21+$E23&gt;Lists!H$22)*(Lists!$C$21:$O$21+$E23&lt;=Lists!H$21))</f>
        <v>0</v>
      </c>
      <c r="P37" s="53" t="n">
        <f aca="false">P23*$C23*$D23+(1-$D23)*$C23*SUMPRODUCT($J23:$V23,(Lists!$C$21:$O$21+$E23&gt;Lists!I$22)*(Lists!$C$21:$O$21+$E23&lt;=Lists!I$21))</f>
        <v>0</v>
      </c>
      <c r="Q37" s="53" t="n">
        <f aca="false">Q23*$C23*$D23+(1-$D23)*$C23*SUMPRODUCT($J23:$V23,(Lists!$C$21:$O$21+$E23&gt;Lists!J$22)*(Lists!$C$21:$O$21+$E23&lt;=Lists!J$21))</f>
        <v>0</v>
      </c>
      <c r="R37" s="53" t="n">
        <f aca="false">R23*$C23*$D23+(1-$D23)*$C23*SUMPRODUCT($J23:$V23,(Lists!$C$21:$O$21+$E23&gt;Lists!K$22)*(Lists!$C$21:$O$21+$E23&lt;=Lists!K$21))</f>
        <v>0</v>
      </c>
      <c r="S37" s="53" t="n">
        <f aca="false">S23*$C23*$D23+(1-$D23)*$C23*SUMPRODUCT($J23:$V23,(Lists!$C$21:$O$21+$E23&gt;Lists!L$22)*(Lists!$C$21:$O$21+$E23&lt;=Lists!L$21))</f>
        <v>66000</v>
      </c>
      <c r="T37" s="53" t="n">
        <f aca="false">T23*$C23*$D23+(1-$D23)*$C23*SUMPRODUCT($J23:$V23,(Lists!$C$21:$O$21+$E23&gt;Lists!M$22)*(Lists!$C$21:$O$21+$E23&lt;=Lists!M$21))</f>
        <v>66000</v>
      </c>
      <c r="U37" s="53" t="n">
        <f aca="false">U23*$C23*$D23+(1-$D23)*$C23*SUMPRODUCT($J23:$V23,(Lists!$C$21:$O$21+$E23&gt;Lists!N$22)*(Lists!$C$21:$O$21+$E23&lt;=Lists!N$21))</f>
        <v>66000</v>
      </c>
      <c r="V37" s="53" t="n">
        <f aca="false">V23*$C23*$D23+(1-$D23)*$C23*SUMPRODUCT($J23:$V23,(Lists!$C$21:$O$21+$E23&gt;Lists!O$22)*(Lists!$C$21:$O$21+$E23&lt;=Lists!O$21))</f>
        <v>66000</v>
      </c>
      <c r="W37" s="46" t="n">
        <f aca="false">SUM(J37:V37)</f>
        <v>264000</v>
      </c>
      <c r="X37" s="92" t="n">
        <f aca="false">W23*C23-W37</f>
        <v>498000</v>
      </c>
    </row>
    <row r="38" customFormat="false" ht="15" hidden="false" customHeight="false" outlineLevel="0" collapsed="false">
      <c r="A38" s="2"/>
      <c r="B38" s="9" t="str">
        <f aca="false">B24</f>
        <v>Repeat orders (smaller customers)</v>
      </c>
      <c r="C38" s="2"/>
      <c r="D38" s="2"/>
      <c r="E38" s="2"/>
      <c r="F38" s="2"/>
      <c r="G38" s="2"/>
      <c r="H38" s="2"/>
      <c r="I38" s="2"/>
      <c r="J38" s="53" t="n">
        <f aca="false">J24*$C24*$D24+(1-$D24)*$C24*SUMPRODUCT($J24:$V24,(Lists!$C$21:$O$21+$E24&gt;Lists!C$22)*(Lists!$C$21:$O$21+$E24&lt;=Lists!C$21))</f>
        <v>0</v>
      </c>
      <c r="K38" s="53" t="n">
        <f aca="false">K24*$C24*$D24+(1-$D24)*$C24*SUMPRODUCT($J24:$V24,(Lists!$C$21:$O$21+$E24&gt;Lists!D$22)*(Lists!$C$21:$O$21+$E24&lt;=Lists!D$21))</f>
        <v>0</v>
      </c>
      <c r="L38" s="53" t="n">
        <f aca="false">L24*$C24*$D24+(1-$D24)*$C24*SUMPRODUCT($J24:$V24,(Lists!$C$21:$O$21+$E24&gt;Lists!E$22)*(Lists!$C$21:$O$21+$E24&lt;=Lists!E$21))</f>
        <v>0</v>
      </c>
      <c r="M38" s="53" t="n">
        <f aca="false">M24*$C24*$D24+(1-$D24)*$C24*SUMPRODUCT($J24:$V24,(Lists!$C$21:$O$21+$E24&gt;Lists!F$22)*(Lists!$C$21:$O$21+$E24&lt;=Lists!F$21))</f>
        <v>0</v>
      </c>
      <c r="N38" s="53" t="n">
        <f aca="false">N24*$C24*$D24+(1-$D24)*$C24*SUMPRODUCT($J24:$V24,(Lists!$C$21:$O$21+$E24&gt;Lists!G$22)*(Lists!$C$21:$O$21+$E24&lt;=Lists!G$21))</f>
        <v>0</v>
      </c>
      <c r="O38" s="53" t="n">
        <f aca="false">O24*$C24*$D24+(1-$D24)*$C24*SUMPRODUCT($J24:$V24,(Lists!$C$21:$O$21+$E24&gt;Lists!H$22)*(Lists!$C$21:$O$21+$E24&lt;=Lists!H$21))</f>
        <v>0</v>
      </c>
      <c r="P38" s="53" t="n">
        <f aca="false">P24*$C24*$D24+(1-$D24)*$C24*SUMPRODUCT($J24:$V24,(Lists!$C$21:$O$21+$E24&gt;Lists!I$22)*(Lists!$C$21:$O$21+$E24&lt;=Lists!I$21))</f>
        <v>0</v>
      </c>
      <c r="Q38" s="53" t="n">
        <f aca="false">Q24*$C24*$D24+(1-$D24)*$C24*SUMPRODUCT($J24:$V24,(Lists!$C$21:$O$21+$E24&gt;Lists!J$22)*(Lists!$C$21:$O$21+$E24&lt;=Lists!J$21))</f>
        <v>26400</v>
      </c>
      <c r="R38" s="53" t="n">
        <f aca="false">R24*$C24*$D24+(1-$D24)*$C24*SUMPRODUCT($J24:$V24,(Lists!$C$21:$O$21+$E24&gt;Lists!K$22)*(Lists!$C$21:$O$21+$E24&lt;=Lists!K$21))</f>
        <v>26400</v>
      </c>
      <c r="S38" s="53" t="n">
        <f aca="false">S24*$C24*$D24+(1-$D24)*$C24*SUMPRODUCT($J24:$V24,(Lists!$C$21:$O$21+$E24&gt;Lists!L$22)*(Lists!$C$21:$O$21+$E24&lt;=Lists!L$21))</f>
        <v>26400</v>
      </c>
      <c r="T38" s="53" t="n">
        <f aca="false">T24*$C24*$D24+(1-$D24)*$C24*SUMPRODUCT($J24:$V24,(Lists!$C$21:$O$21+$E24&gt;Lists!M$22)*(Lists!$C$21:$O$21+$E24&lt;=Lists!M$21))</f>
        <v>26400</v>
      </c>
      <c r="U38" s="53" t="n">
        <f aca="false">U24*$C24*$D24+(1-$D24)*$C24*SUMPRODUCT($J24:$V24,(Lists!$C$21:$O$21+$E24&gt;Lists!N$22)*(Lists!$C$21:$O$21+$E24&lt;=Lists!N$21))</f>
        <v>26400</v>
      </c>
      <c r="V38" s="53" t="n">
        <f aca="false">V24*$C24*$D24+(1-$D24)*$C24*SUMPRODUCT($J24:$V24,(Lists!$C$21:$O$21+$E24&gt;Lists!O$22)*(Lists!$C$21:$O$21+$E24&lt;=Lists!O$21))</f>
        <v>26400</v>
      </c>
      <c r="W38" s="46" t="n">
        <f aca="false">SUM(J38:V38)</f>
        <v>158400</v>
      </c>
      <c r="X38" s="92" t="n">
        <f aca="false">W24*C24-W38</f>
        <v>151200</v>
      </c>
    </row>
    <row r="39" customFormat="false" ht="15" hidden="false" customHeight="false" outlineLevel="0" collapsed="false">
      <c r="A39" s="2"/>
      <c r="B39" s="9" t="str">
        <f aca="false">B25</f>
        <v/>
      </c>
      <c r="C39" s="2"/>
      <c r="D39" s="2"/>
      <c r="E39" s="2"/>
      <c r="F39" s="2"/>
      <c r="G39" s="2"/>
      <c r="H39" s="2"/>
      <c r="I39" s="2"/>
      <c r="J39" s="53" t="n">
        <f aca="false">J25*$C25*$D25+(1-$D25)*$C25*SUMPRODUCT($J25:$V25,(Lists!$C$21:$O$21+$E25&gt;Lists!C$22)*(Lists!$C$21:$O$21+$E25&lt;=Lists!C$21))</f>
        <v>0</v>
      </c>
      <c r="K39" s="53" t="n">
        <f aca="false">K25*$C25*$D25+(1-$D25)*$C25*SUMPRODUCT($J25:$V25,(Lists!$C$21:$O$21+$E25&gt;Lists!D$22)*(Lists!$C$21:$O$21+$E25&lt;=Lists!D$21))</f>
        <v>0</v>
      </c>
      <c r="L39" s="53" t="n">
        <f aca="false">L25*$C25*$D25+(1-$D25)*$C25*SUMPRODUCT($J25:$V25,(Lists!$C$21:$O$21+$E25&gt;Lists!E$22)*(Lists!$C$21:$O$21+$E25&lt;=Lists!E$21))</f>
        <v>0</v>
      </c>
      <c r="M39" s="53" t="n">
        <f aca="false">M25*$C25*$D25+(1-$D25)*$C25*SUMPRODUCT($J25:$V25,(Lists!$C$21:$O$21+$E25&gt;Lists!F$22)*(Lists!$C$21:$O$21+$E25&lt;=Lists!F$21))</f>
        <v>0</v>
      </c>
      <c r="N39" s="53" t="n">
        <f aca="false">N25*$C25*$D25+(1-$D25)*$C25*SUMPRODUCT($J25:$V25,(Lists!$C$21:$O$21+$E25&gt;Lists!G$22)*(Lists!$C$21:$O$21+$E25&lt;=Lists!G$21))</f>
        <v>0</v>
      </c>
      <c r="O39" s="53" t="n">
        <f aca="false">O25*$C25*$D25+(1-$D25)*$C25*SUMPRODUCT($J25:$V25,(Lists!$C$21:$O$21+$E25&gt;Lists!H$22)*(Lists!$C$21:$O$21+$E25&lt;=Lists!H$21))</f>
        <v>0</v>
      </c>
      <c r="P39" s="53" t="n">
        <f aca="false">P25*$C25*$D25+(1-$D25)*$C25*SUMPRODUCT($J25:$V25,(Lists!$C$21:$O$21+$E25&gt;Lists!I$22)*(Lists!$C$21:$O$21+$E25&lt;=Lists!I$21))</f>
        <v>0</v>
      </c>
      <c r="Q39" s="53" t="n">
        <f aca="false">Q25*$C25*$D25+(1-$D25)*$C25*SUMPRODUCT($J25:$V25,(Lists!$C$21:$O$21+$E25&gt;Lists!J$22)*(Lists!$C$21:$O$21+$E25&lt;=Lists!J$21))</f>
        <v>0</v>
      </c>
      <c r="R39" s="53" t="n">
        <f aca="false">R25*$C25*$D25+(1-$D25)*$C25*SUMPRODUCT($J25:$V25,(Lists!$C$21:$O$21+$E25&gt;Lists!K$22)*(Lists!$C$21:$O$21+$E25&lt;=Lists!K$21))</f>
        <v>0</v>
      </c>
      <c r="S39" s="53" t="n">
        <f aca="false">S25*$C25*$D25+(1-$D25)*$C25*SUMPRODUCT($J25:$V25,(Lists!$C$21:$O$21+$E25&gt;Lists!L$22)*(Lists!$C$21:$O$21+$E25&lt;=Lists!L$21))</f>
        <v>0</v>
      </c>
      <c r="T39" s="53" t="n">
        <f aca="false">T25*$C25*$D25+(1-$D25)*$C25*SUMPRODUCT($J25:$V25,(Lists!$C$21:$O$21+$E25&gt;Lists!M$22)*(Lists!$C$21:$O$21+$E25&lt;=Lists!M$21))</f>
        <v>0</v>
      </c>
      <c r="U39" s="53" t="n">
        <f aca="false">U25*$C25*$D25+(1-$D25)*$C25*SUMPRODUCT($J25:$V25,(Lists!$C$21:$O$21+$E25&gt;Lists!N$22)*(Lists!$C$21:$O$21+$E25&lt;=Lists!N$21))</f>
        <v>0</v>
      </c>
      <c r="V39" s="53" t="n">
        <f aca="false">V25*$C25*$D25+(1-$D25)*$C25*SUMPRODUCT($J25:$V25,(Lists!$C$21:$O$21+$E25&gt;Lists!O$22)*(Lists!$C$21:$O$21+$E25&lt;=Lists!O$21))</f>
        <v>0</v>
      </c>
      <c r="W39" s="46" t="n">
        <f aca="false">SUM(J39:V39)</f>
        <v>0</v>
      </c>
      <c r="X39" s="92" t="n">
        <f aca="false">W25*C25-W39</f>
        <v>0</v>
      </c>
    </row>
    <row r="40" customFormat="false" ht="15" hidden="false" customHeight="false" outlineLevel="0" collapsed="false">
      <c r="A40" s="2"/>
      <c r="B40" s="9" t="str">
        <f aca="false">B26</f>
        <v/>
      </c>
      <c r="C40" s="2"/>
      <c r="D40" s="2"/>
      <c r="E40" s="2"/>
      <c r="F40" s="2"/>
      <c r="G40" s="2"/>
      <c r="H40" s="2"/>
      <c r="I40" s="2"/>
      <c r="J40" s="53" t="n">
        <f aca="false">J26*$C26*$D26+(1-$D26)*$C26*SUMPRODUCT($J26:$V26,(Lists!$C$21:$O$21+$E26&gt;Lists!C$22)*(Lists!$C$21:$O$21+$E26&lt;=Lists!C$21))</f>
        <v>0</v>
      </c>
      <c r="K40" s="53" t="n">
        <f aca="false">K26*$C26*$D26+(1-$D26)*$C26*SUMPRODUCT($J26:$V26,(Lists!$C$21:$O$21+$E26&gt;Lists!D$22)*(Lists!$C$21:$O$21+$E26&lt;=Lists!D$21))</f>
        <v>0</v>
      </c>
      <c r="L40" s="53" t="n">
        <f aca="false">L26*$C26*$D26+(1-$D26)*$C26*SUMPRODUCT($J26:$V26,(Lists!$C$21:$O$21+$E26&gt;Lists!E$22)*(Lists!$C$21:$O$21+$E26&lt;=Lists!E$21))</f>
        <v>0</v>
      </c>
      <c r="M40" s="53" t="n">
        <f aca="false">M26*$C26*$D26+(1-$D26)*$C26*SUMPRODUCT($J26:$V26,(Lists!$C$21:$O$21+$E26&gt;Lists!F$22)*(Lists!$C$21:$O$21+$E26&lt;=Lists!F$21))</f>
        <v>0</v>
      </c>
      <c r="N40" s="53" t="n">
        <f aca="false">N26*$C26*$D26+(1-$D26)*$C26*SUMPRODUCT($J26:$V26,(Lists!$C$21:$O$21+$E26&gt;Lists!G$22)*(Lists!$C$21:$O$21+$E26&lt;=Lists!G$21))</f>
        <v>0</v>
      </c>
      <c r="O40" s="53" t="n">
        <f aca="false">O26*$C26*$D26+(1-$D26)*$C26*SUMPRODUCT($J26:$V26,(Lists!$C$21:$O$21+$E26&gt;Lists!H$22)*(Lists!$C$21:$O$21+$E26&lt;=Lists!H$21))</f>
        <v>0</v>
      </c>
      <c r="P40" s="53" t="n">
        <f aca="false">P26*$C26*$D26+(1-$D26)*$C26*SUMPRODUCT($J26:$V26,(Lists!$C$21:$O$21+$E26&gt;Lists!I$22)*(Lists!$C$21:$O$21+$E26&lt;=Lists!I$21))</f>
        <v>0</v>
      </c>
      <c r="Q40" s="53" t="n">
        <f aca="false">Q26*$C26*$D26+(1-$D26)*$C26*SUMPRODUCT($J26:$V26,(Lists!$C$21:$O$21+$E26&gt;Lists!J$22)*(Lists!$C$21:$O$21+$E26&lt;=Lists!J$21))</f>
        <v>0</v>
      </c>
      <c r="R40" s="53" t="n">
        <f aca="false">R26*$C26*$D26+(1-$D26)*$C26*SUMPRODUCT($J26:$V26,(Lists!$C$21:$O$21+$E26&gt;Lists!K$22)*(Lists!$C$21:$O$21+$E26&lt;=Lists!K$21))</f>
        <v>0</v>
      </c>
      <c r="S40" s="53" t="n">
        <f aca="false">S26*$C26*$D26+(1-$D26)*$C26*SUMPRODUCT($J26:$V26,(Lists!$C$21:$O$21+$E26&gt;Lists!L$22)*(Lists!$C$21:$O$21+$E26&lt;=Lists!L$21))</f>
        <v>0</v>
      </c>
      <c r="T40" s="53" t="n">
        <f aca="false">T26*$C26*$D26+(1-$D26)*$C26*SUMPRODUCT($J26:$V26,(Lists!$C$21:$O$21+$E26&gt;Lists!M$22)*(Lists!$C$21:$O$21+$E26&lt;=Lists!M$21))</f>
        <v>0</v>
      </c>
      <c r="U40" s="53" t="n">
        <f aca="false">U26*$C26*$D26+(1-$D26)*$C26*SUMPRODUCT($J26:$V26,(Lists!$C$21:$O$21+$E26&gt;Lists!N$22)*(Lists!$C$21:$O$21+$E26&lt;=Lists!N$21))</f>
        <v>0</v>
      </c>
      <c r="V40" s="53" t="n">
        <f aca="false">V26*$C26*$D26+(1-$D26)*$C26*SUMPRODUCT($J26:$V26,(Lists!$C$21:$O$21+$E26&gt;Lists!O$22)*(Lists!$C$21:$O$21+$E26&lt;=Lists!O$21))</f>
        <v>0</v>
      </c>
      <c r="W40" s="46" t="n">
        <f aca="false">SUM(J40:V40)</f>
        <v>0</v>
      </c>
      <c r="X40" s="92" t="n">
        <f aca="false">W26*C26-W40</f>
        <v>0</v>
      </c>
    </row>
    <row r="41" customFormat="false" ht="15" hidden="false" customHeight="false" outlineLevel="0" collapsed="false">
      <c r="A41" s="2"/>
      <c r="B41" s="9" t="str">
        <f aca="false">B27</f>
        <v/>
      </c>
      <c r="C41" s="2"/>
      <c r="D41" s="2"/>
      <c r="E41" s="2"/>
      <c r="F41" s="2"/>
      <c r="G41" s="2"/>
      <c r="H41" s="2"/>
      <c r="I41" s="2"/>
      <c r="J41" s="53" t="n">
        <f aca="false">J27*$C27*$D27+(1-$D27)*$C27*SUMPRODUCT($J27:$V27,(Lists!$C$21:$O$21+$E27&gt;Lists!C$22)*(Lists!$C$21:$O$21+$E27&lt;=Lists!C$21))</f>
        <v>0</v>
      </c>
      <c r="K41" s="53" t="n">
        <f aca="false">K27*$C27*$D27+(1-$D27)*$C27*SUMPRODUCT($J27:$V27,(Lists!$C$21:$O$21+$E27&gt;Lists!D$22)*(Lists!$C$21:$O$21+$E27&lt;=Lists!D$21))</f>
        <v>0</v>
      </c>
      <c r="L41" s="53" t="n">
        <f aca="false">L27*$C27*$D27+(1-$D27)*$C27*SUMPRODUCT($J27:$V27,(Lists!$C$21:$O$21+$E27&gt;Lists!E$22)*(Lists!$C$21:$O$21+$E27&lt;=Lists!E$21))</f>
        <v>0</v>
      </c>
      <c r="M41" s="53" t="n">
        <f aca="false">M27*$C27*$D27+(1-$D27)*$C27*SUMPRODUCT($J27:$V27,(Lists!$C$21:$O$21+$E27&gt;Lists!F$22)*(Lists!$C$21:$O$21+$E27&lt;=Lists!F$21))</f>
        <v>0</v>
      </c>
      <c r="N41" s="53" t="n">
        <f aca="false">N27*$C27*$D27+(1-$D27)*$C27*SUMPRODUCT($J27:$V27,(Lists!$C$21:$O$21+$E27&gt;Lists!G$22)*(Lists!$C$21:$O$21+$E27&lt;=Lists!G$21))</f>
        <v>0</v>
      </c>
      <c r="O41" s="53" t="n">
        <f aca="false">O27*$C27*$D27+(1-$D27)*$C27*SUMPRODUCT($J27:$V27,(Lists!$C$21:$O$21+$E27&gt;Lists!H$22)*(Lists!$C$21:$O$21+$E27&lt;=Lists!H$21))</f>
        <v>0</v>
      </c>
      <c r="P41" s="53" t="n">
        <f aca="false">P27*$C27*$D27+(1-$D27)*$C27*SUMPRODUCT($J27:$V27,(Lists!$C$21:$O$21+$E27&gt;Lists!I$22)*(Lists!$C$21:$O$21+$E27&lt;=Lists!I$21))</f>
        <v>0</v>
      </c>
      <c r="Q41" s="53" t="n">
        <f aca="false">Q27*$C27*$D27+(1-$D27)*$C27*SUMPRODUCT($J27:$V27,(Lists!$C$21:$O$21+$E27&gt;Lists!J$22)*(Lists!$C$21:$O$21+$E27&lt;=Lists!J$21))</f>
        <v>0</v>
      </c>
      <c r="R41" s="53" t="n">
        <f aca="false">R27*$C27*$D27+(1-$D27)*$C27*SUMPRODUCT($J27:$V27,(Lists!$C$21:$O$21+$E27&gt;Lists!K$22)*(Lists!$C$21:$O$21+$E27&lt;=Lists!K$21))</f>
        <v>0</v>
      </c>
      <c r="S41" s="53" t="n">
        <f aca="false">S27*$C27*$D27+(1-$D27)*$C27*SUMPRODUCT($J27:$V27,(Lists!$C$21:$O$21+$E27&gt;Lists!L$22)*(Lists!$C$21:$O$21+$E27&lt;=Lists!L$21))</f>
        <v>0</v>
      </c>
      <c r="T41" s="53" t="n">
        <f aca="false">T27*$C27*$D27+(1-$D27)*$C27*SUMPRODUCT($J27:$V27,(Lists!$C$21:$O$21+$E27&gt;Lists!M$22)*(Lists!$C$21:$O$21+$E27&lt;=Lists!M$21))</f>
        <v>0</v>
      </c>
      <c r="U41" s="53" t="n">
        <f aca="false">U27*$C27*$D27+(1-$D27)*$C27*SUMPRODUCT($J27:$V27,(Lists!$C$21:$O$21+$E27&gt;Lists!N$22)*(Lists!$C$21:$O$21+$E27&lt;=Lists!N$21))</f>
        <v>0</v>
      </c>
      <c r="V41" s="53" t="n">
        <f aca="false">V27*$C27*$D27+(1-$D27)*$C27*SUMPRODUCT($J27:$V27,(Lists!$C$21:$O$21+$E27&gt;Lists!O$22)*(Lists!$C$21:$O$21+$E27&lt;=Lists!O$21))</f>
        <v>0</v>
      </c>
      <c r="W41" s="46" t="n">
        <f aca="false">SUM(J41:V41)</f>
        <v>0</v>
      </c>
      <c r="X41" s="92" t="n">
        <f aca="false">W27*C27-W41</f>
        <v>0</v>
      </c>
    </row>
    <row r="42" customFormat="false" ht="15" hidden="false" customHeight="false" outlineLevel="0" collapsed="false">
      <c r="A42" s="2"/>
      <c r="B42" s="9" t="str">
        <f aca="false">B28</f>
        <v/>
      </c>
      <c r="C42" s="2"/>
      <c r="D42" s="2"/>
      <c r="E42" s="2"/>
      <c r="F42" s="2"/>
      <c r="G42" s="2"/>
      <c r="H42" s="2"/>
      <c r="I42" s="2"/>
      <c r="J42" s="53" t="n">
        <f aca="false">J28*$C28*$D28+(1-$D28)*$C28*SUMPRODUCT($J28:$V28,(Lists!$C$21:$O$21+$E28&gt;Lists!C$22)*(Lists!$C$21:$O$21+$E28&lt;=Lists!C$21))</f>
        <v>0</v>
      </c>
      <c r="K42" s="53" t="n">
        <f aca="false">K28*$C28*$D28+(1-$D28)*$C28*SUMPRODUCT($J28:$V28,(Lists!$C$21:$O$21+$E28&gt;Lists!D$22)*(Lists!$C$21:$O$21+$E28&lt;=Lists!D$21))</f>
        <v>0</v>
      </c>
      <c r="L42" s="53" t="n">
        <f aca="false">L28*$C28*$D28+(1-$D28)*$C28*SUMPRODUCT($J28:$V28,(Lists!$C$21:$O$21+$E28&gt;Lists!E$22)*(Lists!$C$21:$O$21+$E28&lt;=Lists!E$21))</f>
        <v>0</v>
      </c>
      <c r="M42" s="53" t="n">
        <f aca="false">M28*$C28*$D28+(1-$D28)*$C28*SUMPRODUCT($J28:$V28,(Lists!$C$21:$O$21+$E28&gt;Lists!F$22)*(Lists!$C$21:$O$21+$E28&lt;=Lists!F$21))</f>
        <v>0</v>
      </c>
      <c r="N42" s="53" t="n">
        <f aca="false">N28*$C28*$D28+(1-$D28)*$C28*SUMPRODUCT($J28:$V28,(Lists!$C$21:$O$21+$E28&gt;Lists!G$22)*(Lists!$C$21:$O$21+$E28&lt;=Lists!G$21))</f>
        <v>0</v>
      </c>
      <c r="O42" s="53" t="n">
        <f aca="false">O28*$C28*$D28+(1-$D28)*$C28*SUMPRODUCT($J28:$V28,(Lists!$C$21:$O$21+$E28&gt;Lists!H$22)*(Lists!$C$21:$O$21+$E28&lt;=Lists!H$21))</f>
        <v>0</v>
      </c>
      <c r="P42" s="53" t="n">
        <f aca="false">P28*$C28*$D28+(1-$D28)*$C28*SUMPRODUCT($J28:$V28,(Lists!$C$21:$O$21+$E28&gt;Lists!I$22)*(Lists!$C$21:$O$21+$E28&lt;=Lists!I$21))</f>
        <v>0</v>
      </c>
      <c r="Q42" s="53" t="n">
        <f aca="false">Q28*$C28*$D28+(1-$D28)*$C28*SUMPRODUCT($J28:$V28,(Lists!$C$21:$O$21+$E28&gt;Lists!J$22)*(Lists!$C$21:$O$21+$E28&lt;=Lists!J$21))</f>
        <v>0</v>
      </c>
      <c r="R42" s="53" t="n">
        <f aca="false">R28*$C28*$D28+(1-$D28)*$C28*SUMPRODUCT($J28:$V28,(Lists!$C$21:$O$21+$E28&gt;Lists!K$22)*(Lists!$C$21:$O$21+$E28&lt;=Lists!K$21))</f>
        <v>0</v>
      </c>
      <c r="S42" s="53" t="n">
        <f aca="false">S28*$C28*$D28+(1-$D28)*$C28*SUMPRODUCT($J28:$V28,(Lists!$C$21:$O$21+$E28&gt;Lists!L$22)*(Lists!$C$21:$O$21+$E28&lt;=Lists!L$21))</f>
        <v>0</v>
      </c>
      <c r="T42" s="53" t="n">
        <f aca="false">T28*$C28*$D28+(1-$D28)*$C28*SUMPRODUCT($J28:$V28,(Lists!$C$21:$O$21+$E28&gt;Lists!M$22)*(Lists!$C$21:$O$21+$E28&lt;=Lists!M$21))</f>
        <v>0</v>
      </c>
      <c r="U42" s="53" t="n">
        <f aca="false">U28*$C28*$D28+(1-$D28)*$C28*SUMPRODUCT($J28:$V28,(Lists!$C$21:$O$21+$E28&gt;Lists!N$22)*(Lists!$C$21:$O$21+$E28&lt;=Lists!N$21))</f>
        <v>0</v>
      </c>
      <c r="V42" s="53" t="n">
        <f aca="false">V28*$C28*$D28+(1-$D28)*$C28*SUMPRODUCT($J28:$V28,(Lists!$C$21:$O$21+$E28&gt;Lists!O$22)*(Lists!$C$21:$O$21+$E28&lt;=Lists!O$21))</f>
        <v>0</v>
      </c>
      <c r="W42" s="46" t="n">
        <f aca="false">SUM(J42:V42)</f>
        <v>0</v>
      </c>
      <c r="X42" s="92" t="n">
        <f aca="false">W28*C28-W42</f>
        <v>0</v>
      </c>
    </row>
    <row r="43" customFormat="false" ht="15" hidden="false" customHeight="false" outlineLevel="0" collapsed="false">
      <c r="A43" s="2"/>
      <c r="B43" s="9" t="str">
        <f aca="false">B29</f>
        <v/>
      </c>
      <c r="C43" s="2"/>
      <c r="D43" s="2"/>
      <c r="E43" s="2"/>
      <c r="F43" s="2"/>
      <c r="G43" s="2"/>
      <c r="H43" s="2"/>
      <c r="I43" s="2"/>
      <c r="J43" s="53" t="n">
        <f aca="false">J29*$C29*$D29+(1-$D29)*$C29*SUMPRODUCT($J29:$V29,(Lists!$C$21:$O$21+$E29&gt;Lists!C$22)*(Lists!$C$21:$O$21+$E29&lt;=Lists!C$21))</f>
        <v>0</v>
      </c>
      <c r="K43" s="53" t="n">
        <f aca="false">K29*$C29*$D29+(1-$D29)*$C29*SUMPRODUCT($J29:$V29,(Lists!$C$21:$O$21+$E29&gt;Lists!D$22)*(Lists!$C$21:$O$21+$E29&lt;=Lists!D$21))</f>
        <v>0</v>
      </c>
      <c r="L43" s="53" t="n">
        <f aca="false">L29*$C29*$D29+(1-$D29)*$C29*SUMPRODUCT($J29:$V29,(Lists!$C$21:$O$21+$E29&gt;Lists!E$22)*(Lists!$C$21:$O$21+$E29&lt;=Lists!E$21))</f>
        <v>0</v>
      </c>
      <c r="M43" s="53" t="n">
        <f aca="false">M29*$C29*$D29+(1-$D29)*$C29*SUMPRODUCT($J29:$V29,(Lists!$C$21:$O$21+$E29&gt;Lists!F$22)*(Lists!$C$21:$O$21+$E29&lt;=Lists!F$21))</f>
        <v>0</v>
      </c>
      <c r="N43" s="53" t="n">
        <f aca="false">N29*$C29*$D29+(1-$D29)*$C29*SUMPRODUCT($J29:$V29,(Lists!$C$21:$O$21+$E29&gt;Lists!G$22)*(Lists!$C$21:$O$21+$E29&lt;=Lists!G$21))</f>
        <v>0</v>
      </c>
      <c r="O43" s="53" t="n">
        <f aca="false">O29*$C29*$D29+(1-$D29)*$C29*SUMPRODUCT($J29:$V29,(Lists!$C$21:$O$21+$E29&gt;Lists!H$22)*(Lists!$C$21:$O$21+$E29&lt;=Lists!H$21))</f>
        <v>0</v>
      </c>
      <c r="P43" s="53" t="n">
        <f aca="false">P29*$C29*$D29+(1-$D29)*$C29*SUMPRODUCT($J29:$V29,(Lists!$C$21:$O$21+$E29&gt;Lists!I$22)*(Lists!$C$21:$O$21+$E29&lt;=Lists!I$21))</f>
        <v>0</v>
      </c>
      <c r="Q43" s="53" t="n">
        <f aca="false">Q29*$C29*$D29+(1-$D29)*$C29*SUMPRODUCT($J29:$V29,(Lists!$C$21:$O$21+$E29&gt;Lists!J$22)*(Lists!$C$21:$O$21+$E29&lt;=Lists!J$21))</f>
        <v>0</v>
      </c>
      <c r="R43" s="53" t="n">
        <f aca="false">R29*$C29*$D29+(1-$D29)*$C29*SUMPRODUCT($J29:$V29,(Lists!$C$21:$O$21+$E29&gt;Lists!K$22)*(Lists!$C$21:$O$21+$E29&lt;=Lists!K$21))</f>
        <v>0</v>
      </c>
      <c r="S43" s="53" t="n">
        <f aca="false">S29*$C29*$D29+(1-$D29)*$C29*SUMPRODUCT($J29:$V29,(Lists!$C$21:$O$21+$E29&gt;Lists!L$22)*(Lists!$C$21:$O$21+$E29&lt;=Lists!L$21))</f>
        <v>0</v>
      </c>
      <c r="T43" s="53" t="n">
        <f aca="false">T29*$C29*$D29+(1-$D29)*$C29*SUMPRODUCT($J29:$V29,(Lists!$C$21:$O$21+$E29&gt;Lists!M$22)*(Lists!$C$21:$O$21+$E29&lt;=Lists!M$21))</f>
        <v>0</v>
      </c>
      <c r="U43" s="53" t="n">
        <f aca="false">U29*$C29*$D29+(1-$D29)*$C29*SUMPRODUCT($J29:$V29,(Lists!$C$21:$O$21+$E29&gt;Lists!N$22)*(Lists!$C$21:$O$21+$E29&lt;=Lists!N$21))</f>
        <v>0</v>
      </c>
      <c r="V43" s="53" t="n">
        <f aca="false">V29*$C29*$D29+(1-$D29)*$C29*SUMPRODUCT($J29:$V29,(Lists!$C$21:$O$21+$E29&gt;Lists!O$22)*(Lists!$C$21:$O$21+$E29&lt;=Lists!O$21))</f>
        <v>0</v>
      </c>
      <c r="W43" s="46" t="n">
        <f aca="false">SUM(J43:V43)</f>
        <v>0</v>
      </c>
      <c r="X43" s="92" t="n">
        <f aca="false">W29*C29-W43</f>
        <v>0</v>
      </c>
    </row>
    <row r="44" customFormat="false" ht="15" hidden="false" customHeight="false" outlineLevel="0" collapsed="false">
      <c r="A44" s="2"/>
      <c r="B44" s="9" t="str">
        <f aca="false">B30</f>
        <v/>
      </c>
      <c r="C44" s="2"/>
      <c r="D44" s="2"/>
      <c r="E44" s="2"/>
      <c r="F44" s="2"/>
      <c r="G44" s="2"/>
      <c r="H44" s="2"/>
      <c r="I44" s="2"/>
      <c r="J44" s="53" t="n">
        <f aca="false">J30*$C30*$D30+(1-$D30)*$C30*SUMPRODUCT($J30:$V30,(Lists!$C$21:$O$21+$E30&gt;Lists!C$22)*(Lists!$C$21:$O$21+$E30&lt;=Lists!C$21))</f>
        <v>0</v>
      </c>
      <c r="K44" s="53" t="n">
        <f aca="false">K30*$C30*$D30+(1-$D30)*$C30*SUMPRODUCT($J30:$V30,(Lists!$C$21:$O$21+$E30&gt;Lists!D$22)*(Lists!$C$21:$O$21+$E30&lt;=Lists!D$21))</f>
        <v>0</v>
      </c>
      <c r="L44" s="53" t="n">
        <f aca="false">L30*$C30*$D30+(1-$D30)*$C30*SUMPRODUCT($J30:$V30,(Lists!$C$21:$O$21+$E30&gt;Lists!E$22)*(Lists!$C$21:$O$21+$E30&lt;=Lists!E$21))</f>
        <v>0</v>
      </c>
      <c r="M44" s="53" t="n">
        <f aca="false">M30*$C30*$D30+(1-$D30)*$C30*SUMPRODUCT($J30:$V30,(Lists!$C$21:$O$21+$E30&gt;Lists!F$22)*(Lists!$C$21:$O$21+$E30&lt;=Lists!F$21))</f>
        <v>0</v>
      </c>
      <c r="N44" s="53" t="n">
        <f aca="false">N30*$C30*$D30+(1-$D30)*$C30*SUMPRODUCT($J30:$V30,(Lists!$C$21:$O$21+$E30&gt;Lists!G$22)*(Lists!$C$21:$O$21+$E30&lt;=Lists!G$21))</f>
        <v>0</v>
      </c>
      <c r="O44" s="53" t="n">
        <f aca="false">O30*$C30*$D30+(1-$D30)*$C30*SUMPRODUCT($J30:$V30,(Lists!$C$21:$O$21+$E30&gt;Lists!H$22)*(Lists!$C$21:$O$21+$E30&lt;=Lists!H$21))</f>
        <v>0</v>
      </c>
      <c r="P44" s="53" t="n">
        <f aca="false">P30*$C30*$D30+(1-$D30)*$C30*SUMPRODUCT($J30:$V30,(Lists!$C$21:$O$21+$E30&gt;Lists!I$22)*(Lists!$C$21:$O$21+$E30&lt;=Lists!I$21))</f>
        <v>0</v>
      </c>
      <c r="Q44" s="53" t="n">
        <f aca="false">Q30*$C30*$D30+(1-$D30)*$C30*SUMPRODUCT($J30:$V30,(Lists!$C$21:$O$21+$E30&gt;Lists!J$22)*(Lists!$C$21:$O$21+$E30&lt;=Lists!J$21))</f>
        <v>0</v>
      </c>
      <c r="R44" s="53" t="n">
        <f aca="false">R30*$C30*$D30+(1-$D30)*$C30*SUMPRODUCT($J30:$V30,(Lists!$C$21:$O$21+$E30&gt;Lists!K$22)*(Lists!$C$21:$O$21+$E30&lt;=Lists!K$21))</f>
        <v>0</v>
      </c>
      <c r="S44" s="53" t="n">
        <f aca="false">S30*$C30*$D30+(1-$D30)*$C30*SUMPRODUCT($J30:$V30,(Lists!$C$21:$O$21+$E30&gt;Lists!L$22)*(Lists!$C$21:$O$21+$E30&lt;=Lists!L$21))</f>
        <v>0</v>
      </c>
      <c r="T44" s="53" t="n">
        <f aca="false">T30*$C30*$D30+(1-$D30)*$C30*SUMPRODUCT($J30:$V30,(Lists!$C$21:$O$21+$E30&gt;Lists!M$22)*(Lists!$C$21:$O$21+$E30&lt;=Lists!M$21))</f>
        <v>0</v>
      </c>
      <c r="U44" s="53" t="n">
        <f aca="false">U30*$C30*$D30+(1-$D30)*$C30*SUMPRODUCT($J30:$V30,(Lists!$C$21:$O$21+$E30&gt;Lists!N$22)*(Lists!$C$21:$O$21+$E30&lt;=Lists!N$21))</f>
        <v>0</v>
      </c>
      <c r="V44" s="53" t="n">
        <f aca="false">V30*$C30*$D30+(1-$D30)*$C30*SUMPRODUCT($J30:$V30,(Lists!$C$21:$O$21+$E30&gt;Lists!O$22)*(Lists!$C$21:$O$21+$E30&lt;=Lists!O$21))</f>
        <v>0</v>
      </c>
      <c r="W44" s="46" t="n">
        <f aca="false">SUM(J44:V44)</f>
        <v>0</v>
      </c>
      <c r="X44" s="92" t="n">
        <f aca="false">W30*C30-W44</f>
        <v>0</v>
      </c>
    </row>
    <row r="45" customFormat="false" ht="15" hidden="false" customHeight="false" outlineLevel="0" collapsed="false">
      <c r="A45" s="2"/>
      <c r="B45" s="9" t="str">
        <f aca="false">B31</f>
        <v/>
      </c>
      <c r="C45" s="2"/>
      <c r="D45" s="2"/>
      <c r="E45" s="2"/>
      <c r="F45" s="2"/>
      <c r="G45" s="2"/>
      <c r="H45" s="2"/>
      <c r="I45" s="2"/>
      <c r="J45" s="53" t="n">
        <f aca="false">J31*$C31*$D31+(1-$D31)*$C31*SUMPRODUCT($J31:$V31,(Lists!$C$21:$O$21+$E31&gt;Lists!C$22)*(Lists!$C$21:$O$21+$E31&lt;=Lists!C$21))</f>
        <v>0</v>
      </c>
      <c r="K45" s="53" t="n">
        <f aca="false">K31*$C31*$D31+(1-$D31)*$C31*SUMPRODUCT($J31:$V31,(Lists!$C$21:$O$21+$E31&gt;Lists!D$22)*(Lists!$C$21:$O$21+$E31&lt;=Lists!D$21))</f>
        <v>0</v>
      </c>
      <c r="L45" s="53" t="n">
        <f aca="false">L31*$C31*$D31+(1-$D31)*$C31*SUMPRODUCT($J31:$V31,(Lists!$C$21:$O$21+$E31&gt;Lists!E$22)*(Lists!$C$21:$O$21+$E31&lt;=Lists!E$21))</f>
        <v>0</v>
      </c>
      <c r="M45" s="53" t="n">
        <f aca="false">M31*$C31*$D31+(1-$D31)*$C31*SUMPRODUCT($J31:$V31,(Lists!$C$21:$O$21+$E31&gt;Lists!F$22)*(Lists!$C$21:$O$21+$E31&lt;=Lists!F$21))</f>
        <v>0</v>
      </c>
      <c r="N45" s="53" t="n">
        <f aca="false">N31*$C31*$D31+(1-$D31)*$C31*SUMPRODUCT($J31:$V31,(Lists!$C$21:$O$21+$E31&gt;Lists!G$22)*(Lists!$C$21:$O$21+$E31&lt;=Lists!G$21))</f>
        <v>0</v>
      </c>
      <c r="O45" s="53" t="n">
        <f aca="false">O31*$C31*$D31+(1-$D31)*$C31*SUMPRODUCT($J31:$V31,(Lists!$C$21:$O$21+$E31&gt;Lists!H$22)*(Lists!$C$21:$O$21+$E31&lt;=Lists!H$21))</f>
        <v>0</v>
      </c>
      <c r="P45" s="53" t="n">
        <f aca="false">P31*$C31*$D31+(1-$D31)*$C31*SUMPRODUCT($J31:$V31,(Lists!$C$21:$O$21+$E31&gt;Lists!I$22)*(Lists!$C$21:$O$21+$E31&lt;=Lists!I$21))</f>
        <v>0</v>
      </c>
      <c r="Q45" s="53" t="n">
        <f aca="false">Q31*$C31*$D31+(1-$D31)*$C31*SUMPRODUCT($J31:$V31,(Lists!$C$21:$O$21+$E31&gt;Lists!J$22)*(Lists!$C$21:$O$21+$E31&lt;=Lists!J$21))</f>
        <v>0</v>
      </c>
      <c r="R45" s="53" t="n">
        <f aca="false">R31*$C31*$D31+(1-$D31)*$C31*SUMPRODUCT($J31:$V31,(Lists!$C$21:$O$21+$E31&gt;Lists!K$22)*(Lists!$C$21:$O$21+$E31&lt;=Lists!K$21))</f>
        <v>0</v>
      </c>
      <c r="S45" s="53" t="n">
        <f aca="false">S31*$C31*$D31+(1-$D31)*$C31*SUMPRODUCT($J31:$V31,(Lists!$C$21:$O$21+$E31&gt;Lists!L$22)*(Lists!$C$21:$O$21+$E31&lt;=Lists!L$21))</f>
        <v>0</v>
      </c>
      <c r="T45" s="53" t="n">
        <f aca="false">T31*$C31*$D31+(1-$D31)*$C31*SUMPRODUCT($J31:$V31,(Lists!$C$21:$O$21+$E31&gt;Lists!M$22)*(Lists!$C$21:$O$21+$E31&lt;=Lists!M$21))</f>
        <v>0</v>
      </c>
      <c r="U45" s="53" t="n">
        <f aca="false">U31*$C31*$D31+(1-$D31)*$C31*SUMPRODUCT($J31:$V31,(Lists!$C$21:$O$21+$E31&gt;Lists!N$22)*(Lists!$C$21:$O$21+$E31&lt;=Lists!N$21))</f>
        <v>0</v>
      </c>
      <c r="V45" s="53" t="n">
        <f aca="false">V31*$C31*$D31+(1-$D31)*$C31*SUMPRODUCT($J31:$V31,(Lists!$C$21:$O$21+$E31&gt;Lists!O$22)*(Lists!$C$21:$O$21+$E31&lt;=Lists!O$21))</f>
        <v>0</v>
      </c>
      <c r="W45" s="46" t="n">
        <f aca="false">SUM(J45:V45)</f>
        <v>0</v>
      </c>
      <c r="X45" s="92" t="n">
        <f aca="false">W31*C31-W45</f>
        <v>0</v>
      </c>
    </row>
    <row r="46" customFormat="false" ht="15" hidden="false" customHeight="false" outlineLevel="0" collapsed="false">
      <c r="A46" s="2"/>
      <c r="B46" s="9" t="str">
        <f aca="false">B32</f>
        <v/>
      </c>
      <c r="C46" s="2"/>
      <c r="D46" s="2"/>
      <c r="E46" s="2"/>
      <c r="F46" s="2"/>
      <c r="G46" s="2"/>
      <c r="H46" s="2"/>
      <c r="I46" s="2"/>
      <c r="J46" s="53" t="n">
        <f aca="false">J32*$C32*$D32+(1-$D32)*$C32*SUMPRODUCT($J32:$V32,(Lists!$C$21:$O$21+$E32&gt;Lists!C$22)*(Lists!$C$21:$O$21+$E32&lt;=Lists!C$21))</f>
        <v>0</v>
      </c>
      <c r="K46" s="53" t="n">
        <f aca="false">K32*$C32*$D32+(1-$D32)*$C32*SUMPRODUCT($J32:$V32,(Lists!$C$21:$O$21+$E32&gt;Lists!D$22)*(Lists!$C$21:$O$21+$E32&lt;=Lists!D$21))</f>
        <v>0</v>
      </c>
      <c r="L46" s="53" t="n">
        <f aca="false">L32*$C32*$D32+(1-$D32)*$C32*SUMPRODUCT($J32:$V32,(Lists!$C$21:$O$21+$E32&gt;Lists!E$22)*(Lists!$C$21:$O$21+$E32&lt;=Lists!E$21))</f>
        <v>0</v>
      </c>
      <c r="M46" s="53" t="n">
        <f aca="false">M32*$C32*$D32+(1-$D32)*$C32*SUMPRODUCT($J32:$V32,(Lists!$C$21:$O$21+$E32&gt;Lists!F$22)*(Lists!$C$21:$O$21+$E32&lt;=Lists!F$21))</f>
        <v>0</v>
      </c>
      <c r="N46" s="53" t="n">
        <f aca="false">N32*$C32*$D32+(1-$D32)*$C32*SUMPRODUCT($J32:$V32,(Lists!$C$21:$O$21+$E32&gt;Lists!G$22)*(Lists!$C$21:$O$21+$E32&lt;=Lists!G$21))</f>
        <v>0</v>
      </c>
      <c r="O46" s="53" t="n">
        <f aca="false">O32*$C32*$D32+(1-$D32)*$C32*SUMPRODUCT($J32:$V32,(Lists!$C$21:$O$21+$E32&gt;Lists!H$22)*(Lists!$C$21:$O$21+$E32&lt;=Lists!H$21))</f>
        <v>0</v>
      </c>
      <c r="P46" s="53" t="n">
        <f aca="false">P32*$C32*$D32+(1-$D32)*$C32*SUMPRODUCT($J32:$V32,(Lists!$C$21:$O$21+$E32&gt;Lists!I$22)*(Lists!$C$21:$O$21+$E32&lt;=Lists!I$21))</f>
        <v>0</v>
      </c>
      <c r="Q46" s="53" t="n">
        <f aca="false">Q32*$C32*$D32+(1-$D32)*$C32*SUMPRODUCT($J32:$V32,(Lists!$C$21:$O$21+$E32&gt;Lists!J$22)*(Lists!$C$21:$O$21+$E32&lt;=Lists!J$21))</f>
        <v>0</v>
      </c>
      <c r="R46" s="53" t="n">
        <f aca="false">R32*$C32*$D32+(1-$D32)*$C32*SUMPRODUCT($J32:$V32,(Lists!$C$21:$O$21+$E32&gt;Lists!K$22)*(Lists!$C$21:$O$21+$E32&lt;=Lists!K$21))</f>
        <v>0</v>
      </c>
      <c r="S46" s="53" t="n">
        <f aca="false">S32*$C32*$D32+(1-$D32)*$C32*SUMPRODUCT($J32:$V32,(Lists!$C$21:$O$21+$E32&gt;Lists!L$22)*(Lists!$C$21:$O$21+$E32&lt;=Lists!L$21))</f>
        <v>0</v>
      </c>
      <c r="T46" s="53" t="n">
        <f aca="false">T32*$C32*$D32+(1-$D32)*$C32*SUMPRODUCT($J32:$V32,(Lists!$C$21:$O$21+$E32&gt;Lists!M$22)*(Lists!$C$21:$O$21+$E32&lt;=Lists!M$21))</f>
        <v>0</v>
      </c>
      <c r="U46" s="53" t="n">
        <f aca="false">U32*$C32*$D32+(1-$D32)*$C32*SUMPRODUCT($J32:$V32,(Lists!$C$21:$O$21+$E32&gt;Lists!N$22)*(Lists!$C$21:$O$21+$E32&lt;=Lists!N$21))</f>
        <v>0</v>
      </c>
      <c r="V46" s="53" t="n">
        <f aca="false">V32*$C32*$D32+(1-$D32)*$C32*SUMPRODUCT($J32:$V32,(Lists!$C$21:$O$21+$E32&gt;Lists!O$22)*(Lists!$C$21:$O$21+$E32&lt;=Lists!O$21))</f>
        <v>0</v>
      </c>
      <c r="W46" s="46" t="n">
        <f aca="false">SUM(J46:V46)</f>
        <v>0</v>
      </c>
      <c r="X46" s="92" t="n">
        <f aca="false">W32*C32-W46</f>
        <v>0</v>
      </c>
    </row>
    <row r="47" customFormat="false" ht="15" hidden="false" customHeight="false" outlineLevel="0" collapsed="false">
      <c r="A47" s="2"/>
      <c r="B47" s="15" t="s">
        <v>450</v>
      </c>
      <c r="C47" s="2"/>
      <c r="D47" s="2"/>
      <c r="E47" s="2"/>
      <c r="F47" s="2"/>
      <c r="G47" s="2"/>
      <c r="H47" s="2"/>
      <c r="I47" s="2"/>
      <c r="J47" s="48" t="n">
        <f aca="false">SUM(J37:J46)</f>
        <v>0</v>
      </c>
      <c r="K47" s="48" t="n">
        <f aca="false">SUM(K37:K46)</f>
        <v>0</v>
      </c>
      <c r="L47" s="48" t="n">
        <f aca="false">SUM(L37:L46)</f>
        <v>0</v>
      </c>
      <c r="M47" s="48" t="n">
        <f aca="false">SUM(M37:M46)</f>
        <v>0</v>
      </c>
      <c r="N47" s="48" t="n">
        <f aca="false">SUM(N37:N46)</f>
        <v>0</v>
      </c>
      <c r="O47" s="48" t="n">
        <f aca="false">SUM(O37:O46)</f>
        <v>0</v>
      </c>
      <c r="P47" s="48" t="n">
        <f aca="false">SUM(P37:P46)</f>
        <v>0</v>
      </c>
      <c r="Q47" s="48" t="n">
        <f aca="false">SUM(Q37:Q46)</f>
        <v>26400</v>
      </c>
      <c r="R47" s="48" t="n">
        <f aca="false">SUM(R37:R46)</f>
        <v>26400</v>
      </c>
      <c r="S47" s="48" t="n">
        <f aca="false">SUM(S37:S46)</f>
        <v>92400</v>
      </c>
      <c r="T47" s="48" t="n">
        <f aca="false">SUM(T37:T46)</f>
        <v>92400</v>
      </c>
      <c r="U47" s="48" t="n">
        <f aca="false">SUM(U37:U46)</f>
        <v>92400</v>
      </c>
      <c r="V47" s="48" t="n">
        <f aca="false">SUM(V37:V46)</f>
        <v>92400</v>
      </c>
      <c r="W47" s="48" t="n">
        <f aca="false">SUM(W37:W46)</f>
        <v>422400</v>
      </c>
      <c r="X47" s="48" t="n">
        <f aca="false">SUM(X37:X46)</f>
        <v>649200</v>
      </c>
    </row>
    <row r="48" customFormat="false" ht="15" hidden="false" customHeight="false" outlineLevel="0" collapsed="false">
      <c r="A48" s="2"/>
      <c r="B48" s="21" t="s">
        <v>451</v>
      </c>
      <c r="C48" s="2"/>
      <c r="D48" s="2"/>
      <c r="E48" s="2"/>
      <c r="F48" s="2"/>
      <c r="G48" s="2"/>
      <c r="H48" s="2"/>
      <c r="I48" s="2"/>
      <c r="J48" s="99" t="n">
        <f aca="false">SUMPRODUCT(J23:J32,$C$23:$C$32,$D$23:$D$32)</f>
        <v>0</v>
      </c>
      <c r="K48" s="99" t="n">
        <f aca="false">SUMPRODUCT(K23:K32,$C$23:$C$32,$D$23:$D$32)</f>
        <v>0</v>
      </c>
      <c r="L48" s="99" t="n">
        <f aca="false">SUMPRODUCT(L23:L32,$C$23:$C$32,$D$23:$D$32)</f>
        <v>0</v>
      </c>
      <c r="M48" s="99" t="n">
        <f aca="false">SUMPRODUCT(M23:M32,$C$23:$C$32,$D$23:$D$32)</f>
        <v>0</v>
      </c>
      <c r="N48" s="99" t="n">
        <f aca="false">SUMPRODUCT(N23:N32,$C$23:$C$32,$D$23:$D$32)</f>
        <v>0</v>
      </c>
      <c r="O48" s="99" t="n">
        <f aca="false">SUMPRODUCT(O23:O32,$C$23:$C$32,$D$23:$D$32)</f>
        <v>0</v>
      </c>
      <c r="P48" s="99" t="n">
        <f aca="false">SUMPRODUCT(P23:P32,$C$23:$C$32,$D$23:$D$32)</f>
        <v>0</v>
      </c>
      <c r="Q48" s="99" t="n">
        <f aca="false">SUMPRODUCT(Q23:Q32,$C$23:$C$32,$D$23:$D$32)</f>
        <v>0</v>
      </c>
      <c r="R48" s="99" t="n">
        <f aca="false">SUMPRODUCT(R23:R32,$C$23:$C$32,$D$23:$D$32)</f>
        <v>0</v>
      </c>
      <c r="S48" s="99" t="n">
        <f aca="false">SUMPRODUCT(S23:S32,$C$23:$C$32,$D$23:$D$32)</f>
        <v>0</v>
      </c>
      <c r="T48" s="99" t="n">
        <f aca="false">SUMPRODUCT(T23:T32,$C$23:$C$32,$D$23:$D$32)</f>
        <v>0</v>
      </c>
      <c r="U48" s="99" t="n">
        <f aca="false">SUMPRODUCT(U23:U32,$C$23:$C$32,$D$23:$D$32)</f>
        <v>0</v>
      </c>
      <c r="V48" s="99" t="n">
        <f aca="false">SUMPRODUCT(V23:V32,$C$23:$C$32,$D$23:$D$32)</f>
        <v>0</v>
      </c>
      <c r="W48" s="99" t="n">
        <f aca="false">SUMPRODUCT(W23:W32,$C$23:$C$32,$D$23:$D$32)</f>
        <v>0</v>
      </c>
      <c r="X48" s="2"/>
    </row>
    <row r="49" customFormat="false" ht="1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c r="W49" s="2"/>
      <c r="X49" s="2"/>
    </row>
    <row r="50" customFormat="false" ht="15" hidden="false" customHeight="false" outlineLevel="0" collapsed="false">
      <c r="A50" s="2"/>
      <c r="B50" s="21" t="s">
        <v>452</v>
      </c>
      <c r="C50" s="2"/>
      <c r="D50" s="2"/>
      <c r="E50" s="2"/>
      <c r="F50" s="2"/>
      <c r="G50" s="2"/>
      <c r="H50" s="2"/>
      <c r="I50" s="2"/>
      <c r="J50" s="2"/>
      <c r="K50" s="2"/>
      <c r="L50" s="2"/>
      <c r="M50" s="2"/>
      <c r="N50" s="2"/>
      <c r="O50" s="2"/>
      <c r="P50" s="2"/>
      <c r="Q50" s="2"/>
      <c r="R50" s="2"/>
      <c r="S50" s="2"/>
      <c r="T50" s="2"/>
      <c r="U50" s="2"/>
      <c r="V50" s="2"/>
      <c r="W50" s="2"/>
      <c r="X50" s="2"/>
    </row>
  </sheetData>
  <sheetProtection sheet="true" formatCells="false" formatColumns="false" formatRows="false"/>
  <dataValidations count="2">
    <dataValidation allowBlank="true" error="Please pick from the list." errorStyle="stop" errorTitle="Choose from the list" operator="between" showDropDown="false" showErrorMessage="false" showInputMessage="false" sqref="C9:C18" type="list">
      <formula1>Lists!$A$2:$A$3</formula1>
      <formula2>0</formula2>
    </dataValidation>
    <dataValidation allowBlank="true" error="Please pick from the list." errorStyle="stop" errorTitle="Choose from the list" operator="between" showDropDown="false" showErrorMessage="false" showInputMessage="false" sqref="G9:G18" type="list">
      <formula1>Lists!$B$2:$B$3</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62"/>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4"/>
    <col collapsed="false" customWidth="true" hidden="false" outlineLevel="0" max="3" min="3" style="1" width="8"/>
    <col collapsed="false" customWidth="true" hidden="false" outlineLevel="0" max="6" min="4" style="1" width="9"/>
    <col collapsed="false" customWidth="true" hidden="false" outlineLevel="0" max="7" min="7" style="1" width="26"/>
    <col collapsed="false" customWidth="true" hidden="false" outlineLevel="0" max="8" min="8" style="1" width="12"/>
    <col collapsed="false" customWidth="true" hidden="false" outlineLevel="0" max="9" min="9" style="1" width="8"/>
    <col collapsed="false" customWidth="true" hidden="false" outlineLevel="0" max="22" min="10" style="1" width="11"/>
    <col collapsed="false" customWidth="true" hidden="false" outlineLevel="0" max="24" min="23" style="1" width="13"/>
    <col collapsed="false" customWidth="true" hidden="false" outlineLevel="0" max="25" min="25" style="1" width="12"/>
    <col collapsed="false" customWidth="true" hidden="false" outlineLevel="0" max="26" min="26" style="1" width="13"/>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c r="Y1" s="2"/>
      <c r="Z1" s="2"/>
    </row>
    <row r="2" customFormat="false" ht="15" hidden="false" customHeight="false" outlineLevel="0" collapsed="false">
      <c r="A2" s="4" t="s">
        <v>453</v>
      </c>
      <c r="B2" s="2"/>
      <c r="C2" s="2"/>
      <c r="D2" s="2"/>
      <c r="E2" s="2"/>
      <c r="F2" s="2"/>
      <c r="G2" s="2"/>
      <c r="H2" s="2"/>
      <c r="I2" s="2"/>
      <c r="J2" s="2"/>
      <c r="K2" s="2"/>
      <c r="L2" s="2"/>
      <c r="M2" s="2"/>
      <c r="N2" s="2"/>
      <c r="O2" s="2"/>
      <c r="P2" s="2"/>
      <c r="Q2" s="2"/>
      <c r="R2" s="2"/>
      <c r="S2" s="2"/>
      <c r="T2" s="2"/>
      <c r="U2" s="2"/>
      <c r="V2" s="2"/>
      <c r="W2" s="2"/>
      <c r="X2" s="2"/>
      <c r="Y2" s="2"/>
      <c r="Z2" s="2"/>
    </row>
    <row r="3" customFormat="false" ht="15" hidden="false" customHeight="false" outlineLevel="0" collapsed="false">
      <c r="A3" s="21" t="s">
        <v>454</v>
      </c>
      <c r="B3" s="2"/>
      <c r="C3" s="2"/>
      <c r="D3" s="2"/>
      <c r="E3" s="2"/>
      <c r="F3" s="2"/>
      <c r="G3" s="2"/>
      <c r="H3" s="2"/>
      <c r="I3" s="2"/>
      <c r="J3" s="2"/>
      <c r="K3" s="2"/>
      <c r="L3" s="2"/>
      <c r="M3" s="2"/>
      <c r="N3" s="2"/>
      <c r="O3" s="2"/>
      <c r="P3" s="2"/>
      <c r="Q3" s="2"/>
      <c r="R3" s="2"/>
      <c r="S3" s="2"/>
      <c r="T3" s="2"/>
      <c r="U3" s="2"/>
      <c r="V3" s="2"/>
      <c r="W3" s="2"/>
      <c r="X3" s="2"/>
      <c r="Y3" s="2"/>
      <c r="Z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c r="Y4" s="2"/>
      <c r="Z4" s="2"/>
    </row>
    <row r="5" customFormat="false" ht="15" hidden="false" customHeight="false" outlineLevel="0" collapsed="false">
      <c r="A5" s="2"/>
      <c r="B5" s="2"/>
      <c r="C5" s="2"/>
      <c r="D5" s="2"/>
      <c r="E5" s="2"/>
      <c r="F5" s="2"/>
      <c r="G5" s="2"/>
      <c r="H5" s="2"/>
      <c r="I5" s="2"/>
      <c r="J5" s="42" t="str">
        <f aca="false">"Week "&amp;Lists!C$20</f>
        <v>Week 1</v>
      </c>
      <c r="K5" s="42" t="str">
        <f aca="false">"Week "&amp;Lists!D$20</f>
        <v>Week 2</v>
      </c>
      <c r="L5" s="42" t="str">
        <f aca="false">"Week "&amp;Lists!E$20</f>
        <v>Week 3</v>
      </c>
      <c r="M5" s="42" t="str">
        <f aca="false">"Week "&amp;Lists!F$20</f>
        <v>Week 4</v>
      </c>
      <c r="N5" s="42" t="str">
        <f aca="false">"Week "&amp;Lists!G$20</f>
        <v>Week 5</v>
      </c>
      <c r="O5" s="42" t="str">
        <f aca="false">"Week "&amp;Lists!H$20</f>
        <v>Week 6</v>
      </c>
      <c r="P5" s="42" t="str">
        <f aca="false">"Week "&amp;Lists!I$20</f>
        <v>Week 7</v>
      </c>
      <c r="Q5" s="42" t="str">
        <f aca="false">"Week "&amp;Lists!J$20</f>
        <v>Week 8</v>
      </c>
      <c r="R5" s="42" t="str">
        <f aca="false">"Week "&amp;Lists!K$20</f>
        <v>Week 9</v>
      </c>
      <c r="S5" s="42" t="str">
        <f aca="false">"Week "&amp;Lists!L$20</f>
        <v>Week 10</v>
      </c>
      <c r="T5" s="42" t="str">
        <f aca="false">"Week "&amp;Lists!M$20</f>
        <v>Week 11</v>
      </c>
      <c r="U5" s="42" t="str">
        <f aca="false">"Week "&amp;Lists!N$20</f>
        <v>Week 12</v>
      </c>
      <c r="V5" s="42" t="str">
        <f aca="false">"Week "&amp;Lists!O$20</f>
        <v>Week 13</v>
      </c>
      <c r="W5" s="42" t="s">
        <v>253</v>
      </c>
      <c r="X5" s="2"/>
      <c r="Y5" s="2"/>
      <c r="Z5" s="2"/>
    </row>
    <row r="6" customFormat="false" ht="15" hidden="false" customHeight="false" outlineLevel="0" collapsed="false">
      <c r="A6" s="2"/>
      <c r="B6" s="2"/>
      <c r="C6" s="2"/>
      <c r="D6" s="2"/>
      <c r="E6" s="2"/>
      <c r="F6" s="2"/>
      <c r="G6" s="2"/>
      <c r="H6" s="2"/>
      <c r="I6" s="2"/>
      <c r="J6" s="45" t="n">
        <f aca="false">Lists!C$21</f>
        <v>46339</v>
      </c>
      <c r="K6" s="45" t="n">
        <f aca="false">Lists!D$21</f>
        <v>46346</v>
      </c>
      <c r="L6" s="45" t="n">
        <f aca="false">Lists!E$21</f>
        <v>46353</v>
      </c>
      <c r="M6" s="45" t="n">
        <f aca="false">Lists!F$21</f>
        <v>46360</v>
      </c>
      <c r="N6" s="45" t="n">
        <f aca="false">Lists!G$21</f>
        <v>46367</v>
      </c>
      <c r="O6" s="45" t="n">
        <f aca="false">Lists!H$21</f>
        <v>46374</v>
      </c>
      <c r="P6" s="45" t="n">
        <f aca="false">Lists!I$21</f>
        <v>46381</v>
      </c>
      <c r="Q6" s="45" t="n">
        <f aca="false">Lists!J$21</f>
        <v>46388</v>
      </c>
      <c r="R6" s="45" t="n">
        <f aca="false">Lists!K$21</f>
        <v>46395</v>
      </c>
      <c r="S6" s="45" t="n">
        <f aca="false">Lists!L$21</f>
        <v>46402</v>
      </c>
      <c r="T6" s="45" t="n">
        <f aca="false">Lists!M$21</f>
        <v>46409</v>
      </c>
      <c r="U6" s="45" t="n">
        <f aca="false">Lists!N$21</f>
        <v>46416</v>
      </c>
      <c r="V6" s="45" t="n">
        <f aca="false">Lists!O$21</f>
        <v>46423</v>
      </c>
      <c r="W6" s="42" t="s">
        <v>254</v>
      </c>
      <c r="X6" s="2"/>
      <c r="Y6" s="2"/>
      <c r="Z6" s="2"/>
    </row>
    <row r="7" customFormat="false" ht="15" hidden="false" customHeight="false" outlineLevel="0" collapsed="false">
      <c r="A7" s="5" t="s">
        <v>455</v>
      </c>
      <c r="B7" s="6"/>
      <c r="C7" s="6"/>
      <c r="D7" s="6"/>
      <c r="E7" s="6"/>
      <c r="F7" s="6"/>
      <c r="G7" s="6"/>
      <c r="H7" s="6"/>
      <c r="I7" s="6"/>
      <c r="J7" s="6"/>
      <c r="K7" s="6"/>
      <c r="L7" s="6"/>
      <c r="M7" s="6"/>
      <c r="N7" s="6"/>
      <c r="O7" s="6"/>
      <c r="P7" s="6"/>
      <c r="Q7" s="6"/>
      <c r="R7" s="6"/>
      <c r="S7" s="6"/>
      <c r="T7" s="6"/>
      <c r="U7" s="6"/>
      <c r="V7" s="6"/>
      <c r="W7" s="6"/>
      <c r="X7" s="5" t="s">
        <v>456</v>
      </c>
      <c r="Y7" s="6"/>
      <c r="Z7" s="6"/>
    </row>
    <row r="8" customFormat="false" ht="42" hidden="false" customHeight="true" outlineLevel="0" collapsed="false">
      <c r="A8" s="56" t="s">
        <v>377</v>
      </c>
      <c r="B8" s="56" t="s">
        <v>457</v>
      </c>
      <c r="C8" s="56" t="s">
        <v>458</v>
      </c>
      <c r="D8" s="56" t="s">
        <v>459</v>
      </c>
      <c r="E8" s="56" t="s">
        <v>420</v>
      </c>
      <c r="F8" s="56" t="s">
        <v>358</v>
      </c>
      <c r="G8" s="56" t="s">
        <v>460</v>
      </c>
      <c r="H8" s="56" t="s">
        <v>434</v>
      </c>
      <c r="I8" s="56" t="s">
        <v>435</v>
      </c>
      <c r="J8" s="56" t="s">
        <v>437</v>
      </c>
      <c r="K8" s="56" t="s">
        <v>437</v>
      </c>
      <c r="L8" s="56" t="s">
        <v>437</v>
      </c>
      <c r="M8" s="56" t="s">
        <v>437</v>
      </c>
      <c r="N8" s="56" t="s">
        <v>437</v>
      </c>
      <c r="O8" s="56" t="s">
        <v>437</v>
      </c>
      <c r="P8" s="56" t="s">
        <v>437</v>
      </c>
      <c r="Q8" s="56" t="s">
        <v>437</v>
      </c>
      <c r="R8" s="56" t="s">
        <v>437</v>
      </c>
      <c r="S8" s="56" t="s">
        <v>437</v>
      </c>
      <c r="T8" s="56" t="s">
        <v>437</v>
      </c>
      <c r="U8" s="56" t="s">
        <v>437</v>
      </c>
      <c r="V8" s="56" t="s">
        <v>437</v>
      </c>
      <c r="W8" s="56" t="s">
        <v>438</v>
      </c>
      <c r="X8" s="56" t="s">
        <v>461</v>
      </c>
      <c r="Y8" s="56" t="s">
        <v>462</v>
      </c>
      <c r="Z8" s="56" t="s">
        <v>463</v>
      </c>
    </row>
    <row r="9" customFormat="false" ht="15" hidden="false" customHeight="false" outlineLevel="0" collapsed="false">
      <c r="A9" s="87" t="n">
        <v>1</v>
      </c>
      <c r="B9" s="55" t="s">
        <v>464</v>
      </c>
      <c r="C9" s="58" t="s">
        <v>186</v>
      </c>
      <c r="D9" s="79" t="n">
        <v>0</v>
      </c>
      <c r="E9" s="80" t="n">
        <v>40</v>
      </c>
      <c r="F9" s="79" t="n">
        <v>0.45</v>
      </c>
      <c r="G9" s="55" t="s">
        <v>465</v>
      </c>
      <c r="H9" s="88"/>
      <c r="I9" s="58"/>
      <c r="J9" s="88"/>
      <c r="K9" s="88"/>
      <c r="L9" s="88"/>
      <c r="M9" s="88"/>
      <c r="N9" s="88"/>
      <c r="O9" s="88"/>
      <c r="P9" s="88"/>
      <c r="Q9" s="88"/>
      <c r="R9" s="88"/>
      <c r="S9" s="88"/>
      <c r="T9" s="88"/>
      <c r="U9" s="88"/>
      <c r="V9" s="88"/>
      <c r="W9" s="92" t="n">
        <f aca="false">W23</f>
        <v>401850</v>
      </c>
      <c r="X9" s="80"/>
      <c r="Y9" s="80"/>
      <c r="Z9" s="100"/>
    </row>
    <row r="10" customFormat="false" ht="15" hidden="false" customHeight="false" outlineLevel="0" collapsed="false">
      <c r="A10" s="87" t="n">
        <v>2</v>
      </c>
      <c r="B10" s="55" t="s">
        <v>466</v>
      </c>
      <c r="C10" s="58" t="s">
        <v>186</v>
      </c>
      <c r="D10" s="79" t="n">
        <v>0</v>
      </c>
      <c r="E10" s="80" t="n">
        <v>30</v>
      </c>
      <c r="F10" s="79" t="n">
        <v>0.15</v>
      </c>
      <c r="G10" s="55" t="s">
        <v>465</v>
      </c>
      <c r="H10" s="88"/>
      <c r="I10" s="58"/>
      <c r="J10" s="88"/>
      <c r="K10" s="88"/>
      <c r="L10" s="88"/>
      <c r="M10" s="88"/>
      <c r="N10" s="88"/>
      <c r="O10" s="88"/>
      <c r="P10" s="88"/>
      <c r="Q10" s="88"/>
      <c r="R10" s="88"/>
      <c r="S10" s="88"/>
      <c r="T10" s="88"/>
      <c r="U10" s="88"/>
      <c r="V10" s="88"/>
      <c r="W10" s="92" t="n">
        <f aca="false">W24</f>
        <v>133950</v>
      </c>
      <c r="X10" s="80"/>
      <c r="Y10" s="80"/>
      <c r="Z10" s="100"/>
    </row>
    <row r="11" customFormat="false" ht="15" hidden="false" customHeight="false" outlineLevel="0" collapsed="false">
      <c r="A11" s="87" t="n">
        <v>3</v>
      </c>
      <c r="B11" s="55"/>
      <c r="C11" s="58"/>
      <c r="D11" s="79"/>
      <c r="E11" s="80"/>
      <c r="F11" s="79"/>
      <c r="G11" s="55"/>
      <c r="H11" s="88"/>
      <c r="I11" s="58"/>
      <c r="J11" s="88"/>
      <c r="K11" s="88"/>
      <c r="L11" s="88"/>
      <c r="M11" s="88"/>
      <c r="N11" s="88"/>
      <c r="O11" s="88"/>
      <c r="P11" s="88"/>
      <c r="Q11" s="88"/>
      <c r="R11" s="88"/>
      <c r="S11" s="88"/>
      <c r="T11" s="88"/>
      <c r="U11" s="88"/>
      <c r="V11" s="88"/>
      <c r="W11" s="92" t="n">
        <f aca="false">W25</f>
        <v>0</v>
      </c>
      <c r="X11" s="80"/>
      <c r="Y11" s="80"/>
      <c r="Z11" s="100"/>
    </row>
    <row r="12" customFormat="false" ht="15" hidden="false" customHeight="false" outlineLevel="0" collapsed="false">
      <c r="A12" s="87" t="n">
        <v>4</v>
      </c>
      <c r="B12" s="55"/>
      <c r="C12" s="58"/>
      <c r="D12" s="79"/>
      <c r="E12" s="80"/>
      <c r="F12" s="79"/>
      <c r="G12" s="55"/>
      <c r="H12" s="88"/>
      <c r="I12" s="58"/>
      <c r="J12" s="88"/>
      <c r="K12" s="88"/>
      <c r="L12" s="88"/>
      <c r="M12" s="88"/>
      <c r="N12" s="88"/>
      <c r="O12" s="88"/>
      <c r="P12" s="88"/>
      <c r="Q12" s="88"/>
      <c r="R12" s="88"/>
      <c r="S12" s="88"/>
      <c r="T12" s="88"/>
      <c r="U12" s="88"/>
      <c r="V12" s="88"/>
      <c r="W12" s="92" t="n">
        <f aca="false">W26</f>
        <v>0</v>
      </c>
      <c r="X12" s="80"/>
      <c r="Y12" s="80"/>
      <c r="Z12" s="100"/>
    </row>
    <row r="13" customFormat="false" ht="15" hidden="false" customHeight="false" outlineLevel="0" collapsed="false">
      <c r="A13" s="87" t="n">
        <v>5</v>
      </c>
      <c r="B13" s="55"/>
      <c r="C13" s="58"/>
      <c r="D13" s="79"/>
      <c r="E13" s="80"/>
      <c r="F13" s="79"/>
      <c r="G13" s="55"/>
      <c r="H13" s="88"/>
      <c r="I13" s="58"/>
      <c r="J13" s="88"/>
      <c r="K13" s="88"/>
      <c r="L13" s="88"/>
      <c r="M13" s="88"/>
      <c r="N13" s="88"/>
      <c r="O13" s="88"/>
      <c r="P13" s="88"/>
      <c r="Q13" s="88"/>
      <c r="R13" s="88"/>
      <c r="S13" s="88"/>
      <c r="T13" s="88"/>
      <c r="U13" s="88"/>
      <c r="V13" s="88"/>
      <c r="W13" s="92" t="n">
        <f aca="false">W27</f>
        <v>0</v>
      </c>
      <c r="X13" s="80"/>
      <c r="Y13" s="80"/>
      <c r="Z13" s="100"/>
    </row>
    <row r="14" customFormat="false" ht="15" hidden="false" customHeight="false" outlineLevel="0" collapsed="false">
      <c r="A14" s="87" t="n">
        <v>6</v>
      </c>
      <c r="B14" s="55"/>
      <c r="C14" s="58"/>
      <c r="D14" s="79"/>
      <c r="E14" s="80"/>
      <c r="F14" s="79"/>
      <c r="G14" s="55"/>
      <c r="H14" s="88"/>
      <c r="I14" s="58"/>
      <c r="J14" s="88"/>
      <c r="K14" s="88"/>
      <c r="L14" s="88"/>
      <c r="M14" s="88"/>
      <c r="N14" s="88"/>
      <c r="O14" s="88"/>
      <c r="P14" s="88"/>
      <c r="Q14" s="88"/>
      <c r="R14" s="88"/>
      <c r="S14" s="88"/>
      <c r="T14" s="88"/>
      <c r="U14" s="88"/>
      <c r="V14" s="88"/>
      <c r="W14" s="92" t="n">
        <f aca="false">W28</f>
        <v>0</v>
      </c>
      <c r="X14" s="80"/>
      <c r="Y14" s="80"/>
      <c r="Z14" s="100"/>
    </row>
    <row r="15" customFormat="false" ht="15" hidden="false" customHeight="false" outlineLevel="0" collapsed="false">
      <c r="A15" s="87" t="n">
        <v>7</v>
      </c>
      <c r="B15" s="55"/>
      <c r="C15" s="58"/>
      <c r="D15" s="79"/>
      <c r="E15" s="80"/>
      <c r="F15" s="79"/>
      <c r="G15" s="55"/>
      <c r="H15" s="88"/>
      <c r="I15" s="58"/>
      <c r="J15" s="88"/>
      <c r="K15" s="88"/>
      <c r="L15" s="88"/>
      <c r="M15" s="88"/>
      <c r="N15" s="88"/>
      <c r="O15" s="88"/>
      <c r="P15" s="88"/>
      <c r="Q15" s="88"/>
      <c r="R15" s="88"/>
      <c r="S15" s="88"/>
      <c r="T15" s="88"/>
      <c r="U15" s="88"/>
      <c r="V15" s="88"/>
      <c r="W15" s="92" t="n">
        <f aca="false">W29</f>
        <v>0</v>
      </c>
      <c r="X15" s="80"/>
      <c r="Y15" s="80"/>
      <c r="Z15" s="100"/>
    </row>
    <row r="16" customFormat="false" ht="15" hidden="false" customHeight="false" outlineLevel="0" collapsed="false">
      <c r="A16" s="87" t="n">
        <v>8</v>
      </c>
      <c r="B16" s="55"/>
      <c r="C16" s="58"/>
      <c r="D16" s="79"/>
      <c r="E16" s="80"/>
      <c r="F16" s="79"/>
      <c r="G16" s="55"/>
      <c r="H16" s="88"/>
      <c r="I16" s="58"/>
      <c r="J16" s="88"/>
      <c r="K16" s="88"/>
      <c r="L16" s="88"/>
      <c r="M16" s="88"/>
      <c r="N16" s="88"/>
      <c r="O16" s="88"/>
      <c r="P16" s="88"/>
      <c r="Q16" s="88"/>
      <c r="R16" s="88"/>
      <c r="S16" s="88"/>
      <c r="T16" s="88"/>
      <c r="U16" s="88"/>
      <c r="V16" s="88"/>
      <c r="W16" s="92" t="n">
        <f aca="false">W30</f>
        <v>0</v>
      </c>
      <c r="X16" s="80"/>
      <c r="Y16" s="80"/>
      <c r="Z16" s="100"/>
    </row>
    <row r="17" customFormat="false" ht="15" hidden="false" customHeight="false" outlineLevel="0" collapsed="false">
      <c r="A17" s="87" t="n">
        <v>9</v>
      </c>
      <c r="B17" s="55"/>
      <c r="C17" s="58"/>
      <c r="D17" s="79"/>
      <c r="E17" s="80"/>
      <c r="F17" s="79"/>
      <c r="G17" s="55"/>
      <c r="H17" s="88"/>
      <c r="I17" s="58"/>
      <c r="J17" s="88"/>
      <c r="K17" s="88"/>
      <c r="L17" s="88"/>
      <c r="M17" s="88"/>
      <c r="N17" s="88"/>
      <c r="O17" s="88"/>
      <c r="P17" s="88"/>
      <c r="Q17" s="88"/>
      <c r="R17" s="88"/>
      <c r="S17" s="88"/>
      <c r="T17" s="88"/>
      <c r="U17" s="88"/>
      <c r="V17" s="88"/>
      <c r="W17" s="92" t="n">
        <f aca="false">W31</f>
        <v>0</v>
      </c>
      <c r="X17" s="80"/>
      <c r="Y17" s="80"/>
      <c r="Z17" s="100"/>
    </row>
    <row r="18" customFormat="false" ht="15" hidden="false" customHeight="false" outlineLevel="0" collapsed="false">
      <c r="A18" s="87" t="n">
        <v>10</v>
      </c>
      <c r="B18" s="55"/>
      <c r="C18" s="58"/>
      <c r="D18" s="79"/>
      <c r="E18" s="80"/>
      <c r="F18" s="79"/>
      <c r="G18" s="55"/>
      <c r="H18" s="88"/>
      <c r="I18" s="58"/>
      <c r="J18" s="88"/>
      <c r="K18" s="88"/>
      <c r="L18" s="88"/>
      <c r="M18" s="88"/>
      <c r="N18" s="88"/>
      <c r="O18" s="88"/>
      <c r="P18" s="88"/>
      <c r="Q18" s="88"/>
      <c r="R18" s="88"/>
      <c r="S18" s="88"/>
      <c r="T18" s="88"/>
      <c r="U18" s="88"/>
      <c r="V18" s="88"/>
      <c r="W18" s="92" t="n">
        <f aca="false">W32</f>
        <v>0</v>
      </c>
      <c r="X18" s="80"/>
      <c r="Y18" s="80"/>
      <c r="Z18" s="100"/>
    </row>
    <row r="19" customFormat="false" ht="15" hidden="false" customHeight="false" outlineLevel="0" collapsed="false">
      <c r="A19" s="2"/>
      <c r="B19" s="2"/>
      <c r="C19" s="2"/>
      <c r="D19" s="2"/>
      <c r="E19" s="2"/>
      <c r="F19" s="2"/>
      <c r="G19" s="2"/>
      <c r="H19" s="2"/>
      <c r="I19" s="2"/>
      <c r="J19" s="2"/>
      <c r="K19" s="2"/>
      <c r="L19" s="2"/>
      <c r="M19" s="2"/>
      <c r="N19" s="2"/>
      <c r="O19" s="2"/>
      <c r="P19" s="2"/>
      <c r="Q19" s="2"/>
      <c r="R19" s="2"/>
      <c r="S19" s="2"/>
      <c r="T19" s="2"/>
      <c r="U19" s="2"/>
      <c r="V19" s="2"/>
      <c r="W19" s="2"/>
      <c r="X19" s="2"/>
      <c r="Y19" s="2"/>
      <c r="Z19" s="2"/>
    </row>
    <row r="20" customFormat="false" ht="15" hidden="false" customHeight="false" outlineLevel="0" collapsed="false">
      <c r="A20" s="2"/>
      <c r="B20" s="2"/>
      <c r="C20" s="2"/>
      <c r="D20" s="2"/>
      <c r="E20" s="2"/>
      <c r="F20" s="2"/>
      <c r="G20" s="2"/>
      <c r="H20" s="2"/>
      <c r="I20" s="2"/>
      <c r="J20" s="2"/>
      <c r="K20" s="2"/>
      <c r="L20" s="2"/>
      <c r="M20" s="2"/>
      <c r="N20" s="2"/>
      <c r="O20" s="2"/>
      <c r="P20" s="2"/>
      <c r="Q20" s="2"/>
      <c r="R20" s="2"/>
      <c r="S20" s="2"/>
      <c r="T20" s="2"/>
      <c r="U20" s="2"/>
      <c r="V20" s="2"/>
      <c r="W20" s="2"/>
      <c r="X20" s="2"/>
      <c r="Y20" s="2"/>
      <c r="Z20" s="2"/>
    </row>
    <row r="21" customFormat="false" ht="15" hidden="false" customHeight="false" outlineLevel="0" collapsed="false">
      <c r="A21" s="5" t="s">
        <v>467</v>
      </c>
      <c r="B21" s="6"/>
      <c r="C21" s="6"/>
      <c r="D21" s="6"/>
      <c r="E21" s="6"/>
      <c r="F21" s="6"/>
      <c r="G21" s="6"/>
      <c r="H21" s="6"/>
      <c r="I21" s="6"/>
      <c r="J21" s="6"/>
      <c r="K21" s="6"/>
      <c r="L21" s="6"/>
      <c r="M21" s="6"/>
      <c r="N21" s="6"/>
      <c r="O21" s="6"/>
      <c r="P21" s="6"/>
      <c r="Q21" s="6"/>
      <c r="R21" s="6"/>
      <c r="S21" s="6"/>
      <c r="T21" s="6"/>
      <c r="U21" s="6"/>
      <c r="V21" s="6"/>
      <c r="W21" s="6"/>
      <c r="X21" s="6"/>
      <c r="Y21" s="2"/>
      <c r="Z21" s="2"/>
    </row>
    <row r="22" customFormat="false" ht="23.85" hidden="false" customHeight="false" outlineLevel="0" collapsed="false">
      <c r="A22" s="2"/>
      <c r="B22" s="56" t="s">
        <v>468</v>
      </c>
      <c r="C22" s="56" t="s">
        <v>443</v>
      </c>
      <c r="D22" s="56" t="s">
        <v>469</v>
      </c>
      <c r="E22" s="56" t="s">
        <v>403</v>
      </c>
      <c r="F22" s="2"/>
      <c r="G22" s="2"/>
      <c r="H22" s="56" t="s">
        <v>445</v>
      </c>
      <c r="I22" s="2"/>
      <c r="J22" s="2"/>
      <c r="K22" s="2"/>
      <c r="L22" s="2"/>
      <c r="M22" s="2"/>
      <c r="N22" s="2"/>
      <c r="O22" s="2"/>
      <c r="P22" s="2"/>
      <c r="Q22" s="2"/>
      <c r="R22" s="2"/>
      <c r="S22" s="2"/>
      <c r="T22" s="2"/>
      <c r="U22" s="2"/>
      <c r="V22" s="2"/>
      <c r="W22" s="56" t="s">
        <v>438</v>
      </c>
      <c r="X22" s="2"/>
      <c r="Y22" s="2"/>
      <c r="Z22" s="2"/>
    </row>
    <row r="23" customFormat="false" ht="15" hidden="false" customHeight="false" outlineLevel="0" collapsed="false">
      <c r="A23" s="2"/>
      <c r="B23" s="9" t="str">
        <f aca="false">IF(B9="","",B9)</f>
        <v>Steel and materials</v>
      </c>
      <c r="C23" s="96" t="n">
        <f aca="false">IF(AND(Setup!$D$16="Yes",C9&lt;&gt;"No"),1+Setup!$D$17,1)</f>
        <v>1.2</v>
      </c>
      <c r="D23" s="97" t="n">
        <f aca="false">IF(D9="",0,MIN(1,D9))</f>
        <v>0</v>
      </c>
      <c r="E23" s="98" t="n">
        <f aca="false">IF(E9="",Setup!$D$21,E9)</f>
        <v>40</v>
      </c>
      <c r="F23" s="2"/>
      <c r="G23" s="2"/>
      <c r="H23" s="92" t="n">
        <f aca="false">IF(I9="Month",N(H9)*12/52,N(H9))</f>
        <v>0</v>
      </c>
      <c r="I23" s="2"/>
      <c r="J23" s="53" t="n">
        <f aca="false">N($F9)*IF(OR($G9="",$G9="All sales"),Sales!J$33,SUMIF(Sales!$B$9:$B$18,$G9,Sales!J$23:J$32))+$H23+N(J9)</f>
        <v>34650</v>
      </c>
      <c r="K23" s="53" t="n">
        <f aca="false">N($F9)*IF(OR($G9="",$G9="All sales"),Sales!K$33,SUMIF(Sales!$B$9:$B$18,$G9,Sales!K$23:K$32))+$H23+N(K9)</f>
        <v>34650</v>
      </c>
      <c r="L23" s="53" t="n">
        <f aca="false">N($F9)*IF(OR($G9="",$G9="All sales"),Sales!L$33,SUMIF(Sales!$B$9:$B$18,$G9,Sales!L$23:L$32))+$H23+N(L9)</f>
        <v>34650</v>
      </c>
      <c r="M23" s="53" t="n">
        <f aca="false">N($F9)*IF(OR($G9="",$G9="All sales"),Sales!M$33,SUMIF(Sales!$B$9:$B$18,$G9,Sales!M$23:M$32))+$H23+N(M9)</f>
        <v>34650</v>
      </c>
      <c r="N23" s="53" t="n">
        <f aca="false">N($F9)*IF(OR($G9="",$G9="All sales"),Sales!N$33,SUMIF(Sales!$B$9:$B$18,$G9,Sales!N$23:N$32))+$H23+N(N9)</f>
        <v>34650</v>
      </c>
      <c r="O23" s="53" t="n">
        <f aca="false">N($F9)*IF(OR($G9="",$G9="All sales"),Sales!O$33,SUMIF(Sales!$B$9:$B$18,$G9,Sales!O$23:O$32))+$H23+N(O9)</f>
        <v>34650</v>
      </c>
      <c r="P23" s="53" t="n">
        <f aca="false">N($F9)*IF(OR($G9="",$G9="All sales"),Sales!P$33,SUMIF(Sales!$B$9:$B$18,$G9,Sales!P$23:P$32))+$H23+N(P9)</f>
        <v>13500</v>
      </c>
      <c r="Q23" s="53" t="n">
        <f aca="false">N($F9)*IF(OR($G9="",$G9="All sales"),Sales!Q$33,SUMIF(Sales!$B$9:$B$18,$G9,Sales!Q$23:Q$32))+$H23+N(Q9)</f>
        <v>7200</v>
      </c>
      <c r="R23" s="53" t="n">
        <f aca="false">N($F9)*IF(OR($G9="",$G9="All sales"),Sales!R$33,SUMIF(Sales!$B$9:$B$18,$G9,Sales!R$23:R$32))+$H23+N(R9)</f>
        <v>34650</v>
      </c>
      <c r="S23" s="53" t="n">
        <f aca="false">N($F9)*IF(OR($G9="",$G9="All sales"),Sales!S$33,SUMIF(Sales!$B$9:$B$18,$G9,Sales!S$23:S$32))+$H23+N(S9)</f>
        <v>34650</v>
      </c>
      <c r="T23" s="53" t="n">
        <f aca="false">N($F9)*IF(OR($G9="",$G9="All sales"),Sales!T$33,SUMIF(Sales!$B$9:$B$18,$G9,Sales!T$23:T$32))+$H23+N(T9)</f>
        <v>34650</v>
      </c>
      <c r="U23" s="53" t="n">
        <f aca="false">N($F9)*IF(OR($G9="",$G9="All sales"),Sales!U$33,SUMIF(Sales!$B$9:$B$18,$G9,Sales!U$23:U$32))+$H23+N(U9)</f>
        <v>34650</v>
      </c>
      <c r="V23" s="53" t="n">
        <f aca="false">N($F9)*IF(OR($G9="",$G9="All sales"),Sales!V$33,SUMIF(Sales!$B$9:$B$18,$G9,Sales!V$23:V$32))+$H23+N(V9)</f>
        <v>34650</v>
      </c>
      <c r="W23" s="46" t="n">
        <f aca="false">SUM(J23:V23)</f>
        <v>401850</v>
      </c>
      <c r="X23" s="2"/>
      <c r="Y23" s="2"/>
      <c r="Z23" s="2"/>
    </row>
    <row r="24" customFormat="false" ht="15" hidden="false" customHeight="false" outlineLevel="0" collapsed="false">
      <c r="A24" s="2"/>
      <c r="B24" s="9" t="str">
        <f aca="false">IF(B10="","",B10)</f>
        <v>Subcontract, coatings and carriage</v>
      </c>
      <c r="C24" s="96" t="n">
        <f aca="false">IF(AND(Setup!$D$16="Yes",C10&lt;&gt;"No"),1+Setup!$D$17,1)</f>
        <v>1.2</v>
      </c>
      <c r="D24" s="97" t="n">
        <f aca="false">IF(D10="",0,MIN(1,D10))</f>
        <v>0</v>
      </c>
      <c r="E24" s="98" t="n">
        <f aca="false">IF(E10="",Setup!$D$21,E10)</f>
        <v>30</v>
      </c>
      <c r="F24" s="2"/>
      <c r="G24" s="2"/>
      <c r="H24" s="92" t="n">
        <f aca="false">IF(I10="Month",N(H10)*12/52,N(H10))</f>
        <v>0</v>
      </c>
      <c r="I24" s="2"/>
      <c r="J24" s="53" t="n">
        <f aca="false">N($F10)*IF(OR($G10="",$G10="All sales"),Sales!J$33,SUMIF(Sales!$B$9:$B$18,$G10,Sales!J$23:J$32))+$H24+N(J10)</f>
        <v>11550</v>
      </c>
      <c r="K24" s="53" t="n">
        <f aca="false">N($F10)*IF(OR($G10="",$G10="All sales"),Sales!K$33,SUMIF(Sales!$B$9:$B$18,$G10,Sales!K$23:K$32))+$H24+N(K10)</f>
        <v>11550</v>
      </c>
      <c r="L24" s="53" t="n">
        <f aca="false">N($F10)*IF(OR($G10="",$G10="All sales"),Sales!L$33,SUMIF(Sales!$B$9:$B$18,$G10,Sales!L$23:L$32))+$H24+N(L10)</f>
        <v>11550</v>
      </c>
      <c r="M24" s="53" t="n">
        <f aca="false">N($F10)*IF(OR($G10="",$G10="All sales"),Sales!M$33,SUMIF(Sales!$B$9:$B$18,$G10,Sales!M$23:M$32))+$H24+N(M10)</f>
        <v>11550</v>
      </c>
      <c r="N24" s="53" t="n">
        <f aca="false">N($F10)*IF(OR($G10="",$G10="All sales"),Sales!N$33,SUMIF(Sales!$B$9:$B$18,$G10,Sales!N$23:N$32))+$H24+N(N10)</f>
        <v>11550</v>
      </c>
      <c r="O24" s="53" t="n">
        <f aca="false">N($F10)*IF(OR($G10="",$G10="All sales"),Sales!O$33,SUMIF(Sales!$B$9:$B$18,$G10,Sales!O$23:O$32))+$H24+N(O10)</f>
        <v>11550</v>
      </c>
      <c r="P24" s="53" t="n">
        <f aca="false">N($F10)*IF(OR($G10="",$G10="All sales"),Sales!P$33,SUMIF(Sales!$B$9:$B$18,$G10,Sales!P$23:P$32))+$H24+N(P10)</f>
        <v>4500</v>
      </c>
      <c r="Q24" s="53" t="n">
        <f aca="false">N($F10)*IF(OR($G10="",$G10="All sales"),Sales!Q$33,SUMIF(Sales!$B$9:$B$18,$G10,Sales!Q$23:Q$32))+$H24+N(Q10)</f>
        <v>2400</v>
      </c>
      <c r="R24" s="53" t="n">
        <f aca="false">N($F10)*IF(OR($G10="",$G10="All sales"),Sales!R$33,SUMIF(Sales!$B$9:$B$18,$G10,Sales!R$23:R$32))+$H24+N(R10)</f>
        <v>11550</v>
      </c>
      <c r="S24" s="53" t="n">
        <f aca="false">N($F10)*IF(OR($G10="",$G10="All sales"),Sales!S$33,SUMIF(Sales!$B$9:$B$18,$G10,Sales!S$23:S$32))+$H24+N(S10)</f>
        <v>11550</v>
      </c>
      <c r="T24" s="53" t="n">
        <f aca="false">N($F10)*IF(OR($G10="",$G10="All sales"),Sales!T$33,SUMIF(Sales!$B$9:$B$18,$G10,Sales!T$23:T$32))+$H24+N(T10)</f>
        <v>11550</v>
      </c>
      <c r="U24" s="53" t="n">
        <f aca="false">N($F10)*IF(OR($G10="",$G10="All sales"),Sales!U$33,SUMIF(Sales!$B$9:$B$18,$G10,Sales!U$23:U$32))+$H24+N(U10)</f>
        <v>11550</v>
      </c>
      <c r="V24" s="53" t="n">
        <f aca="false">N($F10)*IF(OR($G10="",$G10="All sales"),Sales!V$33,SUMIF(Sales!$B$9:$B$18,$G10,Sales!V$23:V$32))+$H24+N(V10)</f>
        <v>11550</v>
      </c>
      <c r="W24" s="46" t="n">
        <f aca="false">SUM(J24:V24)</f>
        <v>133950</v>
      </c>
      <c r="X24" s="2"/>
      <c r="Y24" s="2"/>
      <c r="Z24" s="2"/>
    </row>
    <row r="25" customFormat="false" ht="15" hidden="false" customHeight="false" outlineLevel="0" collapsed="false">
      <c r="A25" s="2"/>
      <c r="B25" s="9" t="str">
        <f aca="false">IF(B11="","",B11)</f>
        <v/>
      </c>
      <c r="C25" s="96" t="n">
        <f aca="false">IF(AND(Setup!$D$16="Yes",C11&lt;&gt;"No"),1+Setup!$D$17,1)</f>
        <v>1.2</v>
      </c>
      <c r="D25" s="97" t="n">
        <f aca="false">IF(D11="",0,MIN(1,D11))</f>
        <v>0</v>
      </c>
      <c r="E25" s="98" t="n">
        <f aca="false">IF(E11="",Setup!$D$21,E11)</f>
        <v>40</v>
      </c>
      <c r="F25" s="2"/>
      <c r="G25" s="2"/>
      <c r="H25" s="92" t="n">
        <f aca="false">IF(I11="Month",N(H11)*12/52,N(H11))</f>
        <v>0</v>
      </c>
      <c r="I25" s="2"/>
      <c r="J25" s="53" t="n">
        <f aca="false">N($F11)*IF(OR($G11="",$G11="All sales"),Sales!J$33,SUMIF(Sales!$B$9:$B$18,$G11,Sales!J$23:J$32))+$H25+N(J11)</f>
        <v>0</v>
      </c>
      <c r="K25" s="53" t="n">
        <f aca="false">N($F11)*IF(OR($G11="",$G11="All sales"),Sales!K$33,SUMIF(Sales!$B$9:$B$18,$G11,Sales!K$23:K$32))+$H25+N(K11)</f>
        <v>0</v>
      </c>
      <c r="L25" s="53" t="n">
        <f aca="false">N($F11)*IF(OR($G11="",$G11="All sales"),Sales!L$33,SUMIF(Sales!$B$9:$B$18,$G11,Sales!L$23:L$32))+$H25+N(L11)</f>
        <v>0</v>
      </c>
      <c r="M25" s="53" t="n">
        <f aca="false">N($F11)*IF(OR($G11="",$G11="All sales"),Sales!M$33,SUMIF(Sales!$B$9:$B$18,$G11,Sales!M$23:M$32))+$H25+N(M11)</f>
        <v>0</v>
      </c>
      <c r="N25" s="53" t="n">
        <f aca="false">N($F11)*IF(OR($G11="",$G11="All sales"),Sales!N$33,SUMIF(Sales!$B$9:$B$18,$G11,Sales!N$23:N$32))+$H25+N(N11)</f>
        <v>0</v>
      </c>
      <c r="O25" s="53" t="n">
        <f aca="false">N($F11)*IF(OR($G11="",$G11="All sales"),Sales!O$33,SUMIF(Sales!$B$9:$B$18,$G11,Sales!O$23:O$32))+$H25+N(O11)</f>
        <v>0</v>
      </c>
      <c r="P25" s="53" t="n">
        <f aca="false">N($F11)*IF(OR($G11="",$G11="All sales"),Sales!P$33,SUMIF(Sales!$B$9:$B$18,$G11,Sales!P$23:P$32))+$H25+N(P11)</f>
        <v>0</v>
      </c>
      <c r="Q25" s="53" t="n">
        <f aca="false">N($F11)*IF(OR($G11="",$G11="All sales"),Sales!Q$33,SUMIF(Sales!$B$9:$B$18,$G11,Sales!Q$23:Q$32))+$H25+N(Q11)</f>
        <v>0</v>
      </c>
      <c r="R25" s="53" t="n">
        <f aca="false">N($F11)*IF(OR($G11="",$G11="All sales"),Sales!R$33,SUMIF(Sales!$B$9:$B$18,$G11,Sales!R$23:R$32))+$H25+N(R11)</f>
        <v>0</v>
      </c>
      <c r="S25" s="53" t="n">
        <f aca="false">N($F11)*IF(OR($G11="",$G11="All sales"),Sales!S$33,SUMIF(Sales!$B$9:$B$18,$G11,Sales!S$23:S$32))+$H25+N(S11)</f>
        <v>0</v>
      </c>
      <c r="T25" s="53" t="n">
        <f aca="false">N($F11)*IF(OR($G11="",$G11="All sales"),Sales!T$33,SUMIF(Sales!$B$9:$B$18,$G11,Sales!T$23:T$32))+$H25+N(T11)</f>
        <v>0</v>
      </c>
      <c r="U25" s="53" t="n">
        <f aca="false">N($F11)*IF(OR($G11="",$G11="All sales"),Sales!U$33,SUMIF(Sales!$B$9:$B$18,$G11,Sales!U$23:U$32))+$H25+N(U11)</f>
        <v>0</v>
      </c>
      <c r="V25" s="53" t="n">
        <f aca="false">N($F11)*IF(OR($G11="",$G11="All sales"),Sales!V$33,SUMIF(Sales!$B$9:$B$18,$G11,Sales!V$23:V$32))+$H25+N(V11)</f>
        <v>0</v>
      </c>
      <c r="W25" s="46" t="n">
        <f aca="false">SUM(J25:V25)</f>
        <v>0</v>
      </c>
      <c r="X25" s="2"/>
      <c r="Y25" s="2"/>
      <c r="Z25" s="2"/>
    </row>
    <row r="26" customFormat="false" ht="15" hidden="false" customHeight="false" outlineLevel="0" collapsed="false">
      <c r="A26" s="2"/>
      <c r="B26" s="9" t="str">
        <f aca="false">IF(B12="","",B12)</f>
        <v/>
      </c>
      <c r="C26" s="96" t="n">
        <f aca="false">IF(AND(Setup!$D$16="Yes",C12&lt;&gt;"No"),1+Setup!$D$17,1)</f>
        <v>1.2</v>
      </c>
      <c r="D26" s="97" t="n">
        <f aca="false">IF(D12="",0,MIN(1,D12))</f>
        <v>0</v>
      </c>
      <c r="E26" s="98" t="n">
        <f aca="false">IF(E12="",Setup!$D$21,E12)</f>
        <v>40</v>
      </c>
      <c r="F26" s="2"/>
      <c r="G26" s="2"/>
      <c r="H26" s="92" t="n">
        <f aca="false">IF(I12="Month",N(H12)*12/52,N(H12))</f>
        <v>0</v>
      </c>
      <c r="I26" s="2"/>
      <c r="J26" s="53" t="n">
        <f aca="false">N($F12)*IF(OR($G12="",$G12="All sales"),Sales!J$33,SUMIF(Sales!$B$9:$B$18,$G12,Sales!J$23:J$32))+$H26+N(J12)</f>
        <v>0</v>
      </c>
      <c r="K26" s="53" t="n">
        <f aca="false">N($F12)*IF(OR($G12="",$G12="All sales"),Sales!K$33,SUMIF(Sales!$B$9:$B$18,$G12,Sales!K$23:K$32))+$H26+N(K12)</f>
        <v>0</v>
      </c>
      <c r="L26" s="53" t="n">
        <f aca="false">N($F12)*IF(OR($G12="",$G12="All sales"),Sales!L$33,SUMIF(Sales!$B$9:$B$18,$G12,Sales!L$23:L$32))+$H26+N(L12)</f>
        <v>0</v>
      </c>
      <c r="M26" s="53" t="n">
        <f aca="false">N($F12)*IF(OR($G12="",$G12="All sales"),Sales!M$33,SUMIF(Sales!$B$9:$B$18,$G12,Sales!M$23:M$32))+$H26+N(M12)</f>
        <v>0</v>
      </c>
      <c r="N26" s="53" t="n">
        <f aca="false">N($F12)*IF(OR($G12="",$G12="All sales"),Sales!N$33,SUMIF(Sales!$B$9:$B$18,$G12,Sales!N$23:N$32))+$H26+N(N12)</f>
        <v>0</v>
      </c>
      <c r="O26" s="53" t="n">
        <f aca="false">N($F12)*IF(OR($G12="",$G12="All sales"),Sales!O$33,SUMIF(Sales!$B$9:$B$18,$G12,Sales!O$23:O$32))+$H26+N(O12)</f>
        <v>0</v>
      </c>
      <c r="P26" s="53" t="n">
        <f aca="false">N($F12)*IF(OR($G12="",$G12="All sales"),Sales!P$33,SUMIF(Sales!$B$9:$B$18,$G12,Sales!P$23:P$32))+$H26+N(P12)</f>
        <v>0</v>
      </c>
      <c r="Q26" s="53" t="n">
        <f aca="false">N($F12)*IF(OR($G12="",$G12="All sales"),Sales!Q$33,SUMIF(Sales!$B$9:$B$18,$G12,Sales!Q$23:Q$32))+$H26+N(Q12)</f>
        <v>0</v>
      </c>
      <c r="R26" s="53" t="n">
        <f aca="false">N($F12)*IF(OR($G12="",$G12="All sales"),Sales!R$33,SUMIF(Sales!$B$9:$B$18,$G12,Sales!R$23:R$32))+$H26+N(R12)</f>
        <v>0</v>
      </c>
      <c r="S26" s="53" t="n">
        <f aca="false">N($F12)*IF(OR($G12="",$G12="All sales"),Sales!S$33,SUMIF(Sales!$B$9:$B$18,$G12,Sales!S$23:S$32))+$H26+N(S12)</f>
        <v>0</v>
      </c>
      <c r="T26" s="53" t="n">
        <f aca="false">N($F12)*IF(OR($G12="",$G12="All sales"),Sales!T$33,SUMIF(Sales!$B$9:$B$18,$G12,Sales!T$23:T$32))+$H26+N(T12)</f>
        <v>0</v>
      </c>
      <c r="U26" s="53" t="n">
        <f aca="false">N($F12)*IF(OR($G12="",$G12="All sales"),Sales!U$33,SUMIF(Sales!$B$9:$B$18,$G12,Sales!U$23:U$32))+$H26+N(U12)</f>
        <v>0</v>
      </c>
      <c r="V26" s="53" t="n">
        <f aca="false">N($F12)*IF(OR($G12="",$G12="All sales"),Sales!V$33,SUMIF(Sales!$B$9:$B$18,$G12,Sales!V$23:V$32))+$H26+N(V12)</f>
        <v>0</v>
      </c>
      <c r="W26" s="46" t="n">
        <f aca="false">SUM(J26:V26)</f>
        <v>0</v>
      </c>
      <c r="X26" s="2"/>
      <c r="Y26" s="2"/>
      <c r="Z26" s="2"/>
    </row>
    <row r="27" customFormat="false" ht="15" hidden="false" customHeight="false" outlineLevel="0" collapsed="false">
      <c r="A27" s="2"/>
      <c r="B27" s="9" t="str">
        <f aca="false">IF(B13="","",B13)</f>
        <v/>
      </c>
      <c r="C27" s="96" t="n">
        <f aca="false">IF(AND(Setup!$D$16="Yes",C13&lt;&gt;"No"),1+Setup!$D$17,1)</f>
        <v>1.2</v>
      </c>
      <c r="D27" s="97" t="n">
        <f aca="false">IF(D13="",0,MIN(1,D13))</f>
        <v>0</v>
      </c>
      <c r="E27" s="98" t="n">
        <f aca="false">IF(E13="",Setup!$D$21,E13)</f>
        <v>40</v>
      </c>
      <c r="F27" s="2"/>
      <c r="G27" s="2"/>
      <c r="H27" s="92" t="n">
        <f aca="false">IF(I13="Month",N(H13)*12/52,N(H13))</f>
        <v>0</v>
      </c>
      <c r="I27" s="2"/>
      <c r="J27" s="53" t="n">
        <f aca="false">N($F13)*IF(OR($G13="",$G13="All sales"),Sales!J$33,SUMIF(Sales!$B$9:$B$18,$G13,Sales!J$23:J$32))+$H27+N(J13)</f>
        <v>0</v>
      </c>
      <c r="K27" s="53" t="n">
        <f aca="false">N($F13)*IF(OR($G13="",$G13="All sales"),Sales!K$33,SUMIF(Sales!$B$9:$B$18,$G13,Sales!K$23:K$32))+$H27+N(K13)</f>
        <v>0</v>
      </c>
      <c r="L27" s="53" t="n">
        <f aca="false">N($F13)*IF(OR($G13="",$G13="All sales"),Sales!L$33,SUMIF(Sales!$B$9:$B$18,$G13,Sales!L$23:L$32))+$H27+N(L13)</f>
        <v>0</v>
      </c>
      <c r="M27" s="53" t="n">
        <f aca="false">N($F13)*IF(OR($G13="",$G13="All sales"),Sales!M$33,SUMIF(Sales!$B$9:$B$18,$G13,Sales!M$23:M$32))+$H27+N(M13)</f>
        <v>0</v>
      </c>
      <c r="N27" s="53" t="n">
        <f aca="false">N($F13)*IF(OR($G13="",$G13="All sales"),Sales!N$33,SUMIF(Sales!$B$9:$B$18,$G13,Sales!N$23:N$32))+$H27+N(N13)</f>
        <v>0</v>
      </c>
      <c r="O27" s="53" t="n">
        <f aca="false">N($F13)*IF(OR($G13="",$G13="All sales"),Sales!O$33,SUMIF(Sales!$B$9:$B$18,$G13,Sales!O$23:O$32))+$H27+N(O13)</f>
        <v>0</v>
      </c>
      <c r="P27" s="53" t="n">
        <f aca="false">N($F13)*IF(OR($G13="",$G13="All sales"),Sales!P$33,SUMIF(Sales!$B$9:$B$18,$G13,Sales!P$23:P$32))+$H27+N(P13)</f>
        <v>0</v>
      </c>
      <c r="Q27" s="53" t="n">
        <f aca="false">N($F13)*IF(OR($G13="",$G13="All sales"),Sales!Q$33,SUMIF(Sales!$B$9:$B$18,$G13,Sales!Q$23:Q$32))+$H27+N(Q13)</f>
        <v>0</v>
      </c>
      <c r="R27" s="53" t="n">
        <f aca="false">N($F13)*IF(OR($G13="",$G13="All sales"),Sales!R$33,SUMIF(Sales!$B$9:$B$18,$G13,Sales!R$23:R$32))+$H27+N(R13)</f>
        <v>0</v>
      </c>
      <c r="S27" s="53" t="n">
        <f aca="false">N($F13)*IF(OR($G13="",$G13="All sales"),Sales!S$33,SUMIF(Sales!$B$9:$B$18,$G13,Sales!S$23:S$32))+$H27+N(S13)</f>
        <v>0</v>
      </c>
      <c r="T27" s="53" t="n">
        <f aca="false">N($F13)*IF(OR($G13="",$G13="All sales"),Sales!T$33,SUMIF(Sales!$B$9:$B$18,$G13,Sales!T$23:T$32))+$H27+N(T13)</f>
        <v>0</v>
      </c>
      <c r="U27" s="53" t="n">
        <f aca="false">N($F13)*IF(OR($G13="",$G13="All sales"),Sales!U$33,SUMIF(Sales!$B$9:$B$18,$G13,Sales!U$23:U$32))+$H27+N(U13)</f>
        <v>0</v>
      </c>
      <c r="V27" s="53" t="n">
        <f aca="false">N($F13)*IF(OR($G13="",$G13="All sales"),Sales!V$33,SUMIF(Sales!$B$9:$B$18,$G13,Sales!V$23:V$32))+$H27+N(V13)</f>
        <v>0</v>
      </c>
      <c r="W27" s="46" t="n">
        <f aca="false">SUM(J27:V27)</f>
        <v>0</v>
      </c>
      <c r="X27" s="2"/>
      <c r="Y27" s="2"/>
      <c r="Z27" s="2"/>
    </row>
    <row r="28" customFormat="false" ht="15" hidden="false" customHeight="false" outlineLevel="0" collapsed="false">
      <c r="A28" s="2"/>
      <c r="B28" s="9" t="str">
        <f aca="false">IF(B14="","",B14)</f>
        <v/>
      </c>
      <c r="C28" s="96" t="n">
        <f aca="false">IF(AND(Setup!$D$16="Yes",C14&lt;&gt;"No"),1+Setup!$D$17,1)</f>
        <v>1.2</v>
      </c>
      <c r="D28" s="97" t="n">
        <f aca="false">IF(D14="",0,MIN(1,D14))</f>
        <v>0</v>
      </c>
      <c r="E28" s="98" t="n">
        <f aca="false">IF(E14="",Setup!$D$21,E14)</f>
        <v>40</v>
      </c>
      <c r="F28" s="2"/>
      <c r="G28" s="2"/>
      <c r="H28" s="92" t="n">
        <f aca="false">IF(I14="Month",N(H14)*12/52,N(H14))</f>
        <v>0</v>
      </c>
      <c r="I28" s="2"/>
      <c r="J28" s="53" t="n">
        <f aca="false">N($F14)*IF(OR($G14="",$G14="All sales"),Sales!J$33,SUMIF(Sales!$B$9:$B$18,$G14,Sales!J$23:J$32))+$H28+N(J14)</f>
        <v>0</v>
      </c>
      <c r="K28" s="53" t="n">
        <f aca="false">N($F14)*IF(OR($G14="",$G14="All sales"),Sales!K$33,SUMIF(Sales!$B$9:$B$18,$G14,Sales!K$23:K$32))+$H28+N(K14)</f>
        <v>0</v>
      </c>
      <c r="L28" s="53" t="n">
        <f aca="false">N($F14)*IF(OR($G14="",$G14="All sales"),Sales!L$33,SUMIF(Sales!$B$9:$B$18,$G14,Sales!L$23:L$32))+$H28+N(L14)</f>
        <v>0</v>
      </c>
      <c r="M28" s="53" t="n">
        <f aca="false">N($F14)*IF(OR($G14="",$G14="All sales"),Sales!M$33,SUMIF(Sales!$B$9:$B$18,$G14,Sales!M$23:M$32))+$H28+N(M14)</f>
        <v>0</v>
      </c>
      <c r="N28" s="53" t="n">
        <f aca="false">N($F14)*IF(OR($G14="",$G14="All sales"),Sales!N$33,SUMIF(Sales!$B$9:$B$18,$G14,Sales!N$23:N$32))+$H28+N(N14)</f>
        <v>0</v>
      </c>
      <c r="O28" s="53" t="n">
        <f aca="false">N($F14)*IF(OR($G14="",$G14="All sales"),Sales!O$33,SUMIF(Sales!$B$9:$B$18,$G14,Sales!O$23:O$32))+$H28+N(O14)</f>
        <v>0</v>
      </c>
      <c r="P28" s="53" t="n">
        <f aca="false">N($F14)*IF(OR($G14="",$G14="All sales"),Sales!P$33,SUMIF(Sales!$B$9:$B$18,$G14,Sales!P$23:P$32))+$H28+N(P14)</f>
        <v>0</v>
      </c>
      <c r="Q28" s="53" t="n">
        <f aca="false">N($F14)*IF(OR($G14="",$G14="All sales"),Sales!Q$33,SUMIF(Sales!$B$9:$B$18,$G14,Sales!Q$23:Q$32))+$H28+N(Q14)</f>
        <v>0</v>
      </c>
      <c r="R28" s="53" t="n">
        <f aca="false">N($F14)*IF(OR($G14="",$G14="All sales"),Sales!R$33,SUMIF(Sales!$B$9:$B$18,$G14,Sales!R$23:R$32))+$H28+N(R14)</f>
        <v>0</v>
      </c>
      <c r="S28" s="53" t="n">
        <f aca="false">N($F14)*IF(OR($G14="",$G14="All sales"),Sales!S$33,SUMIF(Sales!$B$9:$B$18,$G14,Sales!S$23:S$32))+$H28+N(S14)</f>
        <v>0</v>
      </c>
      <c r="T28" s="53" t="n">
        <f aca="false">N($F14)*IF(OR($G14="",$G14="All sales"),Sales!T$33,SUMIF(Sales!$B$9:$B$18,$G14,Sales!T$23:T$32))+$H28+N(T14)</f>
        <v>0</v>
      </c>
      <c r="U28" s="53" t="n">
        <f aca="false">N($F14)*IF(OR($G14="",$G14="All sales"),Sales!U$33,SUMIF(Sales!$B$9:$B$18,$G14,Sales!U$23:U$32))+$H28+N(U14)</f>
        <v>0</v>
      </c>
      <c r="V28" s="53" t="n">
        <f aca="false">N($F14)*IF(OR($G14="",$G14="All sales"),Sales!V$33,SUMIF(Sales!$B$9:$B$18,$G14,Sales!V$23:V$32))+$H28+N(V14)</f>
        <v>0</v>
      </c>
      <c r="W28" s="46" t="n">
        <f aca="false">SUM(J28:V28)</f>
        <v>0</v>
      </c>
      <c r="X28" s="2"/>
      <c r="Y28" s="2"/>
      <c r="Z28" s="2"/>
    </row>
    <row r="29" customFormat="false" ht="15" hidden="false" customHeight="false" outlineLevel="0" collapsed="false">
      <c r="A29" s="2"/>
      <c r="B29" s="9" t="str">
        <f aca="false">IF(B15="","",B15)</f>
        <v/>
      </c>
      <c r="C29" s="96" t="n">
        <f aca="false">IF(AND(Setup!$D$16="Yes",C15&lt;&gt;"No"),1+Setup!$D$17,1)</f>
        <v>1.2</v>
      </c>
      <c r="D29" s="97" t="n">
        <f aca="false">IF(D15="",0,MIN(1,D15))</f>
        <v>0</v>
      </c>
      <c r="E29" s="98" t="n">
        <f aca="false">IF(E15="",Setup!$D$21,E15)</f>
        <v>40</v>
      </c>
      <c r="F29" s="2"/>
      <c r="G29" s="2"/>
      <c r="H29" s="92" t="n">
        <f aca="false">IF(I15="Month",N(H15)*12/52,N(H15))</f>
        <v>0</v>
      </c>
      <c r="I29" s="2"/>
      <c r="J29" s="53" t="n">
        <f aca="false">N($F15)*IF(OR($G15="",$G15="All sales"),Sales!J$33,SUMIF(Sales!$B$9:$B$18,$G15,Sales!J$23:J$32))+$H29+N(J15)</f>
        <v>0</v>
      </c>
      <c r="K29" s="53" t="n">
        <f aca="false">N($F15)*IF(OR($G15="",$G15="All sales"),Sales!K$33,SUMIF(Sales!$B$9:$B$18,$G15,Sales!K$23:K$32))+$H29+N(K15)</f>
        <v>0</v>
      </c>
      <c r="L29" s="53" t="n">
        <f aca="false">N($F15)*IF(OR($G15="",$G15="All sales"),Sales!L$33,SUMIF(Sales!$B$9:$B$18,$G15,Sales!L$23:L$32))+$H29+N(L15)</f>
        <v>0</v>
      </c>
      <c r="M29" s="53" t="n">
        <f aca="false">N($F15)*IF(OR($G15="",$G15="All sales"),Sales!M$33,SUMIF(Sales!$B$9:$B$18,$G15,Sales!M$23:M$32))+$H29+N(M15)</f>
        <v>0</v>
      </c>
      <c r="N29" s="53" t="n">
        <f aca="false">N($F15)*IF(OR($G15="",$G15="All sales"),Sales!N$33,SUMIF(Sales!$B$9:$B$18,$G15,Sales!N$23:N$32))+$H29+N(N15)</f>
        <v>0</v>
      </c>
      <c r="O29" s="53" t="n">
        <f aca="false">N($F15)*IF(OR($G15="",$G15="All sales"),Sales!O$33,SUMIF(Sales!$B$9:$B$18,$G15,Sales!O$23:O$32))+$H29+N(O15)</f>
        <v>0</v>
      </c>
      <c r="P29" s="53" t="n">
        <f aca="false">N($F15)*IF(OR($G15="",$G15="All sales"),Sales!P$33,SUMIF(Sales!$B$9:$B$18,$G15,Sales!P$23:P$32))+$H29+N(P15)</f>
        <v>0</v>
      </c>
      <c r="Q29" s="53" t="n">
        <f aca="false">N($F15)*IF(OR($G15="",$G15="All sales"),Sales!Q$33,SUMIF(Sales!$B$9:$B$18,$G15,Sales!Q$23:Q$32))+$H29+N(Q15)</f>
        <v>0</v>
      </c>
      <c r="R29" s="53" t="n">
        <f aca="false">N($F15)*IF(OR($G15="",$G15="All sales"),Sales!R$33,SUMIF(Sales!$B$9:$B$18,$G15,Sales!R$23:R$32))+$H29+N(R15)</f>
        <v>0</v>
      </c>
      <c r="S29" s="53" t="n">
        <f aca="false">N($F15)*IF(OR($G15="",$G15="All sales"),Sales!S$33,SUMIF(Sales!$B$9:$B$18,$G15,Sales!S$23:S$32))+$H29+N(S15)</f>
        <v>0</v>
      </c>
      <c r="T29" s="53" t="n">
        <f aca="false">N($F15)*IF(OR($G15="",$G15="All sales"),Sales!T$33,SUMIF(Sales!$B$9:$B$18,$G15,Sales!T$23:T$32))+$H29+N(T15)</f>
        <v>0</v>
      </c>
      <c r="U29" s="53" t="n">
        <f aca="false">N($F15)*IF(OR($G15="",$G15="All sales"),Sales!U$33,SUMIF(Sales!$B$9:$B$18,$G15,Sales!U$23:U$32))+$H29+N(U15)</f>
        <v>0</v>
      </c>
      <c r="V29" s="53" t="n">
        <f aca="false">N($F15)*IF(OR($G15="",$G15="All sales"),Sales!V$33,SUMIF(Sales!$B$9:$B$18,$G15,Sales!V$23:V$32))+$H29+N(V15)</f>
        <v>0</v>
      </c>
      <c r="W29" s="46" t="n">
        <f aca="false">SUM(J29:V29)</f>
        <v>0</v>
      </c>
      <c r="X29" s="2"/>
      <c r="Y29" s="2"/>
      <c r="Z29" s="2"/>
    </row>
    <row r="30" customFormat="false" ht="15" hidden="false" customHeight="false" outlineLevel="0" collapsed="false">
      <c r="A30" s="2"/>
      <c r="B30" s="9" t="str">
        <f aca="false">IF(B16="","",B16)</f>
        <v/>
      </c>
      <c r="C30" s="96" t="n">
        <f aca="false">IF(AND(Setup!$D$16="Yes",C16&lt;&gt;"No"),1+Setup!$D$17,1)</f>
        <v>1.2</v>
      </c>
      <c r="D30" s="97" t="n">
        <f aca="false">IF(D16="",0,MIN(1,D16))</f>
        <v>0</v>
      </c>
      <c r="E30" s="98" t="n">
        <f aca="false">IF(E16="",Setup!$D$21,E16)</f>
        <v>40</v>
      </c>
      <c r="F30" s="2"/>
      <c r="G30" s="2"/>
      <c r="H30" s="92" t="n">
        <f aca="false">IF(I16="Month",N(H16)*12/52,N(H16))</f>
        <v>0</v>
      </c>
      <c r="I30" s="2"/>
      <c r="J30" s="53" t="n">
        <f aca="false">N($F16)*IF(OR($G16="",$G16="All sales"),Sales!J$33,SUMIF(Sales!$B$9:$B$18,$G16,Sales!J$23:J$32))+$H30+N(J16)</f>
        <v>0</v>
      </c>
      <c r="K30" s="53" t="n">
        <f aca="false">N($F16)*IF(OR($G16="",$G16="All sales"),Sales!K$33,SUMIF(Sales!$B$9:$B$18,$G16,Sales!K$23:K$32))+$H30+N(K16)</f>
        <v>0</v>
      </c>
      <c r="L30" s="53" t="n">
        <f aca="false">N($F16)*IF(OR($G16="",$G16="All sales"),Sales!L$33,SUMIF(Sales!$B$9:$B$18,$G16,Sales!L$23:L$32))+$H30+N(L16)</f>
        <v>0</v>
      </c>
      <c r="M30" s="53" t="n">
        <f aca="false">N($F16)*IF(OR($G16="",$G16="All sales"),Sales!M$33,SUMIF(Sales!$B$9:$B$18,$G16,Sales!M$23:M$32))+$H30+N(M16)</f>
        <v>0</v>
      </c>
      <c r="N30" s="53" t="n">
        <f aca="false">N($F16)*IF(OR($G16="",$G16="All sales"),Sales!N$33,SUMIF(Sales!$B$9:$B$18,$G16,Sales!N$23:N$32))+$H30+N(N16)</f>
        <v>0</v>
      </c>
      <c r="O30" s="53" t="n">
        <f aca="false">N($F16)*IF(OR($G16="",$G16="All sales"),Sales!O$33,SUMIF(Sales!$B$9:$B$18,$G16,Sales!O$23:O$32))+$H30+N(O16)</f>
        <v>0</v>
      </c>
      <c r="P30" s="53" t="n">
        <f aca="false">N($F16)*IF(OR($G16="",$G16="All sales"),Sales!P$33,SUMIF(Sales!$B$9:$B$18,$G16,Sales!P$23:P$32))+$H30+N(P16)</f>
        <v>0</v>
      </c>
      <c r="Q30" s="53" t="n">
        <f aca="false">N($F16)*IF(OR($G16="",$G16="All sales"),Sales!Q$33,SUMIF(Sales!$B$9:$B$18,$G16,Sales!Q$23:Q$32))+$H30+N(Q16)</f>
        <v>0</v>
      </c>
      <c r="R30" s="53" t="n">
        <f aca="false">N($F16)*IF(OR($G16="",$G16="All sales"),Sales!R$33,SUMIF(Sales!$B$9:$B$18,$G16,Sales!R$23:R$32))+$H30+N(R16)</f>
        <v>0</v>
      </c>
      <c r="S30" s="53" t="n">
        <f aca="false">N($F16)*IF(OR($G16="",$G16="All sales"),Sales!S$33,SUMIF(Sales!$B$9:$B$18,$G16,Sales!S$23:S$32))+$H30+N(S16)</f>
        <v>0</v>
      </c>
      <c r="T30" s="53" t="n">
        <f aca="false">N($F16)*IF(OR($G16="",$G16="All sales"),Sales!T$33,SUMIF(Sales!$B$9:$B$18,$G16,Sales!T$23:T$32))+$H30+N(T16)</f>
        <v>0</v>
      </c>
      <c r="U30" s="53" t="n">
        <f aca="false">N($F16)*IF(OR($G16="",$G16="All sales"),Sales!U$33,SUMIF(Sales!$B$9:$B$18,$G16,Sales!U$23:U$32))+$H30+N(U16)</f>
        <v>0</v>
      </c>
      <c r="V30" s="53" t="n">
        <f aca="false">N($F16)*IF(OR($G16="",$G16="All sales"),Sales!V$33,SUMIF(Sales!$B$9:$B$18,$G16,Sales!V$23:V$32))+$H30+N(V16)</f>
        <v>0</v>
      </c>
      <c r="W30" s="46" t="n">
        <f aca="false">SUM(J30:V30)</f>
        <v>0</v>
      </c>
      <c r="X30" s="2"/>
      <c r="Y30" s="2"/>
      <c r="Z30" s="2"/>
    </row>
    <row r="31" customFormat="false" ht="15" hidden="false" customHeight="false" outlineLevel="0" collapsed="false">
      <c r="A31" s="2"/>
      <c r="B31" s="9" t="str">
        <f aca="false">IF(B17="","",B17)</f>
        <v/>
      </c>
      <c r="C31" s="96" t="n">
        <f aca="false">IF(AND(Setup!$D$16="Yes",C17&lt;&gt;"No"),1+Setup!$D$17,1)</f>
        <v>1.2</v>
      </c>
      <c r="D31" s="97" t="n">
        <f aca="false">IF(D17="",0,MIN(1,D17))</f>
        <v>0</v>
      </c>
      <c r="E31" s="98" t="n">
        <f aca="false">IF(E17="",Setup!$D$21,E17)</f>
        <v>40</v>
      </c>
      <c r="F31" s="2"/>
      <c r="G31" s="2"/>
      <c r="H31" s="92" t="n">
        <f aca="false">IF(I17="Month",N(H17)*12/52,N(H17))</f>
        <v>0</v>
      </c>
      <c r="I31" s="2"/>
      <c r="J31" s="53" t="n">
        <f aca="false">N($F17)*IF(OR($G17="",$G17="All sales"),Sales!J$33,SUMIF(Sales!$B$9:$B$18,$G17,Sales!J$23:J$32))+$H31+N(J17)</f>
        <v>0</v>
      </c>
      <c r="K31" s="53" t="n">
        <f aca="false">N($F17)*IF(OR($G17="",$G17="All sales"),Sales!K$33,SUMIF(Sales!$B$9:$B$18,$G17,Sales!K$23:K$32))+$H31+N(K17)</f>
        <v>0</v>
      </c>
      <c r="L31" s="53" t="n">
        <f aca="false">N($F17)*IF(OR($G17="",$G17="All sales"),Sales!L$33,SUMIF(Sales!$B$9:$B$18,$G17,Sales!L$23:L$32))+$H31+N(L17)</f>
        <v>0</v>
      </c>
      <c r="M31" s="53" t="n">
        <f aca="false">N($F17)*IF(OR($G17="",$G17="All sales"),Sales!M$33,SUMIF(Sales!$B$9:$B$18,$G17,Sales!M$23:M$32))+$H31+N(M17)</f>
        <v>0</v>
      </c>
      <c r="N31" s="53" t="n">
        <f aca="false">N($F17)*IF(OR($G17="",$G17="All sales"),Sales!N$33,SUMIF(Sales!$B$9:$B$18,$G17,Sales!N$23:N$32))+$H31+N(N17)</f>
        <v>0</v>
      </c>
      <c r="O31" s="53" t="n">
        <f aca="false">N($F17)*IF(OR($G17="",$G17="All sales"),Sales!O$33,SUMIF(Sales!$B$9:$B$18,$G17,Sales!O$23:O$32))+$H31+N(O17)</f>
        <v>0</v>
      </c>
      <c r="P31" s="53" t="n">
        <f aca="false">N($F17)*IF(OR($G17="",$G17="All sales"),Sales!P$33,SUMIF(Sales!$B$9:$B$18,$G17,Sales!P$23:P$32))+$H31+N(P17)</f>
        <v>0</v>
      </c>
      <c r="Q31" s="53" t="n">
        <f aca="false">N($F17)*IF(OR($G17="",$G17="All sales"),Sales!Q$33,SUMIF(Sales!$B$9:$B$18,$G17,Sales!Q$23:Q$32))+$H31+N(Q17)</f>
        <v>0</v>
      </c>
      <c r="R31" s="53" t="n">
        <f aca="false">N($F17)*IF(OR($G17="",$G17="All sales"),Sales!R$33,SUMIF(Sales!$B$9:$B$18,$G17,Sales!R$23:R$32))+$H31+N(R17)</f>
        <v>0</v>
      </c>
      <c r="S31" s="53" t="n">
        <f aca="false">N($F17)*IF(OR($G17="",$G17="All sales"),Sales!S$33,SUMIF(Sales!$B$9:$B$18,$G17,Sales!S$23:S$32))+$H31+N(S17)</f>
        <v>0</v>
      </c>
      <c r="T31" s="53" t="n">
        <f aca="false">N($F17)*IF(OR($G17="",$G17="All sales"),Sales!T$33,SUMIF(Sales!$B$9:$B$18,$G17,Sales!T$23:T$32))+$H31+N(T17)</f>
        <v>0</v>
      </c>
      <c r="U31" s="53" t="n">
        <f aca="false">N($F17)*IF(OR($G17="",$G17="All sales"),Sales!U$33,SUMIF(Sales!$B$9:$B$18,$G17,Sales!U$23:U$32))+$H31+N(U17)</f>
        <v>0</v>
      </c>
      <c r="V31" s="53" t="n">
        <f aca="false">N($F17)*IF(OR($G17="",$G17="All sales"),Sales!V$33,SUMIF(Sales!$B$9:$B$18,$G17,Sales!V$23:V$32))+$H31+N(V17)</f>
        <v>0</v>
      </c>
      <c r="W31" s="46" t="n">
        <f aca="false">SUM(J31:V31)</f>
        <v>0</v>
      </c>
      <c r="X31" s="2"/>
      <c r="Y31" s="2"/>
      <c r="Z31" s="2"/>
    </row>
    <row r="32" customFormat="false" ht="15" hidden="false" customHeight="false" outlineLevel="0" collapsed="false">
      <c r="A32" s="2"/>
      <c r="B32" s="9" t="str">
        <f aca="false">IF(B18="","",B18)</f>
        <v/>
      </c>
      <c r="C32" s="96" t="n">
        <f aca="false">IF(AND(Setup!$D$16="Yes",C18&lt;&gt;"No"),1+Setup!$D$17,1)</f>
        <v>1.2</v>
      </c>
      <c r="D32" s="97" t="n">
        <f aca="false">IF(D18="",0,MIN(1,D18))</f>
        <v>0</v>
      </c>
      <c r="E32" s="98" t="n">
        <f aca="false">IF(E18="",Setup!$D$21,E18)</f>
        <v>40</v>
      </c>
      <c r="F32" s="2"/>
      <c r="G32" s="2"/>
      <c r="H32" s="92" t="n">
        <f aca="false">IF(I18="Month",N(H18)*12/52,N(H18))</f>
        <v>0</v>
      </c>
      <c r="I32" s="2"/>
      <c r="J32" s="53" t="n">
        <f aca="false">N($F18)*IF(OR($G18="",$G18="All sales"),Sales!J$33,SUMIF(Sales!$B$9:$B$18,$G18,Sales!J$23:J$32))+$H32+N(J18)</f>
        <v>0</v>
      </c>
      <c r="K32" s="53" t="n">
        <f aca="false">N($F18)*IF(OR($G18="",$G18="All sales"),Sales!K$33,SUMIF(Sales!$B$9:$B$18,$G18,Sales!K$23:K$32))+$H32+N(K18)</f>
        <v>0</v>
      </c>
      <c r="L32" s="53" t="n">
        <f aca="false">N($F18)*IF(OR($G18="",$G18="All sales"),Sales!L$33,SUMIF(Sales!$B$9:$B$18,$G18,Sales!L$23:L$32))+$H32+N(L18)</f>
        <v>0</v>
      </c>
      <c r="M32" s="53" t="n">
        <f aca="false">N($F18)*IF(OR($G18="",$G18="All sales"),Sales!M$33,SUMIF(Sales!$B$9:$B$18,$G18,Sales!M$23:M$32))+$H32+N(M18)</f>
        <v>0</v>
      </c>
      <c r="N32" s="53" t="n">
        <f aca="false">N($F18)*IF(OR($G18="",$G18="All sales"),Sales!N$33,SUMIF(Sales!$B$9:$B$18,$G18,Sales!N$23:N$32))+$H32+N(N18)</f>
        <v>0</v>
      </c>
      <c r="O32" s="53" t="n">
        <f aca="false">N($F18)*IF(OR($G18="",$G18="All sales"),Sales!O$33,SUMIF(Sales!$B$9:$B$18,$G18,Sales!O$23:O$32))+$H32+N(O18)</f>
        <v>0</v>
      </c>
      <c r="P32" s="53" t="n">
        <f aca="false">N($F18)*IF(OR($G18="",$G18="All sales"),Sales!P$33,SUMIF(Sales!$B$9:$B$18,$G18,Sales!P$23:P$32))+$H32+N(P18)</f>
        <v>0</v>
      </c>
      <c r="Q32" s="53" t="n">
        <f aca="false">N($F18)*IF(OR($G18="",$G18="All sales"),Sales!Q$33,SUMIF(Sales!$B$9:$B$18,$G18,Sales!Q$23:Q$32))+$H32+N(Q18)</f>
        <v>0</v>
      </c>
      <c r="R32" s="53" t="n">
        <f aca="false">N($F18)*IF(OR($G18="",$G18="All sales"),Sales!R$33,SUMIF(Sales!$B$9:$B$18,$G18,Sales!R$23:R$32))+$H32+N(R18)</f>
        <v>0</v>
      </c>
      <c r="S32" s="53" t="n">
        <f aca="false">N($F18)*IF(OR($G18="",$G18="All sales"),Sales!S$33,SUMIF(Sales!$B$9:$B$18,$G18,Sales!S$23:S$32))+$H32+N(S18)</f>
        <v>0</v>
      </c>
      <c r="T32" s="53" t="n">
        <f aca="false">N($F18)*IF(OR($G18="",$G18="All sales"),Sales!T$33,SUMIF(Sales!$B$9:$B$18,$G18,Sales!T$23:T$32))+$H32+N(T18)</f>
        <v>0</v>
      </c>
      <c r="U32" s="53" t="n">
        <f aca="false">N($F18)*IF(OR($G18="",$G18="All sales"),Sales!U$33,SUMIF(Sales!$B$9:$B$18,$G18,Sales!U$23:U$32))+$H32+N(U18)</f>
        <v>0</v>
      </c>
      <c r="V32" s="53" t="n">
        <f aca="false">N($F18)*IF(OR($G18="",$G18="All sales"),Sales!V$33,SUMIF(Sales!$B$9:$B$18,$G18,Sales!V$23:V$32))+$H32+N(V18)</f>
        <v>0</v>
      </c>
      <c r="W32" s="46" t="n">
        <f aca="false">SUM(J32:V32)</f>
        <v>0</v>
      </c>
      <c r="X32" s="2"/>
      <c r="Y32" s="2"/>
      <c r="Z32" s="2"/>
    </row>
    <row r="33" customFormat="false" ht="15" hidden="false" customHeight="false" outlineLevel="0" collapsed="false">
      <c r="A33" s="2"/>
      <c r="B33" s="15" t="s">
        <v>361</v>
      </c>
      <c r="C33" s="2"/>
      <c r="D33" s="2"/>
      <c r="E33" s="2"/>
      <c r="F33" s="2"/>
      <c r="G33" s="2"/>
      <c r="H33" s="2"/>
      <c r="I33" s="2"/>
      <c r="J33" s="48" t="n">
        <f aca="false">SUM(J23:J32)</f>
        <v>46200</v>
      </c>
      <c r="K33" s="48" t="n">
        <f aca="false">SUM(K23:K32)</f>
        <v>46200</v>
      </c>
      <c r="L33" s="48" t="n">
        <f aca="false">SUM(L23:L32)</f>
        <v>46200</v>
      </c>
      <c r="M33" s="48" t="n">
        <f aca="false">SUM(M23:M32)</f>
        <v>46200</v>
      </c>
      <c r="N33" s="48" t="n">
        <f aca="false">SUM(N23:N32)</f>
        <v>46200</v>
      </c>
      <c r="O33" s="48" t="n">
        <f aca="false">SUM(O23:O32)</f>
        <v>46200</v>
      </c>
      <c r="P33" s="48" t="n">
        <f aca="false">SUM(P23:P32)</f>
        <v>18000</v>
      </c>
      <c r="Q33" s="48" t="n">
        <f aca="false">SUM(Q23:Q32)</f>
        <v>9600</v>
      </c>
      <c r="R33" s="48" t="n">
        <f aca="false">SUM(R23:R32)</f>
        <v>46200</v>
      </c>
      <c r="S33" s="48" t="n">
        <f aca="false">SUM(S23:S32)</f>
        <v>46200</v>
      </c>
      <c r="T33" s="48" t="n">
        <f aca="false">SUM(T23:T32)</f>
        <v>46200</v>
      </c>
      <c r="U33" s="48" t="n">
        <f aca="false">SUM(U23:U32)</f>
        <v>46200</v>
      </c>
      <c r="V33" s="48" t="n">
        <f aca="false">SUM(V23:V32)</f>
        <v>46200</v>
      </c>
      <c r="W33" s="48" t="n">
        <f aca="false">SUM(W23:W32)</f>
        <v>535800</v>
      </c>
      <c r="X33" s="2"/>
      <c r="Y33" s="2"/>
      <c r="Z33" s="2"/>
    </row>
    <row r="34" customFormat="false" ht="1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c r="W34" s="2"/>
      <c r="X34" s="2"/>
      <c r="Y34" s="2"/>
      <c r="Z34" s="2"/>
    </row>
    <row r="35" customFormat="false" ht="15" hidden="false" customHeight="false" outlineLevel="0" collapsed="false">
      <c r="A35" s="5" t="s">
        <v>470</v>
      </c>
      <c r="B35" s="6"/>
      <c r="C35" s="6"/>
      <c r="D35" s="6"/>
      <c r="E35" s="6"/>
      <c r="F35" s="6"/>
      <c r="G35" s="6"/>
      <c r="H35" s="6"/>
      <c r="I35" s="6"/>
      <c r="J35" s="6"/>
      <c r="K35" s="6"/>
      <c r="L35" s="6"/>
      <c r="M35" s="6"/>
      <c r="N35" s="6"/>
      <c r="O35" s="6"/>
      <c r="P35" s="6"/>
      <c r="Q35" s="6"/>
      <c r="R35" s="6"/>
      <c r="S35" s="6"/>
      <c r="T35" s="6"/>
      <c r="U35" s="6"/>
      <c r="V35" s="6"/>
      <c r="W35" s="6"/>
      <c r="X35" s="6"/>
      <c r="Y35" s="2"/>
      <c r="Z35" s="2"/>
    </row>
    <row r="36" customFormat="false" ht="23.85" hidden="false" customHeight="false" outlineLevel="0" collapsed="false">
      <c r="A36" s="2"/>
      <c r="B36" s="56" t="s">
        <v>468</v>
      </c>
      <c r="C36" s="2"/>
      <c r="D36" s="2"/>
      <c r="E36" s="2"/>
      <c r="F36" s="2"/>
      <c r="G36" s="2"/>
      <c r="H36" s="2"/>
      <c r="I36" s="2"/>
      <c r="J36" s="2"/>
      <c r="K36" s="2"/>
      <c r="L36" s="2"/>
      <c r="M36" s="2"/>
      <c r="N36" s="2"/>
      <c r="O36" s="2"/>
      <c r="P36" s="2"/>
      <c r="Q36" s="2"/>
      <c r="R36" s="2"/>
      <c r="S36" s="2"/>
      <c r="T36" s="2"/>
      <c r="U36" s="2"/>
      <c r="V36" s="2"/>
      <c r="W36" s="56" t="s">
        <v>448</v>
      </c>
      <c r="X36" s="56" t="s">
        <v>471</v>
      </c>
      <c r="Y36" s="2"/>
      <c r="Z36" s="2"/>
    </row>
    <row r="37" customFormat="false" ht="15" hidden="false" customHeight="false" outlineLevel="0" collapsed="false">
      <c r="A37" s="2"/>
      <c r="B37" s="9" t="str">
        <f aca="false">B23</f>
        <v>Steel and materials</v>
      </c>
      <c r="C37" s="2"/>
      <c r="D37" s="2"/>
      <c r="E37" s="2"/>
      <c r="F37" s="2"/>
      <c r="G37" s="2"/>
      <c r="H37" s="2"/>
      <c r="I37" s="2"/>
      <c r="J37" s="53" t="n">
        <f aca="false">IF(N($Z9)&gt;0,(N($Z9)&gt;Lists!C$22)*(N($Z9)&lt;=Lists!C$21)*SUM($J23:$V23)*$C23,IF(N($X9)&gt;0,$C23*((DATE(YEAR(Lists!C$21),MONTH(Lists!C$21),MIN($X9,DAY(EOMONTH(Lists!C$21,0))))&gt;Lists!C$23)*(DATE(YEAR(Lists!C$21),MONTH(Lists!C$21),MIN($X9,DAY(EOMONTH(Lists!C$21,0))))&lt;=Lists!C$21)*IFERROR(AVERAGEIFS($J23:$V23,Lists!$C$24:$O$24,(YEAR(Lists!C$21)*12+MONTH(Lists!C$21)-N($Y9))),AVERAGE($J23:$V23))*52/12+IF(MONTH((Lists!C$21-6))&lt;&gt;MONTH(Lists!C$21),(DATE(YEAR((Lists!C$21-6)),MONTH((Lists!C$21-6)),MIN($X9,DAY(EOMONTH((Lists!C$21-6),0))))&gt;Lists!C$23)*(DATE(YEAR((Lists!C$21-6)),MONTH((Lists!C$21-6)),MIN($X9,DAY(EOMONTH((Lists!C$21-6),0))))&lt;=Lists!C$21)*IFERROR(AVERAGEIFS($J23:$V23,Lists!$C$24:$O$24,(YEAR((Lists!C$21-6))*12+MONTH((Lists!C$21-6))-N($Y9))),AVERAGE($J23:$V23))*52/12,0)),J23*$C23*$D23+(1-$D23)*$C23*SUMPRODUCT($J23:$V23,(Lists!$C$21:$O$21+$E23&gt;Lists!C$22)*(Lists!$C$21:$O$21+$E23&lt;=Lists!C$21))))</f>
        <v>0</v>
      </c>
      <c r="K37" s="53" t="n">
        <f aca="false">IF(N($Z9)&gt;0,(N($Z9)&gt;Lists!D$22)*(N($Z9)&lt;=Lists!D$21)*SUM($J23:$V23)*$C23,IF(N($X9)&gt;0,$C23*((DATE(YEAR(Lists!D$21),MONTH(Lists!D$21),MIN($X9,DAY(EOMONTH(Lists!D$21,0))))&gt;Lists!D$23)*(DATE(YEAR(Lists!D$21),MONTH(Lists!D$21),MIN($X9,DAY(EOMONTH(Lists!D$21,0))))&lt;=Lists!D$21)*IFERROR(AVERAGEIFS($J23:$V23,Lists!$C$24:$O$24,(YEAR(Lists!D$21)*12+MONTH(Lists!D$21)-N($Y9))),AVERAGE($J23:$V23))*52/12+IF(MONTH((Lists!D$21-6))&lt;&gt;MONTH(Lists!D$21),(DATE(YEAR((Lists!D$21-6)),MONTH((Lists!D$21-6)),MIN($X9,DAY(EOMONTH((Lists!D$21-6),0))))&gt;Lists!D$23)*(DATE(YEAR((Lists!D$21-6)),MONTH((Lists!D$21-6)),MIN($X9,DAY(EOMONTH((Lists!D$21-6),0))))&lt;=Lists!D$21)*IFERROR(AVERAGEIFS($J23:$V23,Lists!$C$24:$O$24,(YEAR((Lists!D$21-6))*12+MONTH((Lists!D$21-6))-N($Y9))),AVERAGE($J23:$V23))*52/12,0)),K23*$C23*$D23+(1-$D23)*$C23*SUMPRODUCT($J23:$V23,(Lists!$C$21:$O$21+$E23&gt;Lists!D$22)*(Lists!$C$21:$O$21+$E23&lt;=Lists!D$21))))</f>
        <v>0</v>
      </c>
      <c r="L37" s="53" t="n">
        <f aca="false">IF(N($Z9)&gt;0,(N($Z9)&gt;Lists!E$22)*(N($Z9)&lt;=Lists!E$21)*SUM($J23:$V23)*$C23,IF(N($X9)&gt;0,$C23*((DATE(YEAR(Lists!E$21),MONTH(Lists!E$21),MIN($X9,DAY(EOMONTH(Lists!E$21,0))))&gt;Lists!E$23)*(DATE(YEAR(Lists!E$21),MONTH(Lists!E$21),MIN($X9,DAY(EOMONTH(Lists!E$21,0))))&lt;=Lists!E$21)*IFERROR(AVERAGEIFS($J23:$V23,Lists!$C$24:$O$24,(YEAR(Lists!E$21)*12+MONTH(Lists!E$21)-N($Y9))),AVERAGE($J23:$V23))*52/12+IF(MONTH((Lists!E$21-6))&lt;&gt;MONTH(Lists!E$21),(DATE(YEAR((Lists!E$21-6)),MONTH((Lists!E$21-6)),MIN($X9,DAY(EOMONTH((Lists!E$21-6),0))))&gt;Lists!E$23)*(DATE(YEAR((Lists!E$21-6)),MONTH((Lists!E$21-6)),MIN($X9,DAY(EOMONTH((Lists!E$21-6),0))))&lt;=Lists!E$21)*IFERROR(AVERAGEIFS($J23:$V23,Lists!$C$24:$O$24,(YEAR((Lists!E$21-6))*12+MONTH((Lists!E$21-6))-N($Y9))),AVERAGE($J23:$V23))*52/12,0)),L23*$C23*$D23+(1-$D23)*$C23*SUMPRODUCT($J23:$V23,(Lists!$C$21:$O$21+$E23&gt;Lists!E$22)*(Lists!$C$21:$O$21+$E23&lt;=Lists!E$21))))</f>
        <v>0</v>
      </c>
      <c r="M37" s="53" t="n">
        <f aca="false">IF(N($Z9)&gt;0,(N($Z9)&gt;Lists!F$22)*(N($Z9)&lt;=Lists!F$21)*SUM($J23:$V23)*$C23,IF(N($X9)&gt;0,$C23*((DATE(YEAR(Lists!F$21),MONTH(Lists!F$21),MIN($X9,DAY(EOMONTH(Lists!F$21,0))))&gt;Lists!F$23)*(DATE(YEAR(Lists!F$21),MONTH(Lists!F$21),MIN($X9,DAY(EOMONTH(Lists!F$21,0))))&lt;=Lists!F$21)*IFERROR(AVERAGEIFS($J23:$V23,Lists!$C$24:$O$24,(YEAR(Lists!F$21)*12+MONTH(Lists!F$21)-N($Y9))),AVERAGE($J23:$V23))*52/12+IF(MONTH((Lists!F$21-6))&lt;&gt;MONTH(Lists!F$21),(DATE(YEAR((Lists!F$21-6)),MONTH((Lists!F$21-6)),MIN($X9,DAY(EOMONTH((Lists!F$21-6),0))))&gt;Lists!F$23)*(DATE(YEAR((Lists!F$21-6)),MONTH((Lists!F$21-6)),MIN($X9,DAY(EOMONTH((Lists!F$21-6),0))))&lt;=Lists!F$21)*IFERROR(AVERAGEIFS($J23:$V23,Lists!$C$24:$O$24,(YEAR((Lists!F$21-6))*12+MONTH((Lists!F$21-6))-N($Y9))),AVERAGE($J23:$V23))*52/12,0)),M23*$C23*$D23+(1-$D23)*$C23*SUMPRODUCT($J23:$V23,(Lists!$C$21:$O$21+$E23&gt;Lists!F$22)*(Lists!$C$21:$O$21+$E23&lt;=Lists!F$21))))</f>
        <v>0</v>
      </c>
      <c r="N37" s="53" t="n">
        <f aca="false">IF(N($Z9)&gt;0,(N($Z9)&gt;Lists!G$22)*(N($Z9)&lt;=Lists!G$21)*SUM($J23:$V23)*$C23,IF(N($X9)&gt;0,$C23*((DATE(YEAR(Lists!G$21),MONTH(Lists!G$21),MIN($X9,DAY(EOMONTH(Lists!G$21,0))))&gt;Lists!G$23)*(DATE(YEAR(Lists!G$21),MONTH(Lists!G$21),MIN($X9,DAY(EOMONTH(Lists!G$21,0))))&lt;=Lists!G$21)*IFERROR(AVERAGEIFS($J23:$V23,Lists!$C$24:$O$24,(YEAR(Lists!G$21)*12+MONTH(Lists!G$21)-N($Y9))),AVERAGE($J23:$V23))*52/12+IF(MONTH((Lists!G$21-6))&lt;&gt;MONTH(Lists!G$21),(DATE(YEAR((Lists!G$21-6)),MONTH((Lists!G$21-6)),MIN($X9,DAY(EOMONTH((Lists!G$21-6),0))))&gt;Lists!G$23)*(DATE(YEAR((Lists!G$21-6)),MONTH((Lists!G$21-6)),MIN($X9,DAY(EOMONTH((Lists!G$21-6),0))))&lt;=Lists!G$21)*IFERROR(AVERAGEIFS($J23:$V23,Lists!$C$24:$O$24,(YEAR((Lists!G$21-6))*12+MONTH((Lists!G$21-6))-N($Y9))),AVERAGE($J23:$V23))*52/12,0)),N23*$C23*$D23+(1-$D23)*$C23*SUMPRODUCT($J23:$V23,(Lists!$C$21:$O$21+$E23&gt;Lists!G$22)*(Lists!$C$21:$O$21+$E23&lt;=Lists!G$21))))</f>
        <v>0</v>
      </c>
      <c r="O37" s="53" t="n">
        <f aca="false">IF(N($Z9)&gt;0,(N($Z9)&gt;Lists!H$22)*(N($Z9)&lt;=Lists!H$21)*SUM($J23:$V23)*$C23,IF(N($X9)&gt;0,$C23*((DATE(YEAR(Lists!H$21),MONTH(Lists!H$21),MIN($X9,DAY(EOMONTH(Lists!H$21,0))))&gt;Lists!H$23)*(DATE(YEAR(Lists!H$21),MONTH(Lists!H$21),MIN($X9,DAY(EOMONTH(Lists!H$21,0))))&lt;=Lists!H$21)*IFERROR(AVERAGEIFS($J23:$V23,Lists!$C$24:$O$24,(YEAR(Lists!H$21)*12+MONTH(Lists!H$21)-N($Y9))),AVERAGE($J23:$V23))*52/12+IF(MONTH((Lists!H$21-6))&lt;&gt;MONTH(Lists!H$21),(DATE(YEAR((Lists!H$21-6)),MONTH((Lists!H$21-6)),MIN($X9,DAY(EOMONTH((Lists!H$21-6),0))))&gt;Lists!H$23)*(DATE(YEAR((Lists!H$21-6)),MONTH((Lists!H$21-6)),MIN($X9,DAY(EOMONTH((Lists!H$21-6),0))))&lt;=Lists!H$21)*IFERROR(AVERAGEIFS($J23:$V23,Lists!$C$24:$O$24,(YEAR((Lists!H$21-6))*12+MONTH((Lists!H$21-6))-N($Y9))),AVERAGE($J23:$V23))*52/12,0)),O23*$C23*$D23+(1-$D23)*$C23*SUMPRODUCT($J23:$V23,(Lists!$C$21:$O$21+$E23&gt;Lists!H$22)*(Lists!$C$21:$O$21+$E23&lt;=Lists!H$21))))</f>
        <v>0</v>
      </c>
      <c r="P37" s="53" t="n">
        <f aca="false">IF(N($Z9)&gt;0,(N($Z9)&gt;Lists!I$22)*(N($Z9)&lt;=Lists!I$21)*SUM($J23:$V23)*$C23,IF(N($X9)&gt;0,$C23*((DATE(YEAR(Lists!I$21),MONTH(Lists!I$21),MIN($X9,DAY(EOMONTH(Lists!I$21,0))))&gt;Lists!I$23)*(DATE(YEAR(Lists!I$21),MONTH(Lists!I$21),MIN($X9,DAY(EOMONTH(Lists!I$21,0))))&lt;=Lists!I$21)*IFERROR(AVERAGEIFS($J23:$V23,Lists!$C$24:$O$24,(YEAR(Lists!I$21)*12+MONTH(Lists!I$21)-N($Y9))),AVERAGE($J23:$V23))*52/12+IF(MONTH((Lists!I$21-6))&lt;&gt;MONTH(Lists!I$21),(DATE(YEAR((Lists!I$21-6)),MONTH((Lists!I$21-6)),MIN($X9,DAY(EOMONTH((Lists!I$21-6),0))))&gt;Lists!I$23)*(DATE(YEAR((Lists!I$21-6)),MONTH((Lists!I$21-6)),MIN($X9,DAY(EOMONTH((Lists!I$21-6),0))))&lt;=Lists!I$21)*IFERROR(AVERAGEIFS($J23:$V23,Lists!$C$24:$O$24,(YEAR((Lists!I$21-6))*12+MONTH((Lists!I$21-6))-N($Y9))),AVERAGE($J23:$V23))*52/12,0)),P23*$C23*$D23+(1-$D23)*$C23*SUMPRODUCT($J23:$V23,(Lists!$C$21:$O$21+$E23&gt;Lists!I$22)*(Lists!$C$21:$O$21+$E23&lt;=Lists!I$21))))</f>
        <v>41580</v>
      </c>
      <c r="Q37" s="53" t="n">
        <f aca="false">IF(N($Z9)&gt;0,(N($Z9)&gt;Lists!J$22)*(N($Z9)&lt;=Lists!J$21)*SUM($J23:$V23)*$C23,IF(N($X9)&gt;0,$C23*((DATE(YEAR(Lists!J$21),MONTH(Lists!J$21),MIN($X9,DAY(EOMONTH(Lists!J$21,0))))&gt;Lists!J$23)*(DATE(YEAR(Lists!J$21),MONTH(Lists!J$21),MIN($X9,DAY(EOMONTH(Lists!J$21,0))))&lt;=Lists!J$21)*IFERROR(AVERAGEIFS($J23:$V23,Lists!$C$24:$O$24,(YEAR(Lists!J$21)*12+MONTH(Lists!J$21)-N($Y9))),AVERAGE($J23:$V23))*52/12+IF(MONTH((Lists!J$21-6))&lt;&gt;MONTH(Lists!J$21),(DATE(YEAR((Lists!J$21-6)),MONTH((Lists!J$21-6)),MIN($X9,DAY(EOMONTH((Lists!J$21-6),0))))&gt;Lists!J$23)*(DATE(YEAR((Lists!J$21-6)),MONTH((Lists!J$21-6)),MIN($X9,DAY(EOMONTH((Lists!J$21-6),0))))&lt;=Lists!J$21)*IFERROR(AVERAGEIFS($J23:$V23,Lists!$C$24:$O$24,(YEAR((Lists!J$21-6))*12+MONTH((Lists!J$21-6))-N($Y9))),AVERAGE($J23:$V23))*52/12,0)),Q23*$C23*$D23+(1-$D23)*$C23*SUMPRODUCT($J23:$V23,(Lists!$C$21:$O$21+$E23&gt;Lists!J$22)*(Lists!$C$21:$O$21+$E23&lt;=Lists!J$21))))</f>
        <v>41580</v>
      </c>
      <c r="R37" s="53" t="n">
        <f aca="false">IF(N($Z9)&gt;0,(N($Z9)&gt;Lists!K$22)*(N($Z9)&lt;=Lists!K$21)*SUM($J23:$V23)*$C23,IF(N($X9)&gt;0,$C23*((DATE(YEAR(Lists!K$21),MONTH(Lists!K$21),MIN($X9,DAY(EOMONTH(Lists!K$21,0))))&gt;Lists!K$23)*(DATE(YEAR(Lists!K$21),MONTH(Lists!K$21),MIN($X9,DAY(EOMONTH(Lists!K$21,0))))&lt;=Lists!K$21)*IFERROR(AVERAGEIFS($J23:$V23,Lists!$C$24:$O$24,(YEAR(Lists!K$21)*12+MONTH(Lists!K$21)-N($Y9))),AVERAGE($J23:$V23))*52/12+IF(MONTH((Lists!K$21-6))&lt;&gt;MONTH(Lists!K$21),(DATE(YEAR((Lists!K$21-6)),MONTH((Lists!K$21-6)),MIN($X9,DAY(EOMONTH((Lists!K$21-6),0))))&gt;Lists!K$23)*(DATE(YEAR((Lists!K$21-6)),MONTH((Lists!K$21-6)),MIN($X9,DAY(EOMONTH((Lists!K$21-6),0))))&lt;=Lists!K$21)*IFERROR(AVERAGEIFS($J23:$V23,Lists!$C$24:$O$24,(YEAR((Lists!K$21-6))*12+MONTH((Lists!K$21-6))-N($Y9))),AVERAGE($J23:$V23))*52/12,0)),R23*$C23*$D23+(1-$D23)*$C23*SUMPRODUCT($J23:$V23,(Lists!$C$21:$O$21+$E23&gt;Lists!K$22)*(Lists!$C$21:$O$21+$E23&lt;=Lists!K$21))))</f>
        <v>41580</v>
      </c>
      <c r="S37" s="53" t="n">
        <f aca="false">IF(N($Z9)&gt;0,(N($Z9)&gt;Lists!L$22)*(N($Z9)&lt;=Lists!L$21)*SUM($J23:$V23)*$C23,IF(N($X9)&gt;0,$C23*((DATE(YEAR(Lists!L$21),MONTH(Lists!L$21),MIN($X9,DAY(EOMONTH(Lists!L$21,0))))&gt;Lists!L$23)*(DATE(YEAR(Lists!L$21),MONTH(Lists!L$21),MIN($X9,DAY(EOMONTH(Lists!L$21,0))))&lt;=Lists!L$21)*IFERROR(AVERAGEIFS($J23:$V23,Lists!$C$24:$O$24,(YEAR(Lists!L$21)*12+MONTH(Lists!L$21)-N($Y9))),AVERAGE($J23:$V23))*52/12+IF(MONTH((Lists!L$21-6))&lt;&gt;MONTH(Lists!L$21),(DATE(YEAR((Lists!L$21-6)),MONTH((Lists!L$21-6)),MIN($X9,DAY(EOMONTH((Lists!L$21-6),0))))&gt;Lists!L$23)*(DATE(YEAR((Lists!L$21-6)),MONTH((Lists!L$21-6)),MIN($X9,DAY(EOMONTH((Lists!L$21-6),0))))&lt;=Lists!L$21)*IFERROR(AVERAGEIFS($J23:$V23,Lists!$C$24:$O$24,(YEAR((Lists!L$21-6))*12+MONTH((Lists!L$21-6))-N($Y9))),AVERAGE($J23:$V23))*52/12,0)),S23*$C23*$D23+(1-$D23)*$C23*SUMPRODUCT($J23:$V23,(Lists!$C$21:$O$21+$E23&gt;Lists!L$22)*(Lists!$C$21:$O$21+$E23&lt;=Lists!L$21))))</f>
        <v>41580</v>
      </c>
      <c r="T37" s="53" t="n">
        <f aca="false">IF(N($Z9)&gt;0,(N($Z9)&gt;Lists!M$22)*(N($Z9)&lt;=Lists!M$21)*SUM($J23:$V23)*$C23,IF(N($X9)&gt;0,$C23*((DATE(YEAR(Lists!M$21),MONTH(Lists!M$21),MIN($X9,DAY(EOMONTH(Lists!M$21,0))))&gt;Lists!M$23)*(DATE(YEAR(Lists!M$21),MONTH(Lists!M$21),MIN($X9,DAY(EOMONTH(Lists!M$21,0))))&lt;=Lists!M$21)*IFERROR(AVERAGEIFS($J23:$V23,Lists!$C$24:$O$24,(YEAR(Lists!M$21)*12+MONTH(Lists!M$21)-N($Y9))),AVERAGE($J23:$V23))*52/12+IF(MONTH((Lists!M$21-6))&lt;&gt;MONTH(Lists!M$21),(DATE(YEAR((Lists!M$21-6)),MONTH((Lists!M$21-6)),MIN($X9,DAY(EOMONTH((Lists!M$21-6),0))))&gt;Lists!M$23)*(DATE(YEAR((Lists!M$21-6)),MONTH((Lists!M$21-6)),MIN($X9,DAY(EOMONTH((Lists!M$21-6),0))))&lt;=Lists!M$21)*IFERROR(AVERAGEIFS($J23:$V23,Lists!$C$24:$O$24,(YEAR((Lists!M$21-6))*12+MONTH((Lists!M$21-6))-N($Y9))),AVERAGE($J23:$V23))*52/12,0)),T23*$C23*$D23+(1-$D23)*$C23*SUMPRODUCT($J23:$V23,(Lists!$C$21:$O$21+$E23&gt;Lists!M$22)*(Lists!$C$21:$O$21+$E23&lt;=Lists!M$21))))</f>
        <v>41580</v>
      </c>
      <c r="U37" s="53" t="n">
        <f aca="false">IF(N($Z9)&gt;0,(N($Z9)&gt;Lists!N$22)*(N($Z9)&lt;=Lists!N$21)*SUM($J23:$V23)*$C23,IF(N($X9)&gt;0,$C23*((DATE(YEAR(Lists!N$21),MONTH(Lists!N$21),MIN($X9,DAY(EOMONTH(Lists!N$21,0))))&gt;Lists!N$23)*(DATE(YEAR(Lists!N$21),MONTH(Lists!N$21),MIN($X9,DAY(EOMONTH(Lists!N$21,0))))&lt;=Lists!N$21)*IFERROR(AVERAGEIFS($J23:$V23,Lists!$C$24:$O$24,(YEAR(Lists!N$21)*12+MONTH(Lists!N$21)-N($Y9))),AVERAGE($J23:$V23))*52/12+IF(MONTH((Lists!N$21-6))&lt;&gt;MONTH(Lists!N$21),(DATE(YEAR((Lists!N$21-6)),MONTH((Lists!N$21-6)),MIN($X9,DAY(EOMONTH((Lists!N$21-6),0))))&gt;Lists!N$23)*(DATE(YEAR((Lists!N$21-6)),MONTH((Lists!N$21-6)),MIN($X9,DAY(EOMONTH((Lists!N$21-6),0))))&lt;=Lists!N$21)*IFERROR(AVERAGEIFS($J23:$V23,Lists!$C$24:$O$24,(YEAR((Lists!N$21-6))*12+MONTH((Lists!N$21-6))-N($Y9))),AVERAGE($J23:$V23))*52/12,0)),U23*$C23*$D23+(1-$D23)*$C23*SUMPRODUCT($J23:$V23,(Lists!$C$21:$O$21+$E23&gt;Lists!N$22)*(Lists!$C$21:$O$21+$E23&lt;=Lists!N$21))))</f>
        <v>41580</v>
      </c>
      <c r="V37" s="53" t="n">
        <f aca="false">IF(N($Z9)&gt;0,(N($Z9)&gt;Lists!O$22)*(N($Z9)&lt;=Lists!O$21)*SUM($J23:$V23)*$C23,IF(N($X9)&gt;0,$C23*((DATE(YEAR(Lists!O$21),MONTH(Lists!O$21),MIN($X9,DAY(EOMONTH(Lists!O$21,0))))&gt;Lists!O$23)*(DATE(YEAR(Lists!O$21),MONTH(Lists!O$21),MIN($X9,DAY(EOMONTH(Lists!O$21,0))))&lt;=Lists!O$21)*IFERROR(AVERAGEIFS($J23:$V23,Lists!$C$24:$O$24,(YEAR(Lists!O$21)*12+MONTH(Lists!O$21)-N($Y9))),AVERAGE($J23:$V23))*52/12+IF(MONTH((Lists!O$21-6))&lt;&gt;MONTH(Lists!O$21),(DATE(YEAR((Lists!O$21-6)),MONTH((Lists!O$21-6)),MIN($X9,DAY(EOMONTH((Lists!O$21-6),0))))&gt;Lists!O$23)*(DATE(YEAR((Lists!O$21-6)),MONTH((Lists!O$21-6)),MIN($X9,DAY(EOMONTH((Lists!O$21-6),0))))&lt;=Lists!O$21)*IFERROR(AVERAGEIFS($J23:$V23,Lists!$C$24:$O$24,(YEAR((Lists!O$21-6))*12+MONTH((Lists!O$21-6))-N($Y9))),AVERAGE($J23:$V23))*52/12,0)),V23*$C23*$D23+(1-$D23)*$C23*SUMPRODUCT($J23:$V23,(Lists!$C$21:$O$21+$E23&gt;Lists!O$22)*(Lists!$C$21:$O$21+$E23&lt;=Lists!O$21))))</f>
        <v>16200</v>
      </c>
      <c r="W37" s="46" t="n">
        <f aca="false">SUM(J37:V37)</f>
        <v>265680</v>
      </c>
      <c r="X37" s="92" t="n">
        <f aca="false">W23*C23-W37</f>
        <v>216540</v>
      </c>
      <c r="Y37" s="2"/>
      <c r="Z37" s="2"/>
    </row>
    <row r="38" customFormat="false" ht="15" hidden="false" customHeight="false" outlineLevel="0" collapsed="false">
      <c r="A38" s="2"/>
      <c r="B38" s="9" t="str">
        <f aca="false">B24</f>
        <v>Subcontract, coatings and carriage</v>
      </c>
      <c r="C38" s="2"/>
      <c r="D38" s="2"/>
      <c r="E38" s="2"/>
      <c r="F38" s="2"/>
      <c r="G38" s="2"/>
      <c r="H38" s="2"/>
      <c r="I38" s="2"/>
      <c r="J38" s="53" t="n">
        <f aca="false">IF(N($Z10)&gt;0,(N($Z10)&gt;Lists!C$22)*(N($Z10)&lt;=Lists!C$21)*SUM($J24:$V24)*$C24,IF(N($X10)&gt;0,$C24*((DATE(YEAR(Lists!C$21),MONTH(Lists!C$21),MIN($X10,DAY(EOMONTH(Lists!C$21,0))))&gt;Lists!C$23)*(DATE(YEAR(Lists!C$21),MONTH(Lists!C$21),MIN($X10,DAY(EOMONTH(Lists!C$21,0))))&lt;=Lists!C$21)*IFERROR(AVERAGEIFS($J24:$V24,Lists!$C$24:$O$24,(YEAR(Lists!C$21)*12+MONTH(Lists!C$21)-N($Y10))),AVERAGE($J24:$V24))*52/12+IF(MONTH((Lists!C$21-6))&lt;&gt;MONTH(Lists!C$21),(DATE(YEAR((Lists!C$21-6)),MONTH((Lists!C$21-6)),MIN($X10,DAY(EOMONTH((Lists!C$21-6),0))))&gt;Lists!C$23)*(DATE(YEAR((Lists!C$21-6)),MONTH((Lists!C$21-6)),MIN($X10,DAY(EOMONTH((Lists!C$21-6),0))))&lt;=Lists!C$21)*IFERROR(AVERAGEIFS($J24:$V24,Lists!$C$24:$O$24,(YEAR((Lists!C$21-6))*12+MONTH((Lists!C$21-6))-N($Y10))),AVERAGE($J24:$V24))*52/12,0)),J24*$C24*$D24+(1-$D24)*$C24*SUMPRODUCT($J24:$V24,(Lists!$C$21:$O$21+$E24&gt;Lists!C$22)*(Lists!$C$21:$O$21+$E24&lt;=Lists!C$21))))</f>
        <v>0</v>
      </c>
      <c r="K38" s="53" t="n">
        <f aca="false">IF(N($Z10)&gt;0,(N($Z10)&gt;Lists!D$22)*(N($Z10)&lt;=Lists!D$21)*SUM($J24:$V24)*$C24,IF(N($X10)&gt;0,$C24*((DATE(YEAR(Lists!D$21),MONTH(Lists!D$21),MIN($X10,DAY(EOMONTH(Lists!D$21,0))))&gt;Lists!D$23)*(DATE(YEAR(Lists!D$21),MONTH(Lists!D$21),MIN($X10,DAY(EOMONTH(Lists!D$21,0))))&lt;=Lists!D$21)*IFERROR(AVERAGEIFS($J24:$V24,Lists!$C$24:$O$24,(YEAR(Lists!D$21)*12+MONTH(Lists!D$21)-N($Y10))),AVERAGE($J24:$V24))*52/12+IF(MONTH((Lists!D$21-6))&lt;&gt;MONTH(Lists!D$21),(DATE(YEAR((Lists!D$21-6)),MONTH((Lists!D$21-6)),MIN($X10,DAY(EOMONTH((Lists!D$21-6),0))))&gt;Lists!D$23)*(DATE(YEAR((Lists!D$21-6)),MONTH((Lists!D$21-6)),MIN($X10,DAY(EOMONTH((Lists!D$21-6),0))))&lt;=Lists!D$21)*IFERROR(AVERAGEIFS($J24:$V24,Lists!$C$24:$O$24,(YEAR((Lists!D$21-6))*12+MONTH((Lists!D$21-6))-N($Y10))),AVERAGE($J24:$V24))*52/12,0)),K24*$C24*$D24+(1-$D24)*$C24*SUMPRODUCT($J24:$V24,(Lists!$C$21:$O$21+$E24&gt;Lists!D$22)*(Lists!$C$21:$O$21+$E24&lt;=Lists!D$21))))</f>
        <v>0</v>
      </c>
      <c r="L38" s="53" t="n">
        <f aca="false">IF(N($Z10)&gt;0,(N($Z10)&gt;Lists!E$22)*(N($Z10)&lt;=Lists!E$21)*SUM($J24:$V24)*$C24,IF(N($X10)&gt;0,$C24*((DATE(YEAR(Lists!E$21),MONTH(Lists!E$21),MIN($X10,DAY(EOMONTH(Lists!E$21,0))))&gt;Lists!E$23)*(DATE(YEAR(Lists!E$21),MONTH(Lists!E$21),MIN($X10,DAY(EOMONTH(Lists!E$21,0))))&lt;=Lists!E$21)*IFERROR(AVERAGEIFS($J24:$V24,Lists!$C$24:$O$24,(YEAR(Lists!E$21)*12+MONTH(Lists!E$21)-N($Y10))),AVERAGE($J24:$V24))*52/12+IF(MONTH((Lists!E$21-6))&lt;&gt;MONTH(Lists!E$21),(DATE(YEAR((Lists!E$21-6)),MONTH((Lists!E$21-6)),MIN($X10,DAY(EOMONTH((Lists!E$21-6),0))))&gt;Lists!E$23)*(DATE(YEAR((Lists!E$21-6)),MONTH((Lists!E$21-6)),MIN($X10,DAY(EOMONTH((Lists!E$21-6),0))))&lt;=Lists!E$21)*IFERROR(AVERAGEIFS($J24:$V24,Lists!$C$24:$O$24,(YEAR((Lists!E$21-6))*12+MONTH((Lists!E$21-6))-N($Y10))),AVERAGE($J24:$V24))*52/12,0)),L24*$C24*$D24+(1-$D24)*$C24*SUMPRODUCT($J24:$V24,(Lists!$C$21:$O$21+$E24&gt;Lists!E$22)*(Lists!$C$21:$O$21+$E24&lt;=Lists!E$21))))</f>
        <v>0</v>
      </c>
      <c r="M38" s="53" t="n">
        <f aca="false">IF(N($Z10)&gt;0,(N($Z10)&gt;Lists!F$22)*(N($Z10)&lt;=Lists!F$21)*SUM($J24:$V24)*$C24,IF(N($X10)&gt;0,$C24*((DATE(YEAR(Lists!F$21),MONTH(Lists!F$21),MIN($X10,DAY(EOMONTH(Lists!F$21,0))))&gt;Lists!F$23)*(DATE(YEAR(Lists!F$21),MONTH(Lists!F$21),MIN($X10,DAY(EOMONTH(Lists!F$21,0))))&lt;=Lists!F$21)*IFERROR(AVERAGEIFS($J24:$V24,Lists!$C$24:$O$24,(YEAR(Lists!F$21)*12+MONTH(Lists!F$21)-N($Y10))),AVERAGE($J24:$V24))*52/12+IF(MONTH((Lists!F$21-6))&lt;&gt;MONTH(Lists!F$21),(DATE(YEAR((Lists!F$21-6)),MONTH((Lists!F$21-6)),MIN($X10,DAY(EOMONTH((Lists!F$21-6),0))))&gt;Lists!F$23)*(DATE(YEAR((Lists!F$21-6)),MONTH((Lists!F$21-6)),MIN($X10,DAY(EOMONTH((Lists!F$21-6),0))))&lt;=Lists!F$21)*IFERROR(AVERAGEIFS($J24:$V24,Lists!$C$24:$O$24,(YEAR((Lists!F$21-6))*12+MONTH((Lists!F$21-6))-N($Y10))),AVERAGE($J24:$V24))*52/12,0)),M24*$C24*$D24+(1-$D24)*$C24*SUMPRODUCT($J24:$V24,(Lists!$C$21:$O$21+$E24&gt;Lists!F$22)*(Lists!$C$21:$O$21+$E24&lt;=Lists!F$21))))</f>
        <v>0</v>
      </c>
      <c r="N38" s="53" t="n">
        <f aca="false">IF(N($Z10)&gt;0,(N($Z10)&gt;Lists!G$22)*(N($Z10)&lt;=Lists!G$21)*SUM($J24:$V24)*$C24,IF(N($X10)&gt;0,$C24*((DATE(YEAR(Lists!G$21),MONTH(Lists!G$21),MIN($X10,DAY(EOMONTH(Lists!G$21,0))))&gt;Lists!G$23)*(DATE(YEAR(Lists!G$21),MONTH(Lists!G$21),MIN($X10,DAY(EOMONTH(Lists!G$21,0))))&lt;=Lists!G$21)*IFERROR(AVERAGEIFS($J24:$V24,Lists!$C$24:$O$24,(YEAR(Lists!G$21)*12+MONTH(Lists!G$21)-N($Y10))),AVERAGE($J24:$V24))*52/12+IF(MONTH((Lists!G$21-6))&lt;&gt;MONTH(Lists!G$21),(DATE(YEAR((Lists!G$21-6)),MONTH((Lists!G$21-6)),MIN($X10,DAY(EOMONTH((Lists!G$21-6),0))))&gt;Lists!G$23)*(DATE(YEAR((Lists!G$21-6)),MONTH((Lists!G$21-6)),MIN($X10,DAY(EOMONTH((Lists!G$21-6),0))))&lt;=Lists!G$21)*IFERROR(AVERAGEIFS($J24:$V24,Lists!$C$24:$O$24,(YEAR((Lists!G$21-6))*12+MONTH((Lists!G$21-6))-N($Y10))),AVERAGE($J24:$V24))*52/12,0)),N24*$C24*$D24+(1-$D24)*$C24*SUMPRODUCT($J24:$V24,(Lists!$C$21:$O$21+$E24&gt;Lists!G$22)*(Lists!$C$21:$O$21+$E24&lt;=Lists!G$21))))</f>
        <v>0</v>
      </c>
      <c r="O38" s="53" t="n">
        <f aca="false">IF(N($Z10)&gt;0,(N($Z10)&gt;Lists!H$22)*(N($Z10)&lt;=Lists!H$21)*SUM($J24:$V24)*$C24,IF(N($X10)&gt;0,$C24*((DATE(YEAR(Lists!H$21),MONTH(Lists!H$21),MIN($X10,DAY(EOMONTH(Lists!H$21,0))))&gt;Lists!H$23)*(DATE(YEAR(Lists!H$21),MONTH(Lists!H$21),MIN($X10,DAY(EOMONTH(Lists!H$21,0))))&lt;=Lists!H$21)*IFERROR(AVERAGEIFS($J24:$V24,Lists!$C$24:$O$24,(YEAR(Lists!H$21)*12+MONTH(Lists!H$21)-N($Y10))),AVERAGE($J24:$V24))*52/12+IF(MONTH((Lists!H$21-6))&lt;&gt;MONTH(Lists!H$21),(DATE(YEAR((Lists!H$21-6)),MONTH((Lists!H$21-6)),MIN($X10,DAY(EOMONTH((Lists!H$21-6),0))))&gt;Lists!H$23)*(DATE(YEAR((Lists!H$21-6)),MONTH((Lists!H$21-6)),MIN($X10,DAY(EOMONTH((Lists!H$21-6),0))))&lt;=Lists!H$21)*IFERROR(AVERAGEIFS($J24:$V24,Lists!$C$24:$O$24,(YEAR((Lists!H$21-6))*12+MONTH((Lists!H$21-6))-N($Y10))),AVERAGE($J24:$V24))*52/12,0)),O24*$C24*$D24+(1-$D24)*$C24*SUMPRODUCT($J24:$V24,(Lists!$C$21:$O$21+$E24&gt;Lists!H$22)*(Lists!$C$21:$O$21+$E24&lt;=Lists!H$21))))</f>
        <v>13860</v>
      </c>
      <c r="P38" s="53" t="n">
        <f aca="false">IF(N($Z10)&gt;0,(N($Z10)&gt;Lists!I$22)*(N($Z10)&lt;=Lists!I$21)*SUM($J24:$V24)*$C24,IF(N($X10)&gt;0,$C24*((DATE(YEAR(Lists!I$21),MONTH(Lists!I$21),MIN($X10,DAY(EOMONTH(Lists!I$21,0))))&gt;Lists!I$23)*(DATE(YEAR(Lists!I$21),MONTH(Lists!I$21),MIN($X10,DAY(EOMONTH(Lists!I$21,0))))&lt;=Lists!I$21)*IFERROR(AVERAGEIFS($J24:$V24,Lists!$C$24:$O$24,(YEAR(Lists!I$21)*12+MONTH(Lists!I$21)-N($Y10))),AVERAGE($J24:$V24))*52/12+IF(MONTH((Lists!I$21-6))&lt;&gt;MONTH(Lists!I$21),(DATE(YEAR((Lists!I$21-6)),MONTH((Lists!I$21-6)),MIN($X10,DAY(EOMONTH((Lists!I$21-6),0))))&gt;Lists!I$23)*(DATE(YEAR((Lists!I$21-6)),MONTH((Lists!I$21-6)),MIN($X10,DAY(EOMONTH((Lists!I$21-6),0))))&lt;=Lists!I$21)*IFERROR(AVERAGEIFS($J24:$V24,Lists!$C$24:$O$24,(YEAR((Lists!I$21-6))*12+MONTH((Lists!I$21-6))-N($Y10))),AVERAGE($J24:$V24))*52/12,0)),P24*$C24*$D24+(1-$D24)*$C24*SUMPRODUCT($J24:$V24,(Lists!$C$21:$O$21+$E24&gt;Lists!I$22)*(Lists!$C$21:$O$21+$E24&lt;=Lists!I$21))))</f>
        <v>13860</v>
      </c>
      <c r="Q38" s="53" t="n">
        <f aca="false">IF(N($Z10)&gt;0,(N($Z10)&gt;Lists!J$22)*(N($Z10)&lt;=Lists!J$21)*SUM($J24:$V24)*$C24,IF(N($X10)&gt;0,$C24*((DATE(YEAR(Lists!J$21),MONTH(Lists!J$21),MIN($X10,DAY(EOMONTH(Lists!J$21,0))))&gt;Lists!J$23)*(DATE(YEAR(Lists!J$21),MONTH(Lists!J$21),MIN($X10,DAY(EOMONTH(Lists!J$21,0))))&lt;=Lists!J$21)*IFERROR(AVERAGEIFS($J24:$V24,Lists!$C$24:$O$24,(YEAR(Lists!J$21)*12+MONTH(Lists!J$21)-N($Y10))),AVERAGE($J24:$V24))*52/12+IF(MONTH((Lists!J$21-6))&lt;&gt;MONTH(Lists!J$21),(DATE(YEAR((Lists!J$21-6)),MONTH((Lists!J$21-6)),MIN($X10,DAY(EOMONTH((Lists!J$21-6),0))))&gt;Lists!J$23)*(DATE(YEAR((Lists!J$21-6)),MONTH((Lists!J$21-6)),MIN($X10,DAY(EOMONTH((Lists!J$21-6),0))))&lt;=Lists!J$21)*IFERROR(AVERAGEIFS($J24:$V24,Lists!$C$24:$O$24,(YEAR((Lists!J$21-6))*12+MONTH((Lists!J$21-6))-N($Y10))),AVERAGE($J24:$V24))*52/12,0)),Q24*$C24*$D24+(1-$D24)*$C24*SUMPRODUCT($J24:$V24,(Lists!$C$21:$O$21+$E24&gt;Lists!J$22)*(Lists!$C$21:$O$21+$E24&lt;=Lists!J$21))))</f>
        <v>13860</v>
      </c>
      <c r="R38" s="53" t="n">
        <f aca="false">IF(N($Z10)&gt;0,(N($Z10)&gt;Lists!K$22)*(N($Z10)&lt;=Lists!K$21)*SUM($J24:$V24)*$C24,IF(N($X10)&gt;0,$C24*((DATE(YEAR(Lists!K$21),MONTH(Lists!K$21),MIN($X10,DAY(EOMONTH(Lists!K$21,0))))&gt;Lists!K$23)*(DATE(YEAR(Lists!K$21),MONTH(Lists!K$21),MIN($X10,DAY(EOMONTH(Lists!K$21,0))))&lt;=Lists!K$21)*IFERROR(AVERAGEIFS($J24:$V24,Lists!$C$24:$O$24,(YEAR(Lists!K$21)*12+MONTH(Lists!K$21)-N($Y10))),AVERAGE($J24:$V24))*52/12+IF(MONTH((Lists!K$21-6))&lt;&gt;MONTH(Lists!K$21),(DATE(YEAR((Lists!K$21-6)),MONTH((Lists!K$21-6)),MIN($X10,DAY(EOMONTH((Lists!K$21-6),0))))&gt;Lists!K$23)*(DATE(YEAR((Lists!K$21-6)),MONTH((Lists!K$21-6)),MIN($X10,DAY(EOMONTH((Lists!K$21-6),0))))&lt;=Lists!K$21)*IFERROR(AVERAGEIFS($J24:$V24,Lists!$C$24:$O$24,(YEAR((Lists!K$21-6))*12+MONTH((Lists!K$21-6))-N($Y10))),AVERAGE($J24:$V24))*52/12,0)),R24*$C24*$D24+(1-$D24)*$C24*SUMPRODUCT($J24:$V24,(Lists!$C$21:$O$21+$E24&gt;Lists!K$22)*(Lists!$C$21:$O$21+$E24&lt;=Lists!K$21))))</f>
        <v>13860</v>
      </c>
      <c r="S38" s="53" t="n">
        <f aca="false">IF(N($Z10)&gt;0,(N($Z10)&gt;Lists!L$22)*(N($Z10)&lt;=Lists!L$21)*SUM($J24:$V24)*$C24,IF(N($X10)&gt;0,$C24*((DATE(YEAR(Lists!L$21),MONTH(Lists!L$21),MIN($X10,DAY(EOMONTH(Lists!L$21,0))))&gt;Lists!L$23)*(DATE(YEAR(Lists!L$21),MONTH(Lists!L$21),MIN($X10,DAY(EOMONTH(Lists!L$21,0))))&lt;=Lists!L$21)*IFERROR(AVERAGEIFS($J24:$V24,Lists!$C$24:$O$24,(YEAR(Lists!L$21)*12+MONTH(Lists!L$21)-N($Y10))),AVERAGE($J24:$V24))*52/12+IF(MONTH((Lists!L$21-6))&lt;&gt;MONTH(Lists!L$21),(DATE(YEAR((Lists!L$21-6)),MONTH((Lists!L$21-6)),MIN($X10,DAY(EOMONTH((Lists!L$21-6),0))))&gt;Lists!L$23)*(DATE(YEAR((Lists!L$21-6)),MONTH((Lists!L$21-6)),MIN($X10,DAY(EOMONTH((Lists!L$21-6),0))))&lt;=Lists!L$21)*IFERROR(AVERAGEIFS($J24:$V24,Lists!$C$24:$O$24,(YEAR((Lists!L$21-6))*12+MONTH((Lists!L$21-6))-N($Y10))),AVERAGE($J24:$V24))*52/12,0)),S24*$C24*$D24+(1-$D24)*$C24*SUMPRODUCT($J24:$V24,(Lists!$C$21:$O$21+$E24&gt;Lists!L$22)*(Lists!$C$21:$O$21+$E24&lt;=Lists!L$21))))</f>
        <v>13860</v>
      </c>
      <c r="T38" s="53" t="n">
        <f aca="false">IF(N($Z10)&gt;0,(N($Z10)&gt;Lists!M$22)*(N($Z10)&lt;=Lists!M$21)*SUM($J24:$V24)*$C24,IF(N($X10)&gt;0,$C24*((DATE(YEAR(Lists!M$21),MONTH(Lists!M$21),MIN($X10,DAY(EOMONTH(Lists!M$21,0))))&gt;Lists!M$23)*(DATE(YEAR(Lists!M$21),MONTH(Lists!M$21),MIN($X10,DAY(EOMONTH(Lists!M$21,0))))&lt;=Lists!M$21)*IFERROR(AVERAGEIFS($J24:$V24,Lists!$C$24:$O$24,(YEAR(Lists!M$21)*12+MONTH(Lists!M$21)-N($Y10))),AVERAGE($J24:$V24))*52/12+IF(MONTH((Lists!M$21-6))&lt;&gt;MONTH(Lists!M$21),(DATE(YEAR((Lists!M$21-6)),MONTH((Lists!M$21-6)),MIN($X10,DAY(EOMONTH((Lists!M$21-6),0))))&gt;Lists!M$23)*(DATE(YEAR((Lists!M$21-6)),MONTH((Lists!M$21-6)),MIN($X10,DAY(EOMONTH((Lists!M$21-6),0))))&lt;=Lists!M$21)*IFERROR(AVERAGEIFS($J24:$V24,Lists!$C$24:$O$24,(YEAR((Lists!M$21-6))*12+MONTH((Lists!M$21-6))-N($Y10))),AVERAGE($J24:$V24))*52/12,0)),T24*$C24*$D24+(1-$D24)*$C24*SUMPRODUCT($J24:$V24,(Lists!$C$21:$O$21+$E24&gt;Lists!M$22)*(Lists!$C$21:$O$21+$E24&lt;=Lists!M$21))))</f>
        <v>13860</v>
      </c>
      <c r="U38" s="53" t="n">
        <f aca="false">IF(N($Z10)&gt;0,(N($Z10)&gt;Lists!N$22)*(N($Z10)&lt;=Lists!N$21)*SUM($J24:$V24)*$C24,IF(N($X10)&gt;0,$C24*((DATE(YEAR(Lists!N$21),MONTH(Lists!N$21),MIN($X10,DAY(EOMONTH(Lists!N$21,0))))&gt;Lists!N$23)*(DATE(YEAR(Lists!N$21),MONTH(Lists!N$21),MIN($X10,DAY(EOMONTH(Lists!N$21,0))))&lt;=Lists!N$21)*IFERROR(AVERAGEIFS($J24:$V24,Lists!$C$24:$O$24,(YEAR(Lists!N$21)*12+MONTH(Lists!N$21)-N($Y10))),AVERAGE($J24:$V24))*52/12+IF(MONTH((Lists!N$21-6))&lt;&gt;MONTH(Lists!N$21),(DATE(YEAR((Lists!N$21-6)),MONTH((Lists!N$21-6)),MIN($X10,DAY(EOMONTH((Lists!N$21-6),0))))&gt;Lists!N$23)*(DATE(YEAR((Lists!N$21-6)),MONTH((Lists!N$21-6)),MIN($X10,DAY(EOMONTH((Lists!N$21-6),0))))&lt;=Lists!N$21)*IFERROR(AVERAGEIFS($J24:$V24,Lists!$C$24:$O$24,(YEAR((Lists!N$21-6))*12+MONTH((Lists!N$21-6))-N($Y10))),AVERAGE($J24:$V24))*52/12,0)),U24*$C24*$D24+(1-$D24)*$C24*SUMPRODUCT($J24:$V24,(Lists!$C$21:$O$21+$E24&gt;Lists!N$22)*(Lists!$C$21:$O$21+$E24&lt;=Lists!N$21))))</f>
        <v>5400</v>
      </c>
      <c r="V38" s="53" t="n">
        <f aca="false">IF(N($Z10)&gt;0,(N($Z10)&gt;Lists!O$22)*(N($Z10)&lt;=Lists!O$21)*SUM($J24:$V24)*$C24,IF(N($X10)&gt;0,$C24*((DATE(YEAR(Lists!O$21),MONTH(Lists!O$21),MIN($X10,DAY(EOMONTH(Lists!O$21,0))))&gt;Lists!O$23)*(DATE(YEAR(Lists!O$21),MONTH(Lists!O$21),MIN($X10,DAY(EOMONTH(Lists!O$21,0))))&lt;=Lists!O$21)*IFERROR(AVERAGEIFS($J24:$V24,Lists!$C$24:$O$24,(YEAR(Lists!O$21)*12+MONTH(Lists!O$21)-N($Y10))),AVERAGE($J24:$V24))*52/12+IF(MONTH((Lists!O$21-6))&lt;&gt;MONTH(Lists!O$21),(DATE(YEAR((Lists!O$21-6)),MONTH((Lists!O$21-6)),MIN($X10,DAY(EOMONTH((Lists!O$21-6),0))))&gt;Lists!O$23)*(DATE(YEAR((Lists!O$21-6)),MONTH((Lists!O$21-6)),MIN($X10,DAY(EOMONTH((Lists!O$21-6),0))))&lt;=Lists!O$21)*IFERROR(AVERAGEIFS($J24:$V24,Lists!$C$24:$O$24,(YEAR((Lists!O$21-6))*12+MONTH((Lists!O$21-6))-N($Y10))),AVERAGE($J24:$V24))*52/12,0)),V24*$C24*$D24+(1-$D24)*$C24*SUMPRODUCT($J24:$V24,(Lists!$C$21:$O$21+$E24&gt;Lists!O$22)*(Lists!$C$21:$O$21+$E24&lt;=Lists!O$21))))</f>
        <v>2880</v>
      </c>
      <c r="W38" s="46" t="n">
        <f aca="false">SUM(J38:V38)</f>
        <v>91440</v>
      </c>
      <c r="X38" s="92" t="n">
        <f aca="false">W24*C24-W38</f>
        <v>69300</v>
      </c>
      <c r="Y38" s="2"/>
      <c r="Z38" s="2"/>
    </row>
    <row r="39" customFormat="false" ht="15" hidden="false" customHeight="false" outlineLevel="0" collapsed="false">
      <c r="A39" s="2"/>
      <c r="B39" s="9" t="str">
        <f aca="false">B25</f>
        <v/>
      </c>
      <c r="C39" s="2"/>
      <c r="D39" s="2"/>
      <c r="E39" s="2"/>
      <c r="F39" s="2"/>
      <c r="G39" s="2"/>
      <c r="H39" s="2"/>
      <c r="I39" s="2"/>
      <c r="J39" s="53" t="n">
        <f aca="false">IF(N($Z11)&gt;0,(N($Z11)&gt;Lists!C$22)*(N($Z11)&lt;=Lists!C$21)*SUM($J25:$V25)*$C25,IF(N($X11)&gt;0,$C25*((DATE(YEAR(Lists!C$21),MONTH(Lists!C$21),MIN($X11,DAY(EOMONTH(Lists!C$21,0))))&gt;Lists!C$23)*(DATE(YEAR(Lists!C$21),MONTH(Lists!C$21),MIN($X11,DAY(EOMONTH(Lists!C$21,0))))&lt;=Lists!C$21)*IFERROR(AVERAGEIFS($J25:$V25,Lists!$C$24:$O$24,(YEAR(Lists!C$21)*12+MONTH(Lists!C$21)-N($Y11))),AVERAGE($J25:$V25))*52/12+IF(MONTH((Lists!C$21-6))&lt;&gt;MONTH(Lists!C$21),(DATE(YEAR((Lists!C$21-6)),MONTH((Lists!C$21-6)),MIN($X11,DAY(EOMONTH((Lists!C$21-6),0))))&gt;Lists!C$23)*(DATE(YEAR((Lists!C$21-6)),MONTH((Lists!C$21-6)),MIN($X11,DAY(EOMONTH((Lists!C$21-6),0))))&lt;=Lists!C$21)*IFERROR(AVERAGEIFS($J25:$V25,Lists!$C$24:$O$24,(YEAR((Lists!C$21-6))*12+MONTH((Lists!C$21-6))-N($Y11))),AVERAGE($J25:$V25))*52/12,0)),J25*$C25*$D25+(1-$D25)*$C25*SUMPRODUCT($J25:$V25,(Lists!$C$21:$O$21+$E25&gt;Lists!C$22)*(Lists!$C$21:$O$21+$E25&lt;=Lists!C$21))))</f>
        <v>0</v>
      </c>
      <c r="K39" s="53" t="n">
        <f aca="false">IF(N($Z11)&gt;0,(N($Z11)&gt;Lists!D$22)*(N($Z11)&lt;=Lists!D$21)*SUM($J25:$V25)*$C25,IF(N($X11)&gt;0,$C25*((DATE(YEAR(Lists!D$21),MONTH(Lists!D$21),MIN($X11,DAY(EOMONTH(Lists!D$21,0))))&gt;Lists!D$23)*(DATE(YEAR(Lists!D$21),MONTH(Lists!D$21),MIN($X11,DAY(EOMONTH(Lists!D$21,0))))&lt;=Lists!D$21)*IFERROR(AVERAGEIFS($J25:$V25,Lists!$C$24:$O$24,(YEAR(Lists!D$21)*12+MONTH(Lists!D$21)-N($Y11))),AVERAGE($J25:$V25))*52/12+IF(MONTH((Lists!D$21-6))&lt;&gt;MONTH(Lists!D$21),(DATE(YEAR((Lists!D$21-6)),MONTH((Lists!D$21-6)),MIN($X11,DAY(EOMONTH((Lists!D$21-6),0))))&gt;Lists!D$23)*(DATE(YEAR((Lists!D$21-6)),MONTH((Lists!D$21-6)),MIN($X11,DAY(EOMONTH((Lists!D$21-6),0))))&lt;=Lists!D$21)*IFERROR(AVERAGEIFS($J25:$V25,Lists!$C$24:$O$24,(YEAR((Lists!D$21-6))*12+MONTH((Lists!D$21-6))-N($Y11))),AVERAGE($J25:$V25))*52/12,0)),K25*$C25*$D25+(1-$D25)*$C25*SUMPRODUCT($J25:$V25,(Lists!$C$21:$O$21+$E25&gt;Lists!D$22)*(Lists!$C$21:$O$21+$E25&lt;=Lists!D$21))))</f>
        <v>0</v>
      </c>
      <c r="L39" s="53" t="n">
        <f aca="false">IF(N($Z11)&gt;0,(N($Z11)&gt;Lists!E$22)*(N($Z11)&lt;=Lists!E$21)*SUM($J25:$V25)*$C25,IF(N($X11)&gt;0,$C25*((DATE(YEAR(Lists!E$21),MONTH(Lists!E$21),MIN($X11,DAY(EOMONTH(Lists!E$21,0))))&gt;Lists!E$23)*(DATE(YEAR(Lists!E$21),MONTH(Lists!E$21),MIN($X11,DAY(EOMONTH(Lists!E$21,0))))&lt;=Lists!E$21)*IFERROR(AVERAGEIFS($J25:$V25,Lists!$C$24:$O$24,(YEAR(Lists!E$21)*12+MONTH(Lists!E$21)-N($Y11))),AVERAGE($J25:$V25))*52/12+IF(MONTH((Lists!E$21-6))&lt;&gt;MONTH(Lists!E$21),(DATE(YEAR((Lists!E$21-6)),MONTH((Lists!E$21-6)),MIN($X11,DAY(EOMONTH((Lists!E$21-6),0))))&gt;Lists!E$23)*(DATE(YEAR((Lists!E$21-6)),MONTH((Lists!E$21-6)),MIN($X11,DAY(EOMONTH((Lists!E$21-6),0))))&lt;=Lists!E$21)*IFERROR(AVERAGEIFS($J25:$V25,Lists!$C$24:$O$24,(YEAR((Lists!E$21-6))*12+MONTH((Lists!E$21-6))-N($Y11))),AVERAGE($J25:$V25))*52/12,0)),L25*$C25*$D25+(1-$D25)*$C25*SUMPRODUCT($J25:$V25,(Lists!$C$21:$O$21+$E25&gt;Lists!E$22)*(Lists!$C$21:$O$21+$E25&lt;=Lists!E$21))))</f>
        <v>0</v>
      </c>
      <c r="M39" s="53" t="n">
        <f aca="false">IF(N($Z11)&gt;0,(N($Z11)&gt;Lists!F$22)*(N($Z11)&lt;=Lists!F$21)*SUM($J25:$V25)*$C25,IF(N($X11)&gt;0,$C25*((DATE(YEAR(Lists!F$21),MONTH(Lists!F$21),MIN($X11,DAY(EOMONTH(Lists!F$21,0))))&gt;Lists!F$23)*(DATE(YEAR(Lists!F$21),MONTH(Lists!F$21),MIN($X11,DAY(EOMONTH(Lists!F$21,0))))&lt;=Lists!F$21)*IFERROR(AVERAGEIFS($J25:$V25,Lists!$C$24:$O$24,(YEAR(Lists!F$21)*12+MONTH(Lists!F$21)-N($Y11))),AVERAGE($J25:$V25))*52/12+IF(MONTH((Lists!F$21-6))&lt;&gt;MONTH(Lists!F$21),(DATE(YEAR((Lists!F$21-6)),MONTH((Lists!F$21-6)),MIN($X11,DAY(EOMONTH((Lists!F$21-6),0))))&gt;Lists!F$23)*(DATE(YEAR((Lists!F$21-6)),MONTH((Lists!F$21-6)),MIN($X11,DAY(EOMONTH((Lists!F$21-6),0))))&lt;=Lists!F$21)*IFERROR(AVERAGEIFS($J25:$V25,Lists!$C$24:$O$24,(YEAR((Lists!F$21-6))*12+MONTH((Lists!F$21-6))-N($Y11))),AVERAGE($J25:$V25))*52/12,0)),M25*$C25*$D25+(1-$D25)*$C25*SUMPRODUCT($J25:$V25,(Lists!$C$21:$O$21+$E25&gt;Lists!F$22)*(Lists!$C$21:$O$21+$E25&lt;=Lists!F$21))))</f>
        <v>0</v>
      </c>
      <c r="N39" s="53" t="n">
        <f aca="false">IF(N($Z11)&gt;0,(N($Z11)&gt;Lists!G$22)*(N($Z11)&lt;=Lists!G$21)*SUM($J25:$V25)*$C25,IF(N($X11)&gt;0,$C25*((DATE(YEAR(Lists!G$21),MONTH(Lists!G$21),MIN($X11,DAY(EOMONTH(Lists!G$21,0))))&gt;Lists!G$23)*(DATE(YEAR(Lists!G$21),MONTH(Lists!G$21),MIN($X11,DAY(EOMONTH(Lists!G$21,0))))&lt;=Lists!G$21)*IFERROR(AVERAGEIFS($J25:$V25,Lists!$C$24:$O$24,(YEAR(Lists!G$21)*12+MONTH(Lists!G$21)-N($Y11))),AVERAGE($J25:$V25))*52/12+IF(MONTH((Lists!G$21-6))&lt;&gt;MONTH(Lists!G$21),(DATE(YEAR((Lists!G$21-6)),MONTH((Lists!G$21-6)),MIN($X11,DAY(EOMONTH((Lists!G$21-6),0))))&gt;Lists!G$23)*(DATE(YEAR((Lists!G$21-6)),MONTH((Lists!G$21-6)),MIN($X11,DAY(EOMONTH((Lists!G$21-6),0))))&lt;=Lists!G$21)*IFERROR(AVERAGEIFS($J25:$V25,Lists!$C$24:$O$24,(YEAR((Lists!G$21-6))*12+MONTH((Lists!G$21-6))-N($Y11))),AVERAGE($J25:$V25))*52/12,0)),N25*$C25*$D25+(1-$D25)*$C25*SUMPRODUCT($J25:$V25,(Lists!$C$21:$O$21+$E25&gt;Lists!G$22)*(Lists!$C$21:$O$21+$E25&lt;=Lists!G$21))))</f>
        <v>0</v>
      </c>
      <c r="O39" s="53" t="n">
        <f aca="false">IF(N($Z11)&gt;0,(N($Z11)&gt;Lists!H$22)*(N($Z11)&lt;=Lists!H$21)*SUM($J25:$V25)*$C25,IF(N($X11)&gt;0,$C25*((DATE(YEAR(Lists!H$21),MONTH(Lists!H$21),MIN($X11,DAY(EOMONTH(Lists!H$21,0))))&gt;Lists!H$23)*(DATE(YEAR(Lists!H$21),MONTH(Lists!H$21),MIN($X11,DAY(EOMONTH(Lists!H$21,0))))&lt;=Lists!H$21)*IFERROR(AVERAGEIFS($J25:$V25,Lists!$C$24:$O$24,(YEAR(Lists!H$21)*12+MONTH(Lists!H$21)-N($Y11))),AVERAGE($J25:$V25))*52/12+IF(MONTH((Lists!H$21-6))&lt;&gt;MONTH(Lists!H$21),(DATE(YEAR((Lists!H$21-6)),MONTH((Lists!H$21-6)),MIN($X11,DAY(EOMONTH((Lists!H$21-6),0))))&gt;Lists!H$23)*(DATE(YEAR((Lists!H$21-6)),MONTH((Lists!H$21-6)),MIN($X11,DAY(EOMONTH((Lists!H$21-6),0))))&lt;=Lists!H$21)*IFERROR(AVERAGEIFS($J25:$V25,Lists!$C$24:$O$24,(YEAR((Lists!H$21-6))*12+MONTH((Lists!H$21-6))-N($Y11))),AVERAGE($J25:$V25))*52/12,0)),O25*$C25*$D25+(1-$D25)*$C25*SUMPRODUCT($J25:$V25,(Lists!$C$21:$O$21+$E25&gt;Lists!H$22)*(Lists!$C$21:$O$21+$E25&lt;=Lists!H$21))))</f>
        <v>0</v>
      </c>
      <c r="P39" s="53" t="n">
        <f aca="false">IF(N($Z11)&gt;0,(N($Z11)&gt;Lists!I$22)*(N($Z11)&lt;=Lists!I$21)*SUM($J25:$V25)*$C25,IF(N($X11)&gt;0,$C25*((DATE(YEAR(Lists!I$21),MONTH(Lists!I$21),MIN($X11,DAY(EOMONTH(Lists!I$21,0))))&gt;Lists!I$23)*(DATE(YEAR(Lists!I$21),MONTH(Lists!I$21),MIN($X11,DAY(EOMONTH(Lists!I$21,0))))&lt;=Lists!I$21)*IFERROR(AVERAGEIFS($J25:$V25,Lists!$C$24:$O$24,(YEAR(Lists!I$21)*12+MONTH(Lists!I$21)-N($Y11))),AVERAGE($J25:$V25))*52/12+IF(MONTH((Lists!I$21-6))&lt;&gt;MONTH(Lists!I$21),(DATE(YEAR((Lists!I$21-6)),MONTH((Lists!I$21-6)),MIN($X11,DAY(EOMONTH((Lists!I$21-6),0))))&gt;Lists!I$23)*(DATE(YEAR((Lists!I$21-6)),MONTH((Lists!I$21-6)),MIN($X11,DAY(EOMONTH((Lists!I$21-6),0))))&lt;=Lists!I$21)*IFERROR(AVERAGEIFS($J25:$V25,Lists!$C$24:$O$24,(YEAR((Lists!I$21-6))*12+MONTH((Lists!I$21-6))-N($Y11))),AVERAGE($J25:$V25))*52/12,0)),P25*$C25*$D25+(1-$D25)*$C25*SUMPRODUCT($J25:$V25,(Lists!$C$21:$O$21+$E25&gt;Lists!I$22)*(Lists!$C$21:$O$21+$E25&lt;=Lists!I$21))))</f>
        <v>0</v>
      </c>
      <c r="Q39" s="53" t="n">
        <f aca="false">IF(N($Z11)&gt;0,(N($Z11)&gt;Lists!J$22)*(N($Z11)&lt;=Lists!J$21)*SUM($J25:$V25)*$C25,IF(N($X11)&gt;0,$C25*((DATE(YEAR(Lists!J$21),MONTH(Lists!J$21),MIN($X11,DAY(EOMONTH(Lists!J$21,0))))&gt;Lists!J$23)*(DATE(YEAR(Lists!J$21),MONTH(Lists!J$21),MIN($X11,DAY(EOMONTH(Lists!J$21,0))))&lt;=Lists!J$21)*IFERROR(AVERAGEIFS($J25:$V25,Lists!$C$24:$O$24,(YEAR(Lists!J$21)*12+MONTH(Lists!J$21)-N($Y11))),AVERAGE($J25:$V25))*52/12+IF(MONTH((Lists!J$21-6))&lt;&gt;MONTH(Lists!J$21),(DATE(YEAR((Lists!J$21-6)),MONTH((Lists!J$21-6)),MIN($X11,DAY(EOMONTH((Lists!J$21-6),0))))&gt;Lists!J$23)*(DATE(YEAR((Lists!J$21-6)),MONTH((Lists!J$21-6)),MIN($X11,DAY(EOMONTH((Lists!J$21-6),0))))&lt;=Lists!J$21)*IFERROR(AVERAGEIFS($J25:$V25,Lists!$C$24:$O$24,(YEAR((Lists!J$21-6))*12+MONTH((Lists!J$21-6))-N($Y11))),AVERAGE($J25:$V25))*52/12,0)),Q25*$C25*$D25+(1-$D25)*$C25*SUMPRODUCT($J25:$V25,(Lists!$C$21:$O$21+$E25&gt;Lists!J$22)*(Lists!$C$21:$O$21+$E25&lt;=Lists!J$21))))</f>
        <v>0</v>
      </c>
      <c r="R39" s="53" t="n">
        <f aca="false">IF(N($Z11)&gt;0,(N($Z11)&gt;Lists!K$22)*(N($Z11)&lt;=Lists!K$21)*SUM($J25:$V25)*$C25,IF(N($X11)&gt;0,$C25*((DATE(YEAR(Lists!K$21),MONTH(Lists!K$21),MIN($X11,DAY(EOMONTH(Lists!K$21,0))))&gt;Lists!K$23)*(DATE(YEAR(Lists!K$21),MONTH(Lists!K$21),MIN($X11,DAY(EOMONTH(Lists!K$21,0))))&lt;=Lists!K$21)*IFERROR(AVERAGEIFS($J25:$V25,Lists!$C$24:$O$24,(YEAR(Lists!K$21)*12+MONTH(Lists!K$21)-N($Y11))),AVERAGE($J25:$V25))*52/12+IF(MONTH((Lists!K$21-6))&lt;&gt;MONTH(Lists!K$21),(DATE(YEAR((Lists!K$21-6)),MONTH((Lists!K$21-6)),MIN($X11,DAY(EOMONTH((Lists!K$21-6),0))))&gt;Lists!K$23)*(DATE(YEAR((Lists!K$21-6)),MONTH((Lists!K$21-6)),MIN($X11,DAY(EOMONTH((Lists!K$21-6),0))))&lt;=Lists!K$21)*IFERROR(AVERAGEIFS($J25:$V25,Lists!$C$24:$O$24,(YEAR((Lists!K$21-6))*12+MONTH((Lists!K$21-6))-N($Y11))),AVERAGE($J25:$V25))*52/12,0)),R25*$C25*$D25+(1-$D25)*$C25*SUMPRODUCT($J25:$V25,(Lists!$C$21:$O$21+$E25&gt;Lists!K$22)*(Lists!$C$21:$O$21+$E25&lt;=Lists!K$21))))</f>
        <v>0</v>
      </c>
      <c r="S39" s="53" t="n">
        <f aca="false">IF(N($Z11)&gt;0,(N($Z11)&gt;Lists!L$22)*(N($Z11)&lt;=Lists!L$21)*SUM($J25:$V25)*$C25,IF(N($X11)&gt;0,$C25*((DATE(YEAR(Lists!L$21),MONTH(Lists!L$21),MIN($X11,DAY(EOMONTH(Lists!L$21,0))))&gt;Lists!L$23)*(DATE(YEAR(Lists!L$21),MONTH(Lists!L$21),MIN($X11,DAY(EOMONTH(Lists!L$21,0))))&lt;=Lists!L$21)*IFERROR(AVERAGEIFS($J25:$V25,Lists!$C$24:$O$24,(YEAR(Lists!L$21)*12+MONTH(Lists!L$21)-N($Y11))),AVERAGE($J25:$V25))*52/12+IF(MONTH((Lists!L$21-6))&lt;&gt;MONTH(Lists!L$21),(DATE(YEAR((Lists!L$21-6)),MONTH((Lists!L$21-6)),MIN($X11,DAY(EOMONTH((Lists!L$21-6),0))))&gt;Lists!L$23)*(DATE(YEAR((Lists!L$21-6)),MONTH((Lists!L$21-6)),MIN($X11,DAY(EOMONTH((Lists!L$21-6),0))))&lt;=Lists!L$21)*IFERROR(AVERAGEIFS($J25:$V25,Lists!$C$24:$O$24,(YEAR((Lists!L$21-6))*12+MONTH((Lists!L$21-6))-N($Y11))),AVERAGE($J25:$V25))*52/12,0)),S25*$C25*$D25+(1-$D25)*$C25*SUMPRODUCT($J25:$V25,(Lists!$C$21:$O$21+$E25&gt;Lists!L$22)*(Lists!$C$21:$O$21+$E25&lt;=Lists!L$21))))</f>
        <v>0</v>
      </c>
      <c r="T39" s="53" t="n">
        <f aca="false">IF(N($Z11)&gt;0,(N($Z11)&gt;Lists!M$22)*(N($Z11)&lt;=Lists!M$21)*SUM($J25:$V25)*$C25,IF(N($X11)&gt;0,$C25*((DATE(YEAR(Lists!M$21),MONTH(Lists!M$21),MIN($X11,DAY(EOMONTH(Lists!M$21,0))))&gt;Lists!M$23)*(DATE(YEAR(Lists!M$21),MONTH(Lists!M$21),MIN($X11,DAY(EOMONTH(Lists!M$21,0))))&lt;=Lists!M$21)*IFERROR(AVERAGEIFS($J25:$V25,Lists!$C$24:$O$24,(YEAR(Lists!M$21)*12+MONTH(Lists!M$21)-N($Y11))),AVERAGE($J25:$V25))*52/12+IF(MONTH((Lists!M$21-6))&lt;&gt;MONTH(Lists!M$21),(DATE(YEAR((Lists!M$21-6)),MONTH((Lists!M$21-6)),MIN($X11,DAY(EOMONTH((Lists!M$21-6),0))))&gt;Lists!M$23)*(DATE(YEAR((Lists!M$21-6)),MONTH((Lists!M$21-6)),MIN($X11,DAY(EOMONTH((Lists!M$21-6),0))))&lt;=Lists!M$21)*IFERROR(AVERAGEIFS($J25:$V25,Lists!$C$24:$O$24,(YEAR((Lists!M$21-6))*12+MONTH((Lists!M$21-6))-N($Y11))),AVERAGE($J25:$V25))*52/12,0)),T25*$C25*$D25+(1-$D25)*$C25*SUMPRODUCT($J25:$V25,(Lists!$C$21:$O$21+$E25&gt;Lists!M$22)*(Lists!$C$21:$O$21+$E25&lt;=Lists!M$21))))</f>
        <v>0</v>
      </c>
      <c r="U39" s="53" t="n">
        <f aca="false">IF(N($Z11)&gt;0,(N($Z11)&gt;Lists!N$22)*(N($Z11)&lt;=Lists!N$21)*SUM($J25:$V25)*$C25,IF(N($X11)&gt;0,$C25*((DATE(YEAR(Lists!N$21),MONTH(Lists!N$21),MIN($X11,DAY(EOMONTH(Lists!N$21,0))))&gt;Lists!N$23)*(DATE(YEAR(Lists!N$21),MONTH(Lists!N$21),MIN($X11,DAY(EOMONTH(Lists!N$21,0))))&lt;=Lists!N$21)*IFERROR(AVERAGEIFS($J25:$V25,Lists!$C$24:$O$24,(YEAR(Lists!N$21)*12+MONTH(Lists!N$21)-N($Y11))),AVERAGE($J25:$V25))*52/12+IF(MONTH((Lists!N$21-6))&lt;&gt;MONTH(Lists!N$21),(DATE(YEAR((Lists!N$21-6)),MONTH((Lists!N$21-6)),MIN($X11,DAY(EOMONTH((Lists!N$21-6),0))))&gt;Lists!N$23)*(DATE(YEAR((Lists!N$21-6)),MONTH((Lists!N$21-6)),MIN($X11,DAY(EOMONTH((Lists!N$21-6),0))))&lt;=Lists!N$21)*IFERROR(AVERAGEIFS($J25:$V25,Lists!$C$24:$O$24,(YEAR((Lists!N$21-6))*12+MONTH((Lists!N$21-6))-N($Y11))),AVERAGE($J25:$V25))*52/12,0)),U25*$C25*$D25+(1-$D25)*$C25*SUMPRODUCT($J25:$V25,(Lists!$C$21:$O$21+$E25&gt;Lists!N$22)*(Lists!$C$21:$O$21+$E25&lt;=Lists!N$21))))</f>
        <v>0</v>
      </c>
      <c r="V39" s="53" t="n">
        <f aca="false">IF(N($Z11)&gt;0,(N($Z11)&gt;Lists!O$22)*(N($Z11)&lt;=Lists!O$21)*SUM($J25:$V25)*$C25,IF(N($X11)&gt;0,$C25*((DATE(YEAR(Lists!O$21),MONTH(Lists!O$21),MIN($X11,DAY(EOMONTH(Lists!O$21,0))))&gt;Lists!O$23)*(DATE(YEAR(Lists!O$21),MONTH(Lists!O$21),MIN($X11,DAY(EOMONTH(Lists!O$21,0))))&lt;=Lists!O$21)*IFERROR(AVERAGEIFS($J25:$V25,Lists!$C$24:$O$24,(YEAR(Lists!O$21)*12+MONTH(Lists!O$21)-N($Y11))),AVERAGE($J25:$V25))*52/12+IF(MONTH((Lists!O$21-6))&lt;&gt;MONTH(Lists!O$21),(DATE(YEAR((Lists!O$21-6)),MONTH((Lists!O$21-6)),MIN($X11,DAY(EOMONTH((Lists!O$21-6),0))))&gt;Lists!O$23)*(DATE(YEAR((Lists!O$21-6)),MONTH((Lists!O$21-6)),MIN($X11,DAY(EOMONTH((Lists!O$21-6),0))))&lt;=Lists!O$21)*IFERROR(AVERAGEIFS($J25:$V25,Lists!$C$24:$O$24,(YEAR((Lists!O$21-6))*12+MONTH((Lists!O$21-6))-N($Y11))),AVERAGE($J25:$V25))*52/12,0)),V25*$C25*$D25+(1-$D25)*$C25*SUMPRODUCT($J25:$V25,(Lists!$C$21:$O$21+$E25&gt;Lists!O$22)*(Lists!$C$21:$O$21+$E25&lt;=Lists!O$21))))</f>
        <v>0</v>
      </c>
      <c r="W39" s="46" t="n">
        <f aca="false">SUM(J39:V39)</f>
        <v>0</v>
      </c>
      <c r="X39" s="92" t="n">
        <f aca="false">W25*C25-W39</f>
        <v>0</v>
      </c>
      <c r="Y39" s="2"/>
      <c r="Z39" s="2"/>
    </row>
    <row r="40" customFormat="false" ht="15" hidden="false" customHeight="false" outlineLevel="0" collapsed="false">
      <c r="A40" s="2"/>
      <c r="B40" s="9" t="str">
        <f aca="false">B26</f>
        <v/>
      </c>
      <c r="C40" s="2"/>
      <c r="D40" s="2"/>
      <c r="E40" s="2"/>
      <c r="F40" s="2"/>
      <c r="G40" s="2"/>
      <c r="H40" s="2"/>
      <c r="I40" s="2"/>
      <c r="J40" s="53" t="n">
        <f aca="false">IF(N($Z12)&gt;0,(N($Z12)&gt;Lists!C$22)*(N($Z12)&lt;=Lists!C$21)*SUM($J26:$V26)*$C26,IF(N($X12)&gt;0,$C26*((DATE(YEAR(Lists!C$21),MONTH(Lists!C$21),MIN($X12,DAY(EOMONTH(Lists!C$21,0))))&gt;Lists!C$23)*(DATE(YEAR(Lists!C$21),MONTH(Lists!C$21),MIN($X12,DAY(EOMONTH(Lists!C$21,0))))&lt;=Lists!C$21)*IFERROR(AVERAGEIFS($J26:$V26,Lists!$C$24:$O$24,(YEAR(Lists!C$21)*12+MONTH(Lists!C$21)-N($Y12))),AVERAGE($J26:$V26))*52/12+IF(MONTH((Lists!C$21-6))&lt;&gt;MONTH(Lists!C$21),(DATE(YEAR((Lists!C$21-6)),MONTH((Lists!C$21-6)),MIN($X12,DAY(EOMONTH((Lists!C$21-6),0))))&gt;Lists!C$23)*(DATE(YEAR((Lists!C$21-6)),MONTH((Lists!C$21-6)),MIN($X12,DAY(EOMONTH((Lists!C$21-6),0))))&lt;=Lists!C$21)*IFERROR(AVERAGEIFS($J26:$V26,Lists!$C$24:$O$24,(YEAR((Lists!C$21-6))*12+MONTH((Lists!C$21-6))-N($Y12))),AVERAGE($J26:$V26))*52/12,0)),J26*$C26*$D26+(1-$D26)*$C26*SUMPRODUCT($J26:$V26,(Lists!$C$21:$O$21+$E26&gt;Lists!C$22)*(Lists!$C$21:$O$21+$E26&lt;=Lists!C$21))))</f>
        <v>0</v>
      </c>
      <c r="K40" s="53" t="n">
        <f aca="false">IF(N($Z12)&gt;0,(N($Z12)&gt;Lists!D$22)*(N($Z12)&lt;=Lists!D$21)*SUM($J26:$V26)*$C26,IF(N($X12)&gt;0,$C26*((DATE(YEAR(Lists!D$21),MONTH(Lists!D$21),MIN($X12,DAY(EOMONTH(Lists!D$21,0))))&gt;Lists!D$23)*(DATE(YEAR(Lists!D$21),MONTH(Lists!D$21),MIN($X12,DAY(EOMONTH(Lists!D$21,0))))&lt;=Lists!D$21)*IFERROR(AVERAGEIFS($J26:$V26,Lists!$C$24:$O$24,(YEAR(Lists!D$21)*12+MONTH(Lists!D$21)-N($Y12))),AVERAGE($J26:$V26))*52/12+IF(MONTH((Lists!D$21-6))&lt;&gt;MONTH(Lists!D$21),(DATE(YEAR((Lists!D$21-6)),MONTH((Lists!D$21-6)),MIN($X12,DAY(EOMONTH((Lists!D$21-6),0))))&gt;Lists!D$23)*(DATE(YEAR((Lists!D$21-6)),MONTH((Lists!D$21-6)),MIN($X12,DAY(EOMONTH((Lists!D$21-6),0))))&lt;=Lists!D$21)*IFERROR(AVERAGEIFS($J26:$V26,Lists!$C$24:$O$24,(YEAR((Lists!D$21-6))*12+MONTH((Lists!D$21-6))-N($Y12))),AVERAGE($J26:$V26))*52/12,0)),K26*$C26*$D26+(1-$D26)*$C26*SUMPRODUCT($J26:$V26,(Lists!$C$21:$O$21+$E26&gt;Lists!D$22)*(Lists!$C$21:$O$21+$E26&lt;=Lists!D$21))))</f>
        <v>0</v>
      </c>
      <c r="L40" s="53" t="n">
        <f aca="false">IF(N($Z12)&gt;0,(N($Z12)&gt;Lists!E$22)*(N($Z12)&lt;=Lists!E$21)*SUM($J26:$V26)*$C26,IF(N($X12)&gt;0,$C26*((DATE(YEAR(Lists!E$21),MONTH(Lists!E$21),MIN($X12,DAY(EOMONTH(Lists!E$21,0))))&gt;Lists!E$23)*(DATE(YEAR(Lists!E$21),MONTH(Lists!E$21),MIN($X12,DAY(EOMONTH(Lists!E$21,0))))&lt;=Lists!E$21)*IFERROR(AVERAGEIFS($J26:$V26,Lists!$C$24:$O$24,(YEAR(Lists!E$21)*12+MONTH(Lists!E$21)-N($Y12))),AVERAGE($J26:$V26))*52/12+IF(MONTH((Lists!E$21-6))&lt;&gt;MONTH(Lists!E$21),(DATE(YEAR((Lists!E$21-6)),MONTH((Lists!E$21-6)),MIN($X12,DAY(EOMONTH((Lists!E$21-6),0))))&gt;Lists!E$23)*(DATE(YEAR((Lists!E$21-6)),MONTH((Lists!E$21-6)),MIN($X12,DAY(EOMONTH((Lists!E$21-6),0))))&lt;=Lists!E$21)*IFERROR(AVERAGEIFS($J26:$V26,Lists!$C$24:$O$24,(YEAR((Lists!E$21-6))*12+MONTH((Lists!E$21-6))-N($Y12))),AVERAGE($J26:$V26))*52/12,0)),L26*$C26*$D26+(1-$D26)*$C26*SUMPRODUCT($J26:$V26,(Lists!$C$21:$O$21+$E26&gt;Lists!E$22)*(Lists!$C$21:$O$21+$E26&lt;=Lists!E$21))))</f>
        <v>0</v>
      </c>
      <c r="M40" s="53" t="n">
        <f aca="false">IF(N($Z12)&gt;0,(N($Z12)&gt;Lists!F$22)*(N($Z12)&lt;=Lists!F$21)*SUM($J26:$V26)*$C26,IF(N($X12)&gt;0,$C26*((DATE(YEAR(Lists!F$21),MONTH(Lists!F$21),MIN($X12,DAY(EOMONTH(Lists!F$21,0))))&gt;Lists!F$23)*(DATE(YEAR(Lists!F$21),MONTH(Lists!F$21),MIN($X12,DAY(EOMONTH(Lists!F$21,0))))&lt;=Lists!F$21)*IFERROR(AVERAGEIFS($J26:$V26,Lists!$C$24:$O$24,(YEAR(Lists!F$21)*12+MONTH(Lists!F$21)-N($Y12))),AVERAGE($J26:$V26))*52/12+IF(MONTH((Lists!F$21-6))&lt;&gt;MONTH(Lists!F$21),(DATE(YEAR((Lists!F$21-6)),MONTH((Lists!F$21-6)),MIN($X12,DAY(EOMONTH((Lists!F$21-6),0))))&gt;Lists!F$23)*(DATE(YEAR((Lists!F$21-6)),MONTH((Lists!F$21-6)),MIN($X12,DAY(EOMONTH((Lists!F$21-6),0))))&lt;=Lists!F$21)*IFERROR(AVERAGEIFS($J26:$V26,Lists!$C$24:$O$24,(YEAR((Lists!F$21-6))*12+MONTH((Lists!F$21-6))-N($Y12))),AVERAGE($J26:$V26))*52/12,0)),M26*$C26*$D26+(1-$D26)*$C26*SUMPRODUCT($J26:$V26,(Lists!$C$21:$O$21+$E26&gt;Lists!F$22)*(Lists!$C$21:$O$21+$E26&lt;=Lists!F$21))))</f>
        <v>0</v>
      </c>
      <c r="N40" s="53" t="n">
        <f aca="false">IF(N($Z12)&gt;0,(N($Z12)&gt;Lists!G$22)*(N($Z12)&lt;=Lists!G$21)*SUM($J26:$V26)*$C26,IF(N($X12)&gt;0,$C26*((DATE(YEAR(Lists!G$21),MONTH(Lists!G$21),MIN($X12,DAY(EOMONTH(Lists!G$21,0))))&gt;Lists!G$23)*(DATE(YEAR(Lists!G$21),MONTH(Lists!G$21),MIN($X12,DAY(EOMONTH(Lists!G$21,0))))&lt;=Lists!G$21)*IFERROR(AVERAGEIFS($J26:$V26,Lists!$C$24:$O$24,(YEAR(Lists!G$21)*12+MONTH(Lists!G$21)-N($Y12))),AVERAGE($J26:$V26))*52/12+IF(MONTH((Lists!G$21-6))&lt;&gt;MONTH(Lists!G$21),(DATE(YEAR((Lists!G$21-6)),MONTH((Lists!G$21-6)),MIN($X12,DAY(EOMONTH((Lists!G$21-6),0))))&gt;Lists!G$23)*(DATE(YEAR((Lists!G$21-6)),MONTH((Lists!G$21-6)),MIN($X12,DAY(EOMONTH((Lists!G$21-6),0))))&lt;=Lists!G$21)*IFERROR(AVERAGEIFS($J26:$V26,Lists!$C$24:$O$24,(YEAR((Lists!G$21-6))*12+MONTH((Lists!G$21-6))-N($Y12))),AVERAGE($J26:$V26))*52/12,0)),N26*$C26*$D26+(1-$D26)*$C26*SUMPRODUCT($J26:$V26,(Lists!$C$21:$O$21+$E26&gt;Lists!G$22)*(Lists!$C$21:$O$21+$E26&lt;=Lists!G$21))))</f>
        <v>0</v>
      </c>
      <c r="O40" s="53" t="n">
        <f aca="false">IF(N($Z12)&gt;0,(N($Z12)&gt;Lists!H$22)*(N($Z12)&lt;=Lists!H$21)*SUM($J26:$V26)*$C26,IF(N($X12)&gt;0,$C26*((DATE(YEAR(Lists!H$21),MONTH(Lists!H$21),MIN($X12,DAY(EOMONTH(Lists!H$21,0))))&gt;Lists!H$23)*(DATE(YEAR(Lists!H$21),MONTH(Lists!H$21),MIN($X12,DAY(EOMONTH(Lists!H$21,0))))&lt;=Lists!H$21)*IFERROR(AVERAGEIFS($J26:$V26,Lists!$C$24:$O$24,(YEAR(Lists!H$21)*12+MONTH(Lists!H$21)-N($Y12))),AVERAGE($J26:$V26))*52/12+IF(MONTH((Lists!H$21-6))&lt;&gt;MONTH(Lists!H$21),(DATE(YEAR((Lists!H$21-6)),MONTH((Lists!H$21-6)),MIN($X12,DAY(EOMONTH((Lists!H$21-6),0))))&gt;Lists!H$23)*(DATE(YEAR((Lists!H$21-6)),MONTH((Lists!H$21-6)),MIN($X12,DAY(EOMONTH((Lists!H$21-6),0))))&lt;=Lists!H$21)*IFERROR(AVERAGEIFS($J26:$V26,Lists!$C$24:$O$24,(YEAR((Lists!H$21-6))*12+MONTH((Lists!H$21-6))-N($Y12))),AVERAGE($J26:$V26))*52/12,0)),O26*$C26*$D26+(1-$D26)*$C26*SUMPRODUCT($J26:$V26,(Lists!$C$21:$O$21+$E26&gt;Lists!H$22)*(Lists!$C$21:$O$21+$E26&lt;=Lists!H$21))))</f>
        <v>0</v>
      </c>
      <c r="P40" s="53" t="n">
        <f aca="false">IF(N($Z12)&gt;0,(N($Z12)&gt;Lists!I$22)*(N($Z12)&lt;=Lists!I$21)*SUM($J26:$V26)*$C26,IF(N($X12)&gt;0,$C26*((DATE(YEAR(Lists!I$21),MONTH(Lists!I$21),MIN($X12,DAY(EOMONTH(Lists!I$21,0))))&gt;Lists!I$23)*(DATE(YEAR(Lists!I$21),MONTH(Lists!I$21),MIN($X12,DAY(EOMONTH(Lists!I$21,0))))&lt;=Lists!I$21)*IFERROR(AVERAGEIFS($J26:$V26,Lists!$C$24:$O$24,(YEAR(Lists!I$21)*12+MONTH(Lists!I$21)-N($Y12))),AVERAGE($J26:$V26))*52/12+IF(MONTH((Lists!I$21-6))&lt;&gt;MONTH(Lists!I$21),(DATE(YEAR((Lists!I$21-6)),MONTH((Lists!I$21-6)),MIN($X12,DAY(EOMONTH((Lists!I$21-6),0))))&gt;Lists!I$23)*(DATE(YEAR((Lists!I$21-6)),MONTH((Lists!I$21-6)),MIN($X12,DAY(EOMONTH((Lists!I$21-6),0))))&lt;=Lists!I$21)*IFERROR(AVERAGEIFS($J26:$V26,Lists!$C$24:$O$24,(YEAR((Lists!I$21-6))*12+MONTH((Lists!I$21-6))-N($Y12))),AVERAGE($J26:$V26))*52/12,0)),P26*$C26*$D26+(1-$D26)*$C26*SUMPRODUCT($J26:$V26,(Lists!$C$21:$O$21+$E26&gt;Lists!I$22)*(Lists!$C$21:$O$21+$E26&lt;=Lists!I$21))))</f>
        <v>0</v>
      </c>
      <c r="Q40" s="53" t="n">
        <f aca="false">IF(N($Z12)&gt;0,(N($Z12)&gt;Lists!J$22)*(N($Z12)&lt;=Lists!J$21)*SUM($J26:$V26)*$C26,IF(N($X12)&gt;0,$C26*((DATE(YEAR(Lists!J$21),MONTH(Lists!J$21),MIN($X12,DAY(EOMONTH(Lists!J$21,0))))&gt;Lists!J$23)*(DATE(YEAR(Lists!J$21),MONTH(Lists!J$21),MIN($X12,DAY(EOMONTH(Lists!J$21,0))))&lt;=Lists!J$21)*IFERROR(AVERAGEIFS($J26:$V26,Lists!$C$24:$O$24,(YEAR(Lists!J$21)*12+MONTH(Lists!J$21)-N($Y12))),AVERAGE($J26:$V26))*52/12+IF(MONTH((Lists!J$21-6))&lt;&gt;MONTH(Lists!J$21),(DATE(YEAR((Lists!J$21-6)),MONTH((Lists!J$21-6)),MIN($X12,DAY(EOMONTH((Lists!J$21-6),0))))&gt;Lists!J$23)*(DATE(YEAR((Lists!J$21-6)),MONTH((Lists!J$21-6)),MIN($X12,DAY(EOMONTH((Lists!J$21-6),0))))&lt;=Lists!J$21)*IFERROR(AVERAGEIFS($J26:$V26,Lists!$C$24:$O$24,(YEAR((Lists!J$21-6))*12+MONTH((Lists!J$21-6))-N($Y12))),AVERAGE($J26:$V26))*52/12,0)),Q26*$C26*$D26+(1-$D26)*$C26*SUMPRODUCT($J26:$V26,(Lists!$C$21:$O$21+$E26&gt;Lists!J$22)*(Lists!$C$21:$O$21+$E26&lt;=Lists!J$21))))</f>
        <v>0</v>
      </c>
      <c r="R40" s="53" t="n">
        <f aca="false">IF(N($Z12)&gt;0,(N($Z12)&gt;Lists!K$22)*(N($Z12)&lt;=Lists!K$21)*SUM($J26:$V26)*$C26,IF(N($X12)&gt;0,$C26*((DATE(YEAR(Lists!K$21),MONTH(Lists!K$21),MIN($X12,DAY(EOMONTH(Lists!K$21,0))))&gt;Lists!K$23)*(DATE(YEAR(Lists!K$21),MONTH(Lists!K$21),MIN($X12,DAY(EOMONTH(Lists!K$21,0))))&lt;=Lists!K$21)*IFERROR(AVERAGEIFS($J26:$V26,Lists!$C$24:$O$24,(YEAR(Lists!K$21)*12+MONTH(Lists!K$21)-N($Y12))),AVERAGE($J26:$V26))*52/12+IF(MONTH((Lists!K$21-6))&lt;&gt;MONTH(Lists!K$21),(DATE(YEAR((Lists!K$21-6)),MONTH((Lists!K$21-6)),MIN($X12,DAY(EOMONTH((Lists!K$21-6),0))))&gt;Lists!K$23)*(DATE(YEAR((Lists!K$21-6)),MONTH((Lists!K$21-6)),MIN($X12,DAY(EOMONTH((Lists!K$21-6),0))))&lt;=Lists!K$21)*IFERROR(AVERAGEIFS($J26:$V26,Lists!$C$24:$O$24,(YEAR((Lists!K$21-6))*12+MONTH((Lists!K$21-6))-N($Y12))),AVERAGE($J26:$V26))*52/12,0)),R26*$C26*$D26+(1-$D26)*$C26*SUMPRODUCT($J26:$V26,(Lists!$C$21:$O$21+$E26&gt;Lists!K$22)*(Lists!$C$21:$O$21+$E26&lt;=Lists!K$21))))</f>
        <v>0</v>
      </c>
      <c r="S40" s="53" t="n">
        <f aca="false">IF(N($Z12)&gt;0,(N($Z12)&gt;Lists!L$22)*(N($Z12)&lt;=Lists!L$21)*SUM($J26:$V26)*$C26,IF(N($X12)&gt;0,$C26*((DATE(YEAR(Lists!L$21),MONTH(Lists!L$21),MIN($X12,DAY(EOMONTH(Lists!L$21,0))))&gt;Lists!L$23)*(DATE(YEAR(Lists!L$21),MONTH(Lists!L$21),MIN($X12,DAY(EOMONTH(Lists!L$21,0))))&lt;=Lists!L$21)*IFERROR(AVERAGEIFS($J26:$V26,Lists!$C$24:$O$24,(YEAR(Lists!L$21)*12+MONTH(Lists!L$21)-N($Y12))),AVERAGE($J26:$V26))*52/12+IF(MONTH((Lists!L$21-6))&lt;&gt;MONTH(Lists!L$21),(DATE(YEAR((Lists!L$21-6)),MONTH((Lists!L$21-6)),MIN($X12,DAY(EOMONTH((Lists!L$21-6),0))))&gt;Lists!L$23)*(DATE(YEAR((Lists!L$21-6)),MONTH((Lists!L$21-6)),MIN($X12,DAY(EOMONTH((Lists!L$21-6),0))))&lt;=Lists!L$21)*IFERROR(AVERAGEIFS($J26:$V26,Lists!$C$24:$O$24,(YEAR((Lists!L$21-6))*12+MONTH((Lists!L$21-6))-N($Y12))),AVERAGE($J26:$V26))*52/12,0)),S26*$C26*$D26+(1-$D26)*$C26*SUMPRODUCT($J26:$V26,(Lists!$C$21:$O$21+$E26&gt;Lists!L$22)*(Lists!$C$21:$O$21+$E26&lt;=Lists!L$21))))</f>
        <v>0</v>
      </c>
      <c r="T40" s="53" t="n">
        <f aca="false">IF(N($Z12)&gt;0,(N($Z12)&gt;Lists!M$22)*(N($Z12)&lt;=Lists!M$21)*SUM($J26:$V26)*$C26,IF(N($X12)&gt;0,$C26*((DATE(YEAR(Lists!M$21),MONTH(Lists!M$21),MIN($X12,DAY(EOMONTH(Lists!M$21,0))))&gt;Lists!M$23)*(DATE(YEAR(Lists!M$21),MONTH(Lists!M$21),MIN($X12,DAY(EOMONTH(Lists!M$21,0))))&lt;=Lists!M$21)*IFERROR(AVERAGEIFS($J26:$V26,Lists!$C$24:$O$24,(YEAR(Lists!M$21)*12+MONTH(Lists!M$21)-N($Y12))),AVERAGE($J26:$V26))*52/12+IF(MONTH((Lists!M$21-6))&lt;&gt;MONTH(Lists!M$21),(DATE(YEAR((Lists!M$21-6)),MONTH((Lists!M$21-6)),MIN($X12,DAY(EOMONTH((Lists!M$21-6),0))))&gt;Lists!M$23)*(DATE(YEAR((Lists!M$21-6)),MONTH((Lists!M$21-6)),MIN($X12,DAY(EOMONTH((Lists!M$21-6),0))))&lt;=Lists!M$21)*IFERROR(AVERAGEIFS($J26:$V26,Lists!$C$24:$O$24,(YEAR((Lists!M$21-6))*12+MONTH((Lists!M$21-6))-N($Y12))),AVERAGE($J26:$V26))*52/12,0)),T26*$C26*$D26+(1-$D26)*$C26*SUMPRODUCT($J26:$V26,(Lists!$C$21:$O$21+$E26&gt;Lists!M$22)*(Lists!$C$21:$O$21+$E26&lt;=Lists!M$21))))</f>
        <v>0</v>
      </c>
      <c r="U40" s="53" t="n">
        <f aca="false">IF(N($Z12)&gt;0,(N($Z12)&gt;Lists!N$22)*(N($Z12)&lt;=Lists!N$21)*SUM($J26:$V26)*$C26,IF(N($X12)&gt;0,$C26*((DATE(YEAR(Lists!N$21),MONTH(Lists!N$21),MIN($X12,DAY(EOMONTH(Lists!N$21,0))))&gt;Lists!N$23)*(DATE(YEAR(Lists!N$21),MONTH(Lists!N$21),MIN($X12,DAY(EOMONTH(Lists!N$21,0))))&lt;=Lists!N$21)*IFERROR(AVERAGEIFS($J26:$V26,Lists!$C$24:$O$24,(YEAR(Lists!N$21)*12+MONTH(Lists!N$21)-N($Y12))),AVERAGE($J26:$V26))*52/12+IF(MONTH((Lists!N$21-6))&lt;&gt;MONTH(Lists!N$21),(DATE(YEAR((Lists!N$21-6)),MONTH((Lists!N$21-6)),MIN($X12,DAY(EOMONTH((Lists!N$21-6),0))))&gt;Lists!N$23)*(DATE(YEAR((Lists!N$21-6)),MONTH((Lists!N$21-6)),MIN($X12,DAY(EOMONTH((Lists!N$21-6),0))))&lt;=Lists!N$21)*IFERROR(AVERAGEIFS($J26:$V26,Lists!$C$24:$O$24,(YEAR((Lists!N$21-6))*12+MONTH((Lists!N$21-6))-N($Y12))),AVERAGE($J26:$V26))*52/12,0)),U26*$C26*$D26+(1-$D26)*$C26*SUMPRODUCT($J26:$V26,(Lists!$C$21:$O$21+$E26&gt;Lists!N$22)*(Lists!$C$21:$O$21+$E26&lt;=Lists!N$21))))</f>
        <v>0</v>
      </c>
      <c r="V40" s="53" t="n">
        <f aca="false">IF(N($Z12)&gt;0,(N($Z12)&gt;Lists!O$22)*(N($Z12)&lt;=Lists!O$21)*SUM($J26:$V26)*$C26,IF(N($X12)&gt;0,$C26*((DATE(YEAR(Lists!O$21),MONTH(Lists!O$21),MIN($X12,DAY(EOMONTH(Lists!O$21,0))))&gt;Lists!O$23)*(DATE(YEAR(Lists!O$21),MONTH(Lists!O$21),MIN($X12,DAY(EOMONTH(Lists!O$21,0))))&lt;=Lists!O$21)*IFERROR(AVERAGEIFS($J26:$V26,Lists!$C$24:$O$24,(YEAR(Lists!O$21)*12+MONTH(Lists!O$21)-N($Y12))),AVERAGE($J26:$V26))*52/12+IF(MONTH((Lists!O$21-6))&lt;&gt;MONTH(Lists!O$21),(DATE(YEAR((Lists!O$21-6)),MONTH((Lists!O$21-6)),MIN($X12,DAY(EOMONTH((Lists!O$21-6),0))))&gt;Lists!O$23)*(DATE(YEAR((Lists!O$21-6)),MONTH((Lists!O$21-6)),MIN($X12,DAY(EOMONTH((Lists!O$21-6),0))))&lt;=Lists!O$21)*IFERROR(AVERAGEIFS($J26:$V26,Lists!$C$24:$O$24,(YEAR((Lists!O$21-6))*12+MONTH((Lists!O$21-6))-N($Y12))),AVERAGE($J26:$V26))*52/12,0)),V26*$C26*$D26+(1-$D26)*$C26*SUMPRODUCT($J26:$V26,(Lists!$C$21:$O$21+$E26&gt;Lists!O$22)*(Lists!$C$21:$O$21+$E26&lt;=Lists!O$21))))</f>
        <v>0</v>
      </c>
      <c r="W40" s="46" t="n">
        <f aca="false">SUM(J40:V40)</f>
        <v>0</v>
      </c>
      <c r="X40" s="92" t="n">
        <f aca="false">W26*C26-W40</f>
        <v>0</v>
      </c>
      <c r="Y40" s="2"/>
      <c r="Z40" s="2"/>
    </row>
    <row r="41" customFormat="false" ht="15" hidden="false" customHeight="false" outlineLevel="0" collapsed="false">
      <c r="A41" s="2"/>
      <c r="B41" s="9" t="str">
        <f aca="false">B27</f>
        <v/>
      </c>
      <c r="C41" s="2"/>
      <c r="D41" s="2"/>
      <c r="E41" s="2"/>
      <c r="F41" s="2"/>
      <c r="G41" s="2"/>
      <c r="H41" s="2"/>
      <c r="I41" s="2"/>
      <c r="J41" s="53" t="n">
        <f aca="false">IF(N($Z13)&gt;0,(N($Z13)&gt;Lists!C$22)*(N($Z13)&lt;=Lists!C$21)*SUM($J27:$V27)*$C27,IF(N($X13)&gt;0,$C27*((DATE(YEAR(Lists!C$21),MONTH(Lists!C$21),MIN($X13,DAY(EOMONTH(Lists!C$21,0))))&gt;Lists!C$23)*(DATE(YEAR(Lists!C$21),MONTH(Lists!C$21),MIN($X13,DAY(EOMONTH(Lists!C$21,0))))&lt;=Lists!C$21)*IFERROR(AVERAGEIFS($J27:$V27,Lists!$C$24:$O$24,(YEAR(Lists!C$21)*12+MONTH(Lists!C$21)-N($Y13))),AVERAGE($J27:$V27))*52/12+IF(MONTH((Lists!C$21-6))&lt;&gt;MONTH(Lists!C$21),(DATE(YEAR((Lists!C$21-6)),MONTH((Lists!C$21-6)),MIN($X13,DAY(EOMONTH((Lists!C$21-6),0))))&gt;Lists!C$23)*(DATE(YEAR((Lists!C$21-6)),MONTH((Lists!C$21-6)),MIN($X13,DAY(EOMONTH((Lists!C$21-6),0))))&lt;=Lists!C$21)*IFERROR(AVERAGEIFS($J27:$V27,Lists!$C$24:$O$24,(YEAR((Lists!C$21-6))*12+MONTH((Lists!C$21-6))-N($Y13))),AVERAGE($J27:$V27))*52/12,0)),J27*$C27*$D27+(1-$D27)*$C27*SUMPRODUCT($J27:$V27,(Lists!$C$21:$O$21+$E27&gt;Lists!C$22)*(Lists!$C$21:$O$21+$E27&lt;=Lists!C$21))))</f>
        <v>0</v>
      </c>
      <c r="K41" s="53" t="n">
        <f aca="false">IF(N($Z13)&gt;0,(N($Z13)&gt;Lists!D$22)*(N($Z13)&lt;=Lists!D$21)*SUM($J27:$V27)*$C27,IF(N($X13)&gt;0,$C27*((DATE(YEAR(Lists!D$21),MONTH(Lists!D$21),MIN($X13,DAY(EOMONTH(Lists!D$21,0))))&gt;Lists!D$23)*(DATE(YEAR(Lists!D$21),MONTH(Lists!D$21),MIN($X13,DAY(EOMONTH(Lists!D$21,0))))&lt;=Lists!D$21)*IFERROR(AVERAGEIFS($J27:$V27,Lists!$C$24:$O$24,(YEAR(Lists!D$21)*12+MONTH(Lists!D$21)-N($Y13))),AVERAGE($J27:$V27))*52/12+IF(MONTH((Lists!D$21-6))&lt;&gt;MONTH(Lists!D$21),(DATE(YEAR((Lists!D$21-6)),MONTH((Lists!D$21-6)),MIN($X13,DAY(EOMONTH((Lists!D$21-6),0))))&gt;Lists!D$23)*(DATE(YEAR((Lists!D$21-6)),MONTH((Lists!D$21-6)),MIN($X13,DAY(EOMONTH((Lists!D$21-6),0))))&lt;=Lists!D$21)*IFERROR(AVERAGEIFS($J27:$V27,Lists!$C$24:$O$24,(YEAR((Lists!D$21-6))*12+MONTH((Lists!D$21-6))-N($Y13))),AVERAGE($J27:$V27))*52/12,0)),K27*$C27*$D27+(1-$D27)*$C27*SUMPRODUCT($J27:$V27,(Lists!$C$21:$O$21+$E27&gt;Lists!D$22)*(Lists!$C$21:$O$21+$E27&lt;=Lists!D$21))))</f>
        <v>0</v>
      </c>
      <c r="L41" s="53" t="n">
        <f aca="false">IF(N($Z13)&gt;0,(N($Z13)&gt;Lists!E$22)*(N($Z13)&lt;=Lists!E$21)*SUM($J27:$V27)*$C27,IF(N($X13)&gt;0,$C27*((DATE(YEAR(Lists!E$21),MONTH(Lists!E$21),MIN($X13,DAY(EOMONTH(Lists!E$21,0))))&gt;Lists!E$23)*(DATE(YEAR(Lists!E$21),MONTH(Lists!E$21),MIN($X13,DAY(EOMONTH(Lists!E$21,0))))&lt;=Lists!E$21)*IFERROR(AVERAGEIFS($J27:$V27,Lists!$C$24:$O$24,(YEAR(Lists!E$21)*12+MONTH(Lists!E$21)-N($Y13))),AVERAGE($J27:$V27))*52/12+IF(MONTH((Lists!E$21-6))&lt;&gt;MONTH(Lists!E$21),(DATE(YEAR((Lists!E$21-6)),MONTH((Lists!E$21-6)),MIN($X13,DAY(EOMONTH((Lists!E$21-6),0))))&gt;Lists!E$23)*(DATE(YEAR((Lists!E$21-6)),MONTH((Lists!E$21-6)),MIN($X13,DAY(EOMONTH((Lists!E$21-6),0))))&lt;=Lists!E$21)*IFERROR(AVERAGEIFS($J27:$V27,Lists!$C$24:$O$24,(YEAR((Lists!E$21-6))*12+MONTH((Lists!E$21-6))-N($Y13))),AVERAGE($J27:$V27))*52/12,0)),L27*$C27*$D27+(1-$D27)*$C27*SUMPRODUCT($J27:$V27,(Lists!$C$21:$O$21+$E27&gt;Lists!E$22)*(Lists!$C$21:$O$21+$E27&lt;=Lists!E$21))))</f>
        <v>0</v>
      </c>
      <c r="M41" s="53" t="n">
        <f aca="false">IF(N($Z13)&gt;0,(N($Z13)&gt;Lists!F$22)*(N($Z13)&lt;=Lists!F$21)*SUM($J27:$V27)*$C27,IF(N($X13)&gt;0,$C27*((DATE(YEAR(Lists!F$21),MONTH(Lists!F$21),MIN($X13,DAY(EOMONTH(Lists!F$21,0))))&gt;Lists!F$23)*(DATE(YEAR(Lists!F$21),MONTH(Lists!F$21),MIN($X13,DAY(EOMONTH(Lists!F$21,0))))&lt;=Lists!F$21)*IFERROR(AVERAGEIFS($J27:$V27,Lists!$C$24:$O$24,(YEAR(Lists!F$21)*12+MONTH(Lists!F$21)-N($Y13))),AVERAGE($J27:$V27))*52/12+IF(MONTH((Lists!F$21-6))&lt;&gt;MONTH(Lists!F$21),(DATE(YEAR((Lists!F$21-6)),MONTH((Lists!F$21-6)),MIN($X13,DAY(EOMONTH((Lists!F$21-6),0))))&gt;Lists!F$23)*(DATE(YEAR((Lists!F$21-6)),MONTH((Lists!F$21-6)),MIN($X13,DAY(EOMONTH((Lists!F$21-6),0))))&lt;=Lists!F$21)*IFERROR(AVERAGEIFS($J27:$V27,Lists!$C$24:$O$24,(YEAR((Lists!F$21-6))*12+MONTH((Lists!F$21-6))-N($Y13))),AVERAGE($J27:$V27))*52/12,0)),M27*$C27*$D27+(1-$D27)*$C27*SUMPRODUCT($J27:$V27,(Lists!$C$21:$O$21+$E27&gt;Lists!F$22)*(Lists!$C$21:$O$21+$E27&lt;=Lists!F$21))))</f>
        <v>0</v>
      </c>
      <c r="N41" s="53" t="n">
        <f aca="false">IF(N($Z13)&gt;0,(N($Z13)&gt;Lists!G$22)*(N($Z13)&lt;=Lists!G$21)*SUM($J27:$V27)*$C27,IF(N($X13)&gt;0,$C27*((DATE(YEAR(Lists!G$21),MONTH(Lists!G$21),MIN($X13,DAY(EOMONTH(Lists!G$21,0))))&gt;Lists!G$23)*(DATE(YEAR(Lists!G$21),MONTH(Lists!G$21),MIN($X13,DAY(EOMONTH(Lists!G$21,0))))&lt;=Lists!G$21)*IFERROR(AVERAGEIFS($J27:$V27,Lists!$C$24:$O$24,(YEAR(Lists!G$21)*12+MONTH(Lists!G$21)-N($Y13))),AVERAGE($J27:$V27))*52/12+IF(MONTH((Lists!G$21-6))&lt;&gt;MONTH(Lists!G$21),(DATE(YEAR((Lists!G$21-6)),MONTH((Lists!G$21-6)),MIN($X13,DAY(EOMONTH((Lists!G$21-6),0))))&gt;Lists!G$23)*(DATE(YEAR((Lists!G$21-6)),MONTH((Lists!G$21-6)),MIN($X13,DAY(EOMONTH((Lists!G$21-6),0))))&lt;=Lists!G$21)*IFERROR(AVERAGEIFS($J27:$V27,Lists!$C$24:$O$24,(YEAR((Lists!G$21-6))*12+MONTH((Lists!G$21-6))-N($Y13))),AVERAGE($J27:$V27))*52/12,0)),N27*$C27*$D27+(1-$D27)*$C27*SUMPRODUCT($J27:$V27,(Lists!$C$21:$O$21+$E27&gt;Lists!G$22)*(Lists!$C$21:$O$21+$E27&lt;=Lists!G$21))))</f>
        <v>0</v>
      </c>
      <c r="O41" s="53" t="n">
        <f aca="false">IF(N($Z13)&gt;0,(N($Z13)&gt;Lists!H$22)*(N($Z13)&lt;=Lists!H$21)*SUM($J27:$V27)*$C27,IF(N($X13)&gt;0,$C27*((DATE(YEAR(Lists!H$21),MONTH(Lists!H$21),MIN($X13,DAY(EOMONTH(Lists!H$21,0))))&gt;Lists!H$23)*(DATE(YEAR(Lists!H$21),MONTH(Lists!H$21),MIN($X13,DAY(EOMONTH(Lists!H$21,0))))&lt;=Lists!H$21)*IFERROR(AVERAGEIFS($J27:$V27,Lists!$C$24:$O$24,(YEAR(Lists!H$21)*12+MONTH(Lists!H$21)-N($Y13))),AVERAGE($J27:$V27))*52/12+IF(MONTH((Lists!H$21-6))&lt;&gt;MONTH(Lists!H$21),(DATE(YEAR((Lists!H$21-6)),MONTH((Lists!H$21-6)),MIN($X13,DAY(EOMONTH((Lists!H$21-6),0))))&gt;Lists!H$23)*(DATE(YEAR((Lists!H$21-6)),MONTH((Lists!H$21-6)),MIN($X13,DAY(EOMONTH((Lists!H$21-6),0))))&lt;=Lists!H$21)*IFERROR(AVERAGEIFS($J27:$V27,Lists!$C$24:$O$24,(YEAR((Lists!H$21-6))*12+MONTH((Lists!H$21-6))-N($Y13))),AVERAGE($J27:$V27))*52/12,0)),O27*$C27*$D27+(1-$D27)*$C27*SUMPRODUCT($J27:$V27,(Lists!$C$21:$O$21+$E27&gt;Lists!H$22)*(Lists!$C$21:$O$21+$E27&lt;=Lists!H$21))))</f>
        <v>0</v>
      </c>
      <c r="P41" s="53" t="n">
        <f aca="false">IF(N($Z13)&gt;0,(N($Z13)&gt;Lists!I$22)*(N($Z13)&lt;=Lists!I$21)*SUM($J27:$V27)*$C27,IF(N($X13)&gt;0,$C27*((DATE(YEAR(Lists!I$21),MONTH(Lists!I$21),MIN($X13,DAY(EOMONTH(Lists!I$21,0))))&gt;Lists!I$23)*(DATE(YEAR(Lists!I$21),MONTH(Lists!I$21),MIN($X13,DAY(EOMONTH(Lists!I$21,0))))&lt;=Lists!I$21)*IFERROR(AVERAGEIFS($J27:$V27,Lists!$C$24:$O$24,(YEAR(Lists!I$21)*12+MONTH(Lists!I$21)-N($Y13))),AVERAGE($J27:$V27))*52/12+IF(MONTH((Lists!I$21-6))&lt;&gt;MONTH(Lists!I$21),(DATE(YEAR((Lists!I$21-6)),MONTH((Lists!I$21-6)),MIN($X13,DAY(EOMONTH((Lists!I$21-6),0))))&gt;Lists!I$23)*(DATE(YEAR((Lists!I$21-6)),MONTH((Lists!I$21-6)),MIN($X13,DAY(EOMONTH((Lists!I$21-6),0))))&lt;=Lists!I$21)*IFERROR(AVERAGEIFS($J27:$V27,Lists!$C$24:$O$24,(YEAR((Lists!I$21-6))*12+MONTH((Lists!I$21-6))-N($Y13))),AVERAGE($J27:$V27))*52/12,0)),P27*$C27*$D27+(1-$D27)*$C27*SUMPRODUCT($J27:$V27,(Lists!$C$21:$O$21+$E27&gt;Lists!I$22)*(Lists!$C$21:$O$21+$E27&lt;=Lists!I$21))))</f>
        <v>0</v>
      </c>
      <c r="Q41" s="53" t="n">
        <f aca="false">IF(N($Z13)&gt;0,(N($Z13)&gt;Lists!J$22)*(N($Z13)&lt;=Lists!J$21)*SUM($J27:$V27)*$C27,IF(N($X13)&gt;0,$C27*((DATE(YEAR(Lists!J$21),MONTH(Lists!J$21),MIN($X13,DAY(EOMONTH(Lists!J$21,0))))&gt;Lists!J$23)*(DATE(YEAR(Lists!J$21),MONTH(Lists!J$21),MIN($X13,DAY(EOMONTH(Lists!J$21,0))))&lt;=Lists!J$21)*IFERROR(AVERAGEIFS($J27:$V27,Lists!$C$24:$O$24,(YEAR(Lists!J$21)*12+MONTH(Lists!J$21)-N($Y13))),AVERAGE($J27:$V27))*52/12+IF(MONTH((Lists!J$21-6))&lt;&gt;MONTH(Lists!J$21),(DATE(YEAR((Lists!J$21-6)),MONTH((Lists!J$21-6)),MIN($X13,DAY(EOMONTH((Lists!J$21-6),0))))&gt;Lists!J$23)*(DATE(YEAR((Lists!J$21-6)),MONTH((Lists!J$21-6)),MIN($X13,DAY(EOMONTH((Lists!J$21-6),0))))&lt;=Lists!J$21)*IFERROR(AVERAGEIFS($J27:$V27,Lists!$C$24:$O$24,(YEAR((Lists!J$21-6))*12+MONTH((Lists!J$21-6))-N($Y13))),AVERAGE($J27:$V27))*52/12,0)),Q27*$C27*$D27+(1-$D27)*$C27*SUMPRODUCT($J27:$V27,(Lists!$C$21:$O$21+$E27&gt;Lists!J$22)*(Lists!$C$21:$O$21+$E27&lt;=Lists!J$21))))</f>
        <v>0</v>
      </c>
      <c r="R41" s="53" t="n">
        <f aca="false">IF(N($Z13)&gt;0,(N($Z13)&gt;Lists!K$22)*(N($Z13)&lt;=Lists!K$21)*SUM($J27:$V27)*$C27,IF(N($X13)&gt;0,$C27*((DATE(YEAR(Lists!K$21),MONTH(Lists!K$21),MIN($X13,DAY(EOMONTH(Lists!K$21,0))))&gt;Lists!K$23)*(DATE(YEAR(Lists!K$21),MONTH(Lists!K$21),MIN($X13,DAY(EOMONTH(Lists!K$21,0))))&lt;=Lists!K$21)*IFERROR(AVERAGEIFS($J27:$V27,Lists!$C$24:$O$24,(YEAR(Lists!K$21)*12+MONTH(Lists!K$21)-N($Y13))),AVERAGE($J27:$V27))*52/12+IF(MONTH((Lists!K$21-6))&lt;&gt;MONTH(Lists!K$21),(DATE(YEAR((Lists!K$21-6)),MONTH((Lists!K$21-6)),MIN($X13,DAY(EOMONTH((Lists!K$21-6),0))))&gt;Lists!K$23)*(DATE(YEAR((Lists!K$21-6)),MONTH((Lists!K$21-6)),MIN($X13,DAY(EOMONTH((Lists!K$21-6),0))))&lt;=Lists!K$21)*IFERROR(AVERAGEIFS($J27:$V27,Lists!$C$24:$O$24,(YEAR((Lists!K$21-6))*12+MONTH((Lists!K$21-6))-N($Y13))),AVERAGE($J27:$V27))*52/12,0)),R27*$C27*$D27+(1-$D27)*$C27*SUMPRODUCT($J27:$V27,(Lists!$C$21:$O$21+$E27&gt;Lists!K$22)*(Lists!$C$21:$O$21+$E27&lt;=Lists!K$21))))</f>
        <v>0</v>
      </c>
      <c r="S41" s="53" t="n">
        <f aca="false">IF(N($Z13)&gt;0,(N($Z13)&gt;Lists!L$22)*(N($Z13)&lt;=Lists!L$21)*SUM($J27:$V27)*$C27,IF(N($X13)&gt;0,$C27*((DATE(YEAR(Lists!L$21),MONTH(Lists!L$21),MIN($X13,DAY(EOMONTH(Lists!L$21,0))))&gt;Lists!L$23)*(DATE(YEAR(Lists!L$21),MONTH(Lists!L$21),MIN($X13,DAY(EOMONTH(Lists!L$21,0))))&lt;=Lists!L$21)*IFERROR(AVERAGEIFS($J27:$V27,Lists!$C$24:$O$24,(YEAR(Lists!L$21)*12+MONTH(Lists!L$21)-N($Y13))),AVERAGE($J27:$V27))*52/12+IF(MONTH((Lists!L$21-6))&lt;&gt;MONTH(Lists!L$21),(DATE(YEAR((Lists!L$21-6)),MONTH((Lists!L$21-6)),MIN($X13,DAY(EOMONTH((Lists!L$21-6),0))))&gt;Lists!L$23)*(DATE(YEAR((Lists!L$21-6)),MONTH((Lists!L$21-6)),MIN($X13,DAY(EOMONTH((Lists!L$21-6),0))))&lt;=Lists!L$21)*IFERROR(AVERAGEIFS($J27:$V27,Lists!$C$24:$O$24,(YEAR((Lists!L$21-6))*12+MONTH((Lists!L$21-6))-N($Y13))),AVERAGE($J27:$V27))*52/12,0)),S27*$C27*$D27+(1-$D27)*$C27*SUMPRODUCT($J27:$V27,(Lists!$C$21:$O$21+$E27&gt;Lists!L$22)*(Lists!$C$21:$O$21+$E27&lt;=Lists!L$21))))</f>
        <v>0</v>
      </c>
      <c r="T41" s="53" t="n">
        <f aca="false">IF(N($Z13)&gt;0,(N($Z13)&gt;Lists!M$22)*(N($Z13)&lt;=Lists!M$21)*SUM($J27:$V27)*$C27,IF(N($X13)&gt;0,$C27*((DATE(YEAR(Lists!M$21),MONTH(Lists!M$21),MIN($X13,DAY(EOMONTH(Lists!M$21,0))))&gt;Lists!M$23)*(DATE(YEAR(Lists!M$21),MONTH(Lists!M$21),MIN($X13,DAY(EOMONTH(Lists!M$21,0))))&lt;=Lists!M$21)*IFERROR(AVERAGEIFS($J27:$V27,Lists!$C$24:$O$24,(YEAR(Lists!M$21)*12+MONTH(Lists!M$21)-N($Y13))),AVERAGE($J27:$V27))*52/12+IF(MONTH((Lists!M$21-6))&lt;&gt;MONTH(Lists!M$21),(DATE(YEAR((Lists!M$21-6)),MONTH((Lists!M$21-6)),MIN($X13,DAY(EOMONTH((Lists!M$21-6),0))))&gt;Lists!M$23)*(DATE(YEAR((Lists!M$21-6)),MONTH((Lists!M$21-6)),MIN($X13,DAY(EOMONTH((Lists!M$21-6),0))))&lt;=Lists!M$21)*IFERROR(AVERAGEIFS($J27:$V27,Lists!$C$24:$O$24,(YEAR((Lists!M$21-6))*12+MONTH((Lists!M$21-6))-N($Y13))),AVERAGE($J27:$V27))*52/12,0)),T27*$C27*$D27+(1-$D27)*$C27*SUMPRODUCT($J27:$V27,(Lists!$C$21:$O$21+$E27&gt;Lists!M$22)*(Lists!$C$21:$O$21+$E27&lt;=Lists!M$21))))</f>
        <v>0</v>
      </c>
      <c r="U41" s="53" t="n">
        <f aca="false">IF(N($Z13)&gt;0,(N($Z13)&gt;Lists!N$22)*(N($Z13)&lt;=Lists!N$21)*SUM($J27:$V27)*$C27,IF(N($X13)&gt;0,$C27*((DATE(YEAR(Lists!N$21),MONTH(Lists!N$21),MIN($X13,DAY(EOMONTH(Lists!N$21,0))))&gt;Lists!N$23)*(DATE(YEAR(Lists!N$21),MONTH(Lists!N$21),MIN($X13,DAY(EOMONTH(Lists!N$21,0))))&lt;=Lists!N$21)*IFERROR(AVERAGEIFS($J27:$V27,Lists!$C$24:$O$24,(YEAR(Lists!N$21)*12+MONTH(Lists!N$21)-N($Y13))),AVERAGE($J27:$V27))*52/12+IF(MONTH((Lists!N$21-6))&lt;&gt;MONTH(Lists!N$21),(DATE(YEAR((Lists!N$21-6)),MONTH((Lists!N$21-6)),MIN($X13,DAY(EOMONTH((Lists!N$21-6),0))))&gt;Lists!N$23)*(DATE(YEAR((Lists!N$21-6)),MONTH((Lists!N$21-6)),MIN($X13,DAY(EOMONTH((Lists!N$21-6),0))))&lt;=Lists!N$21)*IFERROR(AVERAGEIFS($J27:$V27,Lists!$C$24:$O$24,(YEAR((Lists!N$21-6))*12+MONTH((Lists!N$21-6))-N($Y13))),AVERAGE($J27:$V27))*52/12,0)),U27*$C27*$D27+(1-$D27)*$C27*SUMPRODUCT($J27:$V27,(Lists!$C$21:$O$21+$E27&gt;Lists!N$22)*(Lists!$C$21:$O$21+$E27&lt;=Lists!N$21))))</f>
        <v>0</v>
      </c>
      <c r="V41" s="53" t="n">
        <f aca="false">IF(N($Z13)&gt;0,(N($Z13)&gt;Lists!O$22)*(N($Z13)&lt;=Lists!O$21)*SUM($J27:$V27)*$C27,IF(N($X13)&gt;0,$C27*((DATE(YEAR(Lists!O$21),MONTH(Lists!O$21),MIN($X13,DAY(EOMONTH(Lists!O$21,0))))&gt;Lists!O$23)*(DATE(YEAR(Lists!O$21),MONTH(Lists!O$21),MIN($X13,DAY(EOMONTH(Lists!O$21,0))))&lt;=Lists!O$21)*IFERROR(AVERAGEIFS($J27:$V27,Lists!$C$24:$O$24,(YEAR(Lists!O$21)*12+MONTH(Lists!O$21)-N($Y13))),AVERAGE($J27:$V27))*52/12+IF(MONTH((Lists!O$21-6))&lt;&gt;MONTH(Lists!O$21),(DATE(YEAR((Lists!O$21-6)),MONTH((Lists!O$21-6)),MIN($X13,DAY(EOMONTH((Lists!O$21-6),0))))&gt;Lists!O$23)*(DATE(YEAR((Lists!O$21-6)),MONTH((Lists!O$21-6)),MIN($X13,DAY(EOMONTH((Lists!O$21-6),0))))&lt;=Lists!O$21)*IFERROR(AVERAGEIFS($J27:$V27,Lists!$C$24:$O$24,(YEAR((Lists!O$21-6))*12+MONTH((Lists!O$21-6))-N($Y13))),AVERAGE($J27:$V27))*52/12,0)),V27*$C27*$D27+(1-$D27)*$C27*SUMPRODUCT($J27:$V27,(Lists!$C$21:$O$21+$E27&gt;Lists!O$22)*(Lists!$C$21:$O$21+$E27&lt;=Lists!O$21))))</f>
        <v>0</v>
      </c>
      <c r="W41" s="46" t="n">
        <f aca="false">SUM(J41:V41)</f>
        <v>0</v>
      </c>
      <c r="X41" s="92" t="n">
        <f aca="false">W27*C27-W41</f>
        <v>0</v>
      </c>
      <c r="Y41" s="2"/>
      <c r="Z41" s="2"/>
    </row>
    <row r="42" customFormat="false" ht="15" hidden="false" customHeight="false" outlineLevel="0" collapsed="false">
      <c r="A42" s="2"/>
      <c r="B42" s="9" t="str">
        <f aca="false">B28</f>
        <v/>
      </c>
      <c r="C42" s="2"/>
      <c r="D42" s="2"/>
      <c r="E42" s="2"/>
      <c r="F42" s="2"/>
      <c r="G42" s="2"/>
      <c r="H42" s="2"/>
      <c r="I42" s="2"/>
      <c r="J42" s="53" t="n">
        <f aca="false">IF(N($Z14)&gt;0,(N($Z14)&gt;Lists!C$22)*(N($Z14)&lt;=Lists!C$21)*SUM($J28:$V28)*$C28,IF(N($X14)&gt;0,$C28*((DATE(YEAR(Lists!C$21),MONTH(Lists!C$21),MIN($X14,DAY(EOMONTH(Lists!C$21,0))))&gt;Lists!C$23)*(DATE(YEAR(Lists!C$21),MONTH(Lists!C$21),MIN($X14,DAY(EOMONTH(Lists!C$21,0))))&lt;=Lists!C$21)*IFERROR(AVERAGEIFS($J28:$V28,Lists!$C$24:$O$24,(YEAR(Lists!C$21)*12+MONTH(Lists!C$21)-N($Y14))),AVERAGE($J28:$V28))*52/12+IF(MONTH((Lists!C$21-6))&lt;&gt;MONTH(Lists!C$21),(DATE(YEAR((Lists!C$21-6)),MONTH((Lists!C$21-6)),MIN($X14,DAY(EOMONTH((Lists!C$21-6),0))))&gt;Lists!C$23)*(DATE(YEAR((Lists!C$21-6)),MONTH((Lists!C$21-6)),MIN($X14,DAY(EOMONTH((Lists!C$21-6),0))))&lt;=Lists!C$21)*IFERROR(AVERAGEIFS($J28:$V28,Lists!$C$24:$O$24,(YEAR((Lists!C$21-6))*12+MONTH((Lists!C$21-6))-N($Y14))),AVERAGE($J28:$V28))*52/12,0)),J28*$C28*$D28+(1-$D28)*$C28*SUMPRODUCT($J28:$V28,(Lists!$C$21:$O$21+$E28&gt;Lists!C$22)*(Lists!$C$21:$O$21+$E28&lt;=Lists!C$21))))</f>
        <v>0</v>
      </c>
      <c r="K42" s="53" t="n">
        <f aca="false">IF(N($Z14)&gt;0,(N($Z14)&gt;Lists!D$22)*(N($Z14)&lt;=Lists!D$21)*SUM($J28:$V28)*$C28,IF(N($X14)&gt;0,$C28*((DATE(YEAR(Lists!D$21),MONTH(Lists!D$21),MIN($X14,DAY(EOMONTH(Lists!D$21,0))))&gt;Lists!D$23)*(DATE(YEAR(Lists!D$21),MONTH(Lists!D$21),MIN($X14,DAY(EOMONTH(Lists!D$21,0))))&lt;=Lists!D$21)*IFERROR(AVERAGEIFS($J28:$V28,Lists!$C$24:$O$24,(YEAR(Lists!D$21)*12+MONTH(Lists!D$21)-N($Y14))),AVERAGE($J28:$V28))*52/12+IF(MONTH((Lists!D$21-6))&lt;&gt;MONTH(Lists!D$21),(DATE(YEAR((Lists!D$21-6)),MONTH((Lists!D$21-6)),MIN($X14,DAY(EOMONTH((Lists!D$21-6),0))))&gt;Lists!D$23)*(DATE(YEAR((Lists!D$21-6)),MONTH((Lists!D$21-6)),MIN($X14,DAY(EOMONTH((Lists!D$21-6),0))))&lt;=Lists!D$21)*IFERROR(AVERAGEIFS($J28:$V28,Lists!$C$24:$O$24,(YEAR((Lists!D$21-6))*12+MONTH((Lists!D$21-6))-N($Y14))),AVERAGE($J28:$V28))*52/12,0)),K28*$C28*$D28+(1-$D28)*$C28*SUMPRODUCT($J28:$V28,(Lists!$C$21:$O$21+$E28&gt;Lists!D$22)*(Lists!$C$21:$O$21+$E28&lt;=Lists!D$21))))</f>
        <v>0</v>
      </c>
      <c r="L42" s="53" t="n">
        <f aca="false">IF(N($Z14)&gt;0,(N($Z14)&gt;Lists!E$22)*(N($Z14)&lt;=Lists!E$21)*SUM($J28:$V28)*$C28,IF(N($X14)&gt;0,$C28*((DATE(YEAR(Lists!E$21),MONTH(Lists!E$21),MIN($X14,DAY(EOMONTH(Lists!E$21,0))))&gt;Lists!E$23)*(DATE(YEAR(Lists!E$21),MONTH(Lists!E$21),MIN($X14,DAY(EOMONTH(Lists!E$21,0))))&lt;=Lists!E$21)*IFERROR(AVERAGEIFS($J28:$V28,Lists!$C$24:$O$24,(YEAR(Lists!E$21)*12+MONTH(Lists!E$21)-N($Y14))),AVERAGE($J28:$V28))*52/12+IF(MONTH((Lists!E$21-6))&lt;&gt;MONTH(Lists!E$21),(DATE(YEAR((Lists!E$21-6)),MONTH((Lists!E$21-6)),MIN($X14,DAY(EOMONTH((Lists!E$21-6),0))))&gt;Lists!E$23)*(DATE(YEAR((Lists!E$21-6)),MONTH((Lists!E$21-6)),MIN($X14,DAY(EOMONTH((Lists!E$21-6),0))))&lt;=Lists!E$21)*IFERROR(AVERAGEIFS($J28:$V28,Lists!$C$24:$O$24,(YEAR((Lists!E$21-6))*12+MONTH((Lists!E$21-6))-N($Y14))),AVERAGE($J28:$V28))*52/12,0)),L28*$C28*$D28+(1-$D28)*$C28*SUMPRODUCT($J28:$V28,(Lists!$C$21:$O$21+$E28&gt;Lists!E$22)*(Lists!$C$21:$O$21+$E28&lt;=Lists!E$21))))</f>
        <v>0</v>
      </c>
      <c r="M42" s="53" t="n">
        <f aca="false">IF(N($Z14)&gt;0,(N($Z14)&gt;Lists!F$22)*(N($Z14)&lt;=Lists!F$21)*SUM($J28:$V28)*$C28,IF(N($X14)&gt;0,$C28*((DATE(YEAR(Lists!F$21),MONTH(Lists!F$21),MIN($X14,DAY(EOMONTH(Lists!F$21,0))))&gt;Lists!F$23)*(DATE(YEAR(Lists!F$21),MONTH(Lists!F$21),MIN($X14,DAY(EOMONTH(Lists!F$21,0))))&lt;=Lists!F$21)*IFERROR(AVERAGEIFS($J28:$V28,Lists!$C$24:$O$24,(YEAR(Lists!F$21)*12+MONTH(Lists!F$21)-N($Y14))),AVERAGE($J28:$V28))*52/12+IF(MONTH((Lists!F$21-6))&lt;&gt;MONTH(Lists!F$21),(DATE(YEAR((Lists!F$21-6)),MONTH((Lists!F$21-6)),MIN($X14,DAY(EOMONTH((Lists!F$21-6),0))))&gt;Lists!F$23)*(DATE(YEAR((Lists!F$21-6)),MONTH((Lists!F$21-6)),MIN($X14,DAY(EOMONTH((Lists!F$21-6),0))))&lt;=Lists!F$21)*IFERROR(AVERAGEIFS($J28:$V28,Lists!$C$24:$O$24,(YEAR((Lists!F$21-6))*12+MONTH((Lists!F$21-6))-N($Y14))),AVERAGE($J28:$V28))*52/12,0)),M28*$C28*$D28+(1-$D28)*$C28*SUMPRODUCT($J28:$V28,(Lists!$C$21:$O$21+$E28&gt;Lists!F$22)*(Lists!$C$21:$O$21+$E28&lt;=Lists!F$21))))</f>
        <v>0</v>
      </c>
      <c r="N42" s="53" t="n">
        <f aca="false">IF(N($Z14)&gt;0,(N($Z14)&gt;Lists!G$22)*(N($Z14)&lt;=Lists!G$21)*SUM($J28:$V28)*$C28,IF(N($X14)&gt;0,$C28*((DATE(YEAR(Lists!G$21),MONTH(Lists!G$21),MIN($X14,DAY(EOMONTH(Lists!G$21,0))))&gt;Lists!G$23)*(DATE(YEAR(Lists!G$21),MONTH(Lists!G$21),MIN($X14,DAY(EOMONTH(Lists!G$21,0))))&lt;=Lists!G$21)*IFERROR(AVERAGEIFS($J28:$V28,Lists!$C$24:$O$24,(YEAR(Lists!G$21)*12+MONTH(Lists!G$21)-N($Y14))),AVERAGE($J28:$V28))*52/12+IF(MONTH((Lists!G$21-6))&lt;&gt;MONTH(Lists!G$21),(DATE(YEAR((Lists!G$21-6)),MONTH((Lists!G$21-6)),MIN($X14,DAY(EOMONTH((Lists!G$21-6),0))))&gt;Lists!G$23)*(DATE(YEAR((Lists!G$21-6)),MONTH((Lists!G$21-6)),MIN($X14,DAY(EOMONTH((Lists!G$21-6),0))))&lt;=Lists!G$21)*IFERROR(AVERAGEIFS($J28:$V28,Lists!$C$24:$O$24,(YEAR((Lists!G$21-6))*12+MONTH((Lists!G$21-6))-N($Y14))),AVERAGE($J28:$V28))*52/12,0)),N28*$C28*$D28+(1-$D28)*$C28*SUMPRODUCT($J28:$V28,(Lists!$C$21:$O$21+$E28&gt;Lists!G$22)*(Lists!$C$21:$O$21+$E28&lt;=Lists!G$21))))</f>
        <v>0</v>
      </c>
      <c r="O42" s="53" t="n">
        <f aca="false">IF(N($Z14)&gt;0,(N($Z14)&gt;Lists!H$22)*(N($Z14)&lt;=Lists!H$21)*SUM($J28:$V28)*$C28,IF(N($X14)&gt;0,$C28*((DATE(YEAR(Lists!H$21),MONTH(Lists!H$21),MIN($X14,DAY(EOMONTH(Lists!H$21,0))))&gt;Lists!H$23)*(DATE(YEAR(Lists!H$21),MONTH(Lists!H$21),MIN($X14,DAY(EOMONTH(Lists!H$21,0))))&lt;=Lists!H$21)*IFERROR(AVERAGEIFS($J28:$V28,Lists!$C$24:$O$24,(YEAR(Lists!H$21)*12+MONTH(Lists!H$21)-N($Y14))),AVERAGE($J28:$V28))*52/12+IF(MONTH((Lists!H$21-6))&lt;&gt;MONTH(Lists!H$21),(DATE(YEAR((Lists!H$21-6)),MONTH((Lists!H$21-6)),MIN($X14,DAY(EOMONTH((Lists!H$21-6),0))))&gt;Lists!H$23)*(DATE(YEAR((Lists!H$21-6)),MONTH((Lists!H$21-6)),MIN($X14,DAY(EOMONTH((Lists!H$21-6),0))))&lt;=Lists!H$21)*IFERROR(AVERAGEIFS($J28:$V28,Lists!$C$24:$O$24,(YEAR((Lists!H$21-6))*12+MONTH((Lists!H$21-6))-N($Y14))),AVERAGE($J28:$V28))*52/12,0)),O28*$C28*$D28+(1-$D28)*$C28*SUMPRODUCT($J28:$V28,(Lists!$C$21:$O$21+$E28&gt;Lists!H$22)*(Lists!$C$21:$O$21+$E28&lt;=Lists!H$21))))</f>
        <v>0</v>
      </c>
      <c r="P42" s="53" t="n">
        <f aca="false">IF(N($Z14)&gt;0,(N($Z14)&gt;Lists!I$22)*(N($Z14)&lt;=Lists!I$21)*SUM($J28:$V28)*$C28,IF(N($X14)&gt;0,$C28*((DATE(YEAR(Lists!I$21),MONTH(Lists!I$21),MIN($X14,DAY(EOMONTH(Lists!I$21,0))))&gt;Lists!I$23)*(DATE(YEAR(Lists!I$21),MONTH(Lists!I$21),MIN($X14,DAY(EOMONTH(Lists!I$21,0))))&lt;=Lists!I$21)*IFERROR(AVERAGEIFS($J28:$V28,Lists!$C$24:$O$24,(YEAR(Lists!I$21)*12+MONTH(Lists!I$21)-N($Y14))),AVERAGE($J28:$V28))*52/12+IF(MONTH((Lists!I$21-6))&lt;&gt;MONTH(Lists!I$21),(DATE(YEAR((Lists!I$21-6)),MONTH((Lists!I$21-6)),MIN($X14,DAY(EOMONTH((Lists!I$21-6),0))))&gt;Lists!I$23)*(DATE(YEAR((Lists!I$21-6)),MONTH((Lists!I$21-6)),MIN($X14,DAY(EOMONTH((Lists!I$21-6),0))))&lt;=Lists!I$21)*IFERROR(AVERAGEIFS($J28:$V28,Lists!$C$24:$O$24,(YEAR((Lists!I$21-6))*12+MONTH((Lists!I$21-6))-N($Y14))),AVERAGE($J28:$V28))*52/12,0)),P28*$C28*$D28+(1-$D28)*$C28*SUMPRODUCT($J28:$V28,(Lists!$C$21:$O$21+$E28&gt;Lists!I$22)*(Lists!$C$21:$O$21+$E28&lt;=Lists!I$21))))</f>
        <v>0</v>
      </c>
      <c r="Q42" s="53" t="n">
        <f aca="false">IF(N($Z14)&gt;0,(N($Z14)&gt;Lists!J$22)*(N($Z14)&lt;=Lists!J$21)*SUM($J28:$V28)*$C28,IF(N($X14)&gt;0,$C28*((DATE(YEAR(Lists!J$21),MONTH(Lists!J$21),MIN($X14,DAY(EOMONTH(Lists!J$21,0))))&gt;Lists!J$23)*(DATE(YEAR(Lists!J$21),MONTH(Lists!J$21),MIN($X14,DAY(EOMONTH(Lists!J$21,0))))&lt;=Lists!J$21)*IFERROR(AVERAGEIFS($J28:$V28,Lists!$C$24:$O$24,(YEAR(Lists!J$21)*12+MONTH(Lists!J$21)-N($Y14))),AVERAGE($J28:$V28))*52/12+IF(MONTH((Lists!J$21-6))&lt;&gt;MONTH(Lists!J$21),(DATE(YEAR((Lists!J$21-6)),MONTH((Lists!J$21-6)),MIN($X14,DAY(EOMONTH((Lists!J$21-6),0))))&gt;Lists!J$23)*(DATE(YEAR((Lists!J$21-6)),MONTH((Lists!J$21-6)),MIN($X14,DAY(EOMONTH((Lists!J$21-6),0))))&lt;=Lists!J$21)*IFERROR(AVERAGEIFS($J28:$V28,Lists!$C$24:$O$24,(YEAR((Lists!J$21-6))*12+MONTH((Lists!J$21-6))-N($Y14))),AVERAGE($J28:$V28))*52/12,0)),Q28*$C28*$D28+(1-$D28)*$C28*SUMPRODUCT($J28:$V28,(Lists!$C$21:$O$21+$E28&gt;Lists!J$22)*(Lists!$C$21:$O$21+$E28&lt;=Lists!J$21))))</f>
        <v>0</v>
      </c>
      <c r="R42" s="53" t="n">
        <f aca="false">IF(N($Z14)&gt;0,(N($Z14)&gt;Lists!K$22)*(N($Z14)&lt;=Lists!K$21)*SUM($J28:$V28)*$C28,IF(N($X14)&gt;0,$C28*((DATE(YEAR(Lists!K$21),MONTH(Lists!K$21),MIN($X14,DAY(EOMONTH(Lists!K$21,0))))&gt;Lists!K$23)*(DATE(YEAR(Lists!K$21),MONTH(Lists!K$21),MIN($X14,DAY(EOMONTH(Lists!K$21,0))))&lt;=Lists!K$21)*IFERROR(AVERAGEIFS($J28:$V28,Lists!$C$24:$O$24,(YEAR(Lists!K$21)*12+MONTH(Lists!K$21)-N($Y14))),AVERAGE($J28:$V28))*52/12+IF(MONTH((Lists!K$21-6))&lt;&gt;MONTH(Lists!K$21),(DATE(YEAR((Lists!K$21-6)),MONTH((Lists!K$21-6)),MIN($X14,DAY(EOMONTH((Lists!K$21-6),0))))&gt;Lists!K$23)*(DATE(YEAR((Lists!K$21-6)),MONTH((Lists!K$21-6)),MIN($X14,DAY(EOMONTH((Lists!K$21-6),0))))&lt;=Lists!K$21)*IFERROR(AVERAGEIFS($J28:$V28,Lists!$C$24:$O$24,(YEAR((Lists!K$21-6))*12+MONTH((Lists!K$21-6))-N($Y14))),AVERAGE($J28:$V28))*52/12,0)),R28*$C28*$D28+(1-$D28)*$C28*SUMPRODUCT($J28:$V28,(Lists!$C$21:$O$21+$E28&gt;Lists!K$22)*(Lists!$C$21:$O$21+$E28&lt;=Lists!K$21))))</f>
        <v>0</v>
      </c>
      <c r="S42" s="53" t="n">
        <f aca="false">IF(N($Z14)&gt;0,(N($Z14)&gt;Lists!L$22)*(N($Z14)&lt;=Lists!L$21)*SUM($J28:$V28)*$C28,IF(N($X14)&gt;0,$C28*((DATE(YEAR(Lists!L$21),MONTH(Lists!L$21),MIN($X14,DAY(EOMONTH(Lists!L$21,0))))&gt;Lists!L$23)*(DATE(YEAR(Lists!L$21),MONTH(Lists!L$21),MIN($X14,DAY(EOMONTH(Lists!L$21,0))))&lt;=Lists!L$21)*IFERROR(AVERAGEIFS($J28:$V28,Lists!$C$24:$O$24,(YEAR(Lists!L$21)*12+MONTH(Lists!L$21)-N($Y14))),AVERAGE($J28:$V28))*52/12+IF(MONTH((Lists!L$21-6))&lt;&gt;MONTH(Lists!L$21),(DATE(YEAR((Lists!L$21-6)),MONTH((Lists!L$21-6)),MIN($X14,DAY(EOMONTH((Lists!L$21-6),0))))&gt;Lists!L$23)*(DATE(YEAR((Lists!L$21-6)),MONTH((Lists!L$21-6)),MIN($X14,DAY(EOMONTH((Lists!L$21-6),0))))&lt;=Lists!L$21)*IFERROR(AVERAGEIFS($J28:$V28,Lists!$C$24:$O$24,(YEAR((Lists!L$21-6))*12+MONTH((Lists!L$21-6))-N($Y14))),AVERAGE($J28:$V28))*52/12,0)),S28*$C28*$D28+(1-$D28)*$C28*SUMPRODUCT($J28:$V28,(Lists!$C$21:$O$21+$E28&gt;Lists!L$22)*(Lists!$C$21:$O$21+$E28&lt;=Lists!L$21))))</f>
        <v>0</v>
      </c>
      <c r="T42" s="53" t="n">
        <f aca="false">IF(N($Z14)&gt;0,(N($Z14)&gt;Lists!M$22)*(N($Z14)&lt;=Lists!M$21)*SUM($J28:$V28)*$C28,IF(N($X14)&gt;0,$C28*((DATE(YEAR(Lists!M$21),MONTH(Lists!M$21),MIN($X14,DAY(EOMONTH(Lists!M$21,0))))&gt;Lists!M$23)*(DATE(YEAR(Lists!M$21),MONTH(Lists!M$21),MIN($X14,DAY(EOMONTH(Lists!M$21,0))))&lt;=Lists!M$21)*IFERROR(AVERAGEIFS($J28:$V28,Lists!$C$24:$O$24,(YEAR(Lists!M$21)*12+MONTH(Lists!M$21)-N($Y14))),AVERAGE($J28:$V28))*52/12+IF(MONTH((Lists!M$21-6))&lt;&gt;MONTH(Lists!M$21),(DATE(YEAR((Lists!M$21-6)),MONTH((Lists!M$21-6)),MIN($X14,DAY(EOMONTH((Lists!M$21-6),0))))&gt;Lists!M$23)*(DATE(YEAR((Lists!M$21-6)),MONTH((Lists!M$21-6)),MIN($X14,DAY(EOMONTH((Lists!M$21-6),0))))&lt;=Lists!M$21)*IFERROR(AVERAGEIFS($J28:$V28,Lists!$C$24:$O$24,(YEAR((Lists!M$21-6))*12+MONTH((Lists!M$21-6))-N($Y14))),AVERAGE($J28:$V28))*52/12,0)),T28*$C28*$D28+(1-$D28)*$C28*SUMPRODUCT($J28:$V28,(Lists!$C$21:$O$21+$E28&gt;Lists!M$22)*(Lists!$C$21:$O$21+$E28&lt;=Lists!M$21))))</f>
        <v>0</v>
      </c>
      <c r="U42" s="53" t="n">
        <f aca="false">IF(N($Z14)&gt;0,(N($Z14)&gt;Lists!N$22)*(N($Z14)&lt;=Lists!N$21)*SUM($J28:$V28)*$C28,IF(N($X14)&gt;0,$C28*((DATE(YEAR(Lists!N$21),MONTH(Lists!N$21),MIN($X14,DAY(EOMONTH(Lists!N$21,0))))&gt;Lists!N$23)*(DATE(YEAR(Lists!N$21),MONTH(Lists!N$21),MIN($X14,DAY(EOMONTH(Lists!N$21,0))))&lt;=Lists!N$21)*IFERROR(AVERAGEIFS($J28:$V28,Lists!$C$24:$O$24,(YEAR(Lists!N$21)*12+MONTH(Lists!N$21)-N($Y14))),AVERAGE($J28:$V28))*52/12+IF(MONTH((Lists!N$21-6))&lt;&gt;MONTH(Lists!N$21),(DATE(YEAR((Lists!N$21-6)),MONTH((Lists!N$21-6)),MIN($X14,DAY(EOMONTH((Lists!N$21-6),0))))&gt;Lists!N$23)*(DATE(YEAR((Lists!N$21-6)),MONTH((Lists!N$21-6)),MIN($X14,DAY(EOMONTH((Lists!N$21-6),0))))&lt;=Lists!N$21)*IFERROR(AVERAGEIFS($J28:$V28,Lists!$C$24:$O$24,(YEAR((Lists!N$21-6))*12+MONTH((Lists!N$21-6))-N($Y14))),AVERAGE($J28:$V28))*52/12,0)),U28*$C28*$D28+(1-$D28)*$C28*SUMPRODUCT($J28:$V28,(Lists!$C$21:$O$21+$E28&gt;Lists!N$22)*(Lists!$C$21:$O$21+$E28&lt;=Lists!N$21))))</f>
        <v>0</v>
      </c>
      <c r="V42" s="53" t="n">
        <f aca="false">IF(N($Z14)&gt;0,(N($Z14)&gt;Lists!O$22)*(N($Z14)&lt;=Lists!O$21)*SUM($J28:$V28)*$C28,IF(N($X14)&gt;0,$C28*((DATE(YEAR(Lists!O$21),MONTH(Lists!O$21),MIN($X14,DAY(EOMONTH(Lists!O$21,0))))&gt;Lists!O$23)*(DATE(YEAR(Lists!O$21),MONTH(Lists!O$21),MIN($X14,DAY(EOMONTH(Lists!O$21,0))))&lt;=Lists!O$21)*IFERROR(AVERAGEIFS($J28:$V28,Lists!$C$24:$O$24,(YEAR(Lists!O$21)*12+MONTH(Lists!O$21)-N($Y14))),AVERAGE($J28:$V28))*52/12+IF(MONTH((Lists!O$21-6))&lt;&gt;MONTH(Lists!O$21),(DATE(YEAR((Lists!O$21-6)),MONTH((Lists!O$21-6)),MIN($X14,DAY(EOMONTH((Lists!O$21-6),0))))&gt;Lists!O$23)*(DATE(YEAR((Lists!O$21-6)),MONTH((Lists!O$21-6)),MIN($X14,DAY(EOMONTH((Lists!O$21-6),0))))&lt;=Lists!O$21)*IFERROR(AVERAGEIFS($J28:$V28,Lists!$C$24:$O$24,(YEAR((Lists!O$21-6))*12+MONTH((Lists!O$21-6))-N($Y14))),AVERAGE($J28:$V28))*52/12,0)),V28*$C28*$D28+(1-$D28)*$C28*SUMPRODUCT($J28:$V28,(Lists!$C$21:$O$21+$E28&gt;Lists!O$22)*(Lists!$C$21:$O$21+$E28&lt;=Lists!O$21))))</f>
        <v>0</v>
      </c>
      <c r="W42" s="46" t="n">
        <f aca="false">SUM(J42:V42)</f>
        <v>0</v>
      </c>
      <c r="X42" s="92" t="n">
        <f aca="false">W28*C28-W42</f>
        <v>0</v>
      </c>
      <c r="Y42" s="2"/>
      <c r="Z42" s="2"/>
    </row>
    <row r="43" customFormat="false" ht="15" hidden="false" customHeight="false" outlineLevel="0" collapsed="false">
      <c r="A43" s="2"/>
      <c r="B43" s="9" t="str">
        <f aca="false">B29</f>
        <v/>
      </c>
      <c r="C43" s="2"/>
      <c r="D43" s="2"/>
      <c r="E43" s="2"/>
      <c r="F43" s="2"/>
      <c r="G43" s="2"/>
      <c r="H43" s="2"/>
      <c r="I43" s="2"/>
      <c r="J43" s="53" t="n">
        <f aca="false">IF(N($Z15)&gt;0,(N($Z15)&gt;Lists!C$22)*(N($Z15)&lt;=Lists!C$21)*SUM($J29:$V29)*$C29,IF(N($X15)&gt;0,$C29*((DATE(YEAR(Lists!C$21),MONTH(Lists!C$21),MIN($X15,DAY(EOMONTH(Lists!C$21,0))))&gt;Lists!C$23)*(DATE(YEAR(Lists!C$21),MONTH(Lists!C$21),MIN($X15,DAY(EOMONTH(Lists!C$21,0))))&lt;=Lists!C$21)*IFERROR(AVERAGEIFS($J29:$V29,Lists!$C$24:$O$24,(YEAR(Lists!C$21)*12+MONTH(Lists!C$21)-N($Y15))),AVERAGE($J29:$V29))*52/12+IF(MONTH((Lists!C$21-6))&lt;&gt;MONTH(Lists!C$21),(DATE(YEAR((Lists!C$21-6)),MONTH((Lists!C$21-6)),MIN($X15,DAY(EOMONTH((Lists!C$21-6),0))))&gt;Lists!C$23)*(DATE(YEAR((Lists!C$21-6)),MONTH((Lists!C$21-6)),MIN($X15,DAY(EOMONTH((Lists!C$21-6),0))))&lt;=Lists!C$21)*IFERROR(AVERAGEIFS($J29:$V29,Lists!$C$24:$O$24,(YEAR((Lists!C$21-6))*12+MONTH((Lists!C$21-6))-N($Y15))),AVERAGE($J29:$V29))*52/12,0)),J29*$C29*$D29+(1-$D29)*$C29*SUMPRODUCT($J29:$V29,(Lists!$C$21:$O$21+$E29&gt;Lists!C$22)*(Lists!$C$21:$O$21+$E29&lt;=Lists!C$21))))</f>
        <v>0</v>
      </c>
      <c r="K43" s="53" t="n">
        <f aca="false">IF(N($Z15)&gt;0,(N($Z15)&gt;Lists!D$22)*(N($Z15)&lt;=Lists!D$21)*SUM($J29:$V29)*$C29,IF(N($X15)&gt;0,$C29*((DATE(YEAR(Lists!D$21),MONTH(Lists!D$21),MIN($X15,DAY(EOMONTH(Lists!D$21,0))))&gt;Lists!D$23)*(DATE(YEAR(Lists!D$21),MONTH(Lists!D$21),MIN($X15,DAY(EOMONTH(Lists!D$21,0))))&lt;=Lists!D$21)*IFERROR(AVERAGEIFS($J29:$V29,Lists!$C$24:$O$24,(YEAR(Lists!D$21)*12+MONTH(Lists!D$21)-N($Y15))),AVERAGE($J29:$V29))*52/12+IF(MONTH((Lists!D$21-6))&lt;&gt;MONTH(Lists!D$21),(DATE(YEAR((Lists!D$21-6)),MONTH((Lists!D$21-6)),MIN($X15,DAY(EOMONTH((Lists!D$21-6),0))))&gt;Lists!D$23)*(DATE(YEAR((Lists!D$21-6)),MONTH((Lists!D$21-6)),MIN($X15,DAY(EOMONTH((Lists!D$21-6),0))))&lt;=Lists!D$21)*IFERROR(AVERAGEIFS($J29:$V29,Lists!$C$24:$O$24,(YEAR((Lists!D$21-6))*12+MONTH((Lists!D$21-6))-N($Y15))),AVERAGE($J29:$V29))*52/12,0)),K29*$C29*$D29+(1-$D29)*$C29*SUMPRODUCT($J29:$V29,(Lists!$C$21:$O$21+$E29&gt;Lists!D$22)*(Lists!$C$21:$O$21+$E29&lt;=Lists!D$21))))</f>
        <v>0</v>
      </c>
      <c r="L43" s="53" t="n">
        <f aca="false">IF(N($Z15)&gt;0,(N($Z15)&gt;Lists!E$22)*(N($Z15)&lt;=Lists!E$21)*SUM($J29:$V29)*$C29,IF(N($X15)&gt;0,$C29*((DATE(YEAR(Lists!E$21),MONTH(Lists!E$21),MIN($X15,DAY(EOMONTH(Lists!E$21,0))))&gt;Lists!E$23)*(DATE(YEAR(Lists!E$21),MONTH(Lists!E$21),MIN($X15,DAY(EOMONTH(Lists!E$21,0))))&lt;=Lists!E$21)*IFERROR(AVERAGEIFS($J29:$V29,Lists!$C$24:$O$24,(YEAR(Lists!E$21)*12+MONTH(Lists!E$21)-N($Y15))),AVERAGE($J29:$V29))*52/12+IF(MONTH((Lists!E$21-6))&lt;&gt;MONTH(Lists!E$21),(DATE(YEAR((Lists!E$21-6)),MONTH((Lists!E$21-6)),MIN($X15,DAY(EOMONTH((Lists!E$21-6),0))))&gt;Lists!E$23)*(DATE(YEAR((Lists!E$21-6)),MONTH((Lists!E$21-6)),MIN($X15,DAY(EOMONTH((Lists!E$21-6),0))))&lt;=Lists!E$21)*IFERROR(AVERAGEIFS($J29:$V29,Lists!$C$24:$O$24,(YEAR((Lists!E$21-6))*12+MONTH((Lists!E$21-6))-N($Y15))),AVERAGE($J29:$V29))*52/12,0)),L29*$C29*$D29+(1-$D29)*$C29*SUMPRODUCT($J29:$V29,(Lists!$C$21:$O$21+$E29&gt;Lists!E$22)*(Lists!$C$21:$O$21+$E29&lt;=Lists!E$21))))</f>
        <v>0</v>
      </c>
      <c r="M43" s="53" t="n">
        <f aca="false">IF(N($Z15)&gt;0,(N($Z15)&gt;Lists!F$22)*(N($Z15)&lt;=Lists!F$21)*SUM($J29:$V29)*$C29,IF(N($X15)&gt;0,$C29*((DATE(YEAR(Lists!F$21),MONTH(Lists!F$21),MIN($X15,DAY(EOMONTH(Lists!F$21,0))))&gt;Lists!F$23)*(DATE(YEAR(Lists!F$21),MONTH(Lists!F$21),MIN($X15,DAY(EOMONTH(Lists!F$21,0))))&lt;=Lists!F$21)*IFERROR(AVERAGEIFS($J29:$V29,Lists!$C$24:$O$24,(YEAR(Lists!F$21)*12+MONTH(Lists!F$21)-N($Y15))),AVERAGE($J29:$V29))*52/12+IF(MONTH((Lists!F$21-6))&lt;&gt;MONTH(Lists!F$21),(DATE(YEAR((Lists!F$21-6)),MONTH((Lists!F$21-6)),MIN($X15,DAY(EOMONTH((Lists!F$21-6),0))))&gt;Lists!F$23)*(DATE(YEAR((Lists!F$21-6)),MONTH((Lists!F$21-6)),MIN($X15,DAY(EOMONTH((Lists!F$21-6),0))))&lt;=Lists!F$21)*IFERROR(AVERAGEIFS($J29:$V29,Lists!$C$24:$O$24,(YEAR((Lists!F$21-6))*12+MONTH((Lists!F$21-6))-N($Y15))),AVERAGE($J29:$V29))*52/12,0)),M29*$C29*$D29+(1-$D29)*$C29*SUMPRODUCT($J29:$V29,(Lists!$C$21:$O$21+$E29&gt;Lists!F$22)*(Lists!$C$21:$O$21+$E29&lt;=Lists!F$21))))</f>
        <v>0</v>
      </c>
      <c r="N43" s="53" t="n">
        <f aca="false">IF(N($Z15)&gt;0,(N($Z15)&gt;Lists!G$22)*(N($Z15)&lt;=Lists!G$21)*SUM($J29:$V29)*$C29,IF(N($X15)&gt;0,$C29*((DATE(YEAR(Lists!G$21),MONTH(Lists!G$21),MIN($X15,DAY(EOMONTH(Lists!G$21,0))))&gt;Lists!G$23)*(DATE(YEAR(Lists!G$21),MONTH(Lists!G$21),MIN($X15,DAY(EOMONTH(Lists!G$21,0))))&lt;=Lists!G$21)*IFERROR(AVERAGEIFS($J29:$V29,Lists!$C$24:$O$24,(YEAR(Lists!G$21)*12+MONTH(Lists!G$21)-N($Y15))),AVERAGE($J29:$V29))*52/12+IF(MONTH((Lists!G$21-6))&lt;&gt;MONTH(Lists!G$21),(DATE(YEAR((Lists!G$21-6)),MONTH((Lists!G$21-6)),MIN($X15,DAY(EOMONTH((Lists!G$21-6),0))))&gt;Lists!G$23)*(DATE(YEAR((Lists!G$21-6)),MONTH((Lists!G$21-6)),MIN($X15,DAY(EOMONTH((Lists!G$21-6),0))))&lt;=Lists!G$21)*IFERROR(AVERAGEIFS($J29:$V29,Lists!$C$24:$O$24,(YEAR((Lists!G$21-6))*12+MONTH((Lists!G$21-6))-N($Y15))),AVERAGE($J29:$V29))*52/12,0)),N29*$C29*$D29+(1-$D29)*$C29*SUMPRODUCT($J29:$V29,(Lists!$C$21:$O$21+$E29&gt;Lists!G$22)*(Lists!$C$21:$O$21+$E29&lt;=Lists!G$21))))</f>
        <v>0</v>
      </c>
      <c r="O43" s="53" t="n">
        <f aca="false">IF(N($Z15)&gt;0,(N($Z15)&gt;Lists!H$22)*(N($Z15)&lt;=Lists!H$21)*SUM($J29:$V29)*$C29,IF(N($X15)&gt;0,$C29*((DATE(YEAR(Lists!H$21),MONTH(Lists!H$21),MIN($X15,DAY(EOMONTH(Lists!H$21,0))))&gt;Lists!H$23)*(DATE(YEAR(Lists!H$21),MONTH(Lists!H$21),MIN($X15,DAY(EOMONTH(Lists!H$21,0))))&lt;=Lists!H$21)*IFERROR(AVERAGEIFS($J29:$V29,Lists!$C$24:$O$24,(YEAR(Lists!H$21)*12+MONTH(Lists!H$21)-N($Y15))),AVERAGE($J29:$V29))*52/12+IF(MONTH((Lists!H$21-6))&lt;&gt;MONTH(Lists!H$21),(DATE(YEAR((Lists!H$21-6)),MONTH((Lists!H$21-6)),MIN($X15,DAY(EOMONTH((Lists!H$21-6),0))))&gt;Lists!H$23)*(DATE(YEAR((Lists!H$21-6)),MONTH((Lists!H$21-6)),MIN($X15,DAY(EOMONTH((Lists!H$21-6),0))))&lt;=Lists!H$21)*IFERROR(AVERAGEIFS($J29:$V29,Lists!$C$24:$O$24,(YEAR((Lists!H$21-6))*12+MONTH((Lists!H$21-6))-N($Y15))),AVERAGE($J29:$V29))*52/12,0)),O29*$C29*$D29+(1-$D29)*$C29*SUMPRODUCT($J29:$V29,(Lists!$C$21:$O$21+$E29&gt;Lists!H$22)*(Lists!$C$21:$O$21+$E29&lt;=Lists!H$21))))</f>
        <v>0</v>
      </c>
      <c r="P43" s="53" t="n">
        <f aca="false">IF(N($Z15)&gt;0,(N($Z15)&gt;Lists!I$22)*(N($Z15)&lt;=Lists!I$21)*SUM($J29:$V29)*$C29,IF(N($X15)&gt;0,$C29*((DATE(YEAR(Lists!I$21),MONTH(Lists!I$21),MIN($X15,DAY(EOMONTH(Lists!I$21,0))))&gt;Lists!I$23)*(DATE(YEAR(Lists!I$21),MONTH(Lists!I$21),MIN($X15,DAY(EOMONTH(Lists!I$21,0))))&lt;=Lists!I$21)*IFERROR(AVERAGEIFS($J29:$V29,Lists!$C$24:$O$24,(YEAR(Lists!I$21)*12+MONTH(Lists!I$21)-N($Y15))),AVERAGE($J29:$V29))*52/12+IF(MONTH((Lists!I$21-6))&lt;&gt;MONTH(Lists!I$21),(DATE(YEAR((Lists!I$21-6)),MONTH((Lists!I$21-6)),MIN($X15,DAY(EOMONTH((Lists!I$21-6),0))))&gt;Lists!I$23)*(DATE(YEAR((Lists!I$21-6)),MONTH((Lists!I$21-6)),MIN($X15,DAY(EOMONTH((Lists!I$21-6),0))))&lt;=Lists!I$21)*IFERROR(AVERAGEIFS($J29:$V29,Lists!$C$24:$O$24,(YEAR((Lists!I$21-6))*12+MONTH((Lists!I$21-6))-N($Y15))),AVERAGE($J29:$V29))*52/12,0)),P29*$C29*$D29+(1-$D29)*$C29*SUMPRODUCT($J29:$V29,(Lists!$C$21:$O$21+$E29&gt;Lists!I$22)*(Lists!$C$21:$O$21+$E29&lt;=Lists!I$21))))</f>
        <v>0</v>
      </c>
      <c r="Q43" s="53" t="n">
        <f aca="false">IF(N($Z15)&gt;0,(N($Z15)&gt;Lists!J$22)*(N($Z15)&lt;=Lists!J$21)*SUM($J29:$V29)*$C29,IF(N($X15)&gt;0,$C29*((DATE(YEAR(Lists!J$21),MONTH(Lists!J$21),MIN($X15,DAY(EOMONTH(Lists!J$21,0))))&gt;Lists!J$23)*(DATE(YEAR(Lists!J$21),MONTH(Lists!J$21),MIN($X15,DAY(EOMONTH(Lists!J$21,0))))&lt;=Lists!J$21)*IFERROR(AVERAGEIFS($J29:$V29,Lists!$C$24:$O$24,(YEAR(Lists!J$21)*12+MONTH(Lists!J$21)-N($Y15))),AVERAGE($J29:$V29))*52/12+IF(MONTH((Lists!J$21-6))&lt;&gt;MONTH(Lists!J$21),(DATE(YEAR((Lists!J$21-6)),MONTH((Lists!J$21-6)),MIN($X15,DAY(EOMONTH((Lists!J$21-6),0))))&gt;Lists!J$23)*(DATE(YEAR((Lists!J$21-6)),MONTH((Lists!J$21-6)),MIN($X15,DAY(EOMONTH((Lists!J$21-6),0))))&lt;=Lists!J$21)*IFERROR(AVERAGEIFS($J29:$V29,Lists!$C$24:$O$24,(YEAR((Lists!J$21-6))*12+MONTH((Lists!J$21-6))-N($Y15))),AVERAGE($J29:$V29))*52/12,0)),Q29*$C29*$D29+(1-$D29)*$C29*SUMPRODUCT($J29:$V29,(Lists!$C$21:$O$21+$E29&gt;Lists!J$22)*(Lists!$C$21:$O$21+$E29&lt;=Lists!J$21))))</f>
        <v>0</v>
      </c>
      <c r="R43" s="53" t="n">
        <f aca="false">IF(N($Z15)&gt;0,(N($Z15)&gt;Lists!K$22)*(N($Z15)&lt;=Lists!K$21)*SUM($J29:$V29)*$C29,IF(N($X15)&gt;0,$C29*((DATE(YEAR(Lists!K$21),MONTH(Lists!K$21),MIN($X15,DAY(EOMONTH(Lists!K$21,0))))&gt;Lists!K$23)*(DATE(YEAR(Lists!K$21),MONTH(Lists!K$21),MIN($X15,DAY(EOMONTH(Lists!K$21,0))))&lt;=Lists!K$21)*IFERROR(AVERAGEIFS($J29:$V29,Lists!$C$24:$O$24,(YEAR(Lists!K$21)*12+MONTH(Lists!K$21)-N($Y15))),AVERAGE($J29:$V29))*52/12+IF(MONTH((Lists!K$21-6))&lt;&gt;MONTH(Lists!K$21),(DATE(YEAR((Lists!K$21-6)),MONTH((Lists!K$21-6)),MIN($X15,DAY(EOMONTH((Lists!K$21-6),0))))&gt;Lists!K$23)*(DATE(YEAR((Lists!K$21-6)),MONTH((Lists!K$21-6)),MIN($X15,DAY(EOMONTH((Lists!K$21-6),0))))&lt;=Lists!K$21)*IFERROR(AVERAGEIFS($J29:$V29,Lists!$C$24:$O$24,(YEAR((Lists!K$21-6))*12+MONTH((Lists!K$21-6))-N($Y15))),AVERAGE($J29:$V29))*52/12,0)),R29*$C29*$D29+(1-$D29)*$C29*SUMPRODUCT($J29:$V29,(Lists!$C$21:$O$21+$E29&gt;Lists!K$22)*(Lists!$C$21:$O$21+$E29&lt;=Lists!K$21))))</f>
        <v>0</v>
      </c>
      <c r="S43" s="53" t="n">
        <f aca="false">IF(N($Z15)&gt;0,(N($Z15)&gt;Lists!L$22)*(N($Z15)&lt;=Lists!L$21)*SUM($J29:$V29)*$C29,IF(N($X15)&gt;0,$C29*((DATE(YEAR(Lists!L$21),MONTH(Lists!L$21),MIN($X15,DAY(EOMONTH(Lists!L$21,0))))&gt;Lists!L$23)*(DATE(YEAR(Lists!L$21),MONTH(Lists!L$21),MIN($X15,DAY(EOMONTH(Lists!L$21,0))))&lt;=Lists!L$21)*IFERROR(AVERAGEIFS($J29:$V29,Lists!$C$24:$O$24,(YEAR(Lists!L$21)*12+MONTH(Lists!L$21)-N($Y15))),AVERAGE($J29:$V29))*52/12+IF(MONTH((Lists!L$21-6))&lt;&gt;MONTH(Lists!L$21),(DATE(YEAR((Lists!L$21-6)),MONTH((Lists!L$21-6)),MIN($X15,DAY(EOMONTH((Lists!L$21-6),0))))&gt;Lists!L$23)*(DATE(YEAR((Lists!L$21-6)),MONTH((Lists!L$21-6)),MIN($X15,DAY(EOMONTH((Lists!L$21-6),0))))&lt;=Lists!L$21)*IFERROR(AVERAGEIFS($J29:$V29,Lists!$C$24:$O$24,(YEAR((Lists!L$21-6))*12+MONTH((Lists!L$21-6))-N($Y15))),AVERAGE($J29:$V29))*52/12,0)),S29*$C29*$D29+(1-$D29)*$C29*SUMPRODUCT($J29:$V29,(Lists!$C$21:$O$21+$E29&gt;Lists!L$22)*(Lists!$C$21:$O$21+$E29&lt;=Lists!L$21))))</f>
        <v>0</v>
      </c>
      <c r="T43" s="53" t="n">
        <f aca="false">IF(N($Z15)&gt;0,(N($Z15)&gt;Lists!M$22)*(N($Z15)&lt;=Lists!M$21)*SUM($J29:$V29)*$C29,IF(N($X15)&gt;0,$C29*((DATE(YEAR(Lists!M$21),MONTH(Lists!M$21),MIN($X15,DAY(EOMONTH(Lists!M$21,0))))&gt;Lists!M$23)*(DATE(YEAR(Lists!M$21),MONTH(Lists!M$21),MIN($X15,DAY(EOMONTH(Lists!M$21,0))))&lt;=Lists!M$21)*IFERROR(AVERAGEIFS($J29:$V29,Lists!$C$24:$O$24,(YEAR(Lists!M$21)*12+MONTH(Lists!M$21)-N($Y15))),AVERAGE($J29:$V29))*52/12+IF(MONTH((Lists!M$21-6))&lt;&gt;MONTH(Lists!M$21),(DATE(YEAR((Lists!M$21-6)),MONTH((Lists!M$21-6)),MIN($X15,DAY(EOMONTH((Lists!M$21-6),0))))&gt;Lists!M$23)*(DATE(YEAR((Lists!M$21-6)),MONTH((Lists!M$21-6)),MIN($X15,DAY(EOMONTH((Lists!M$21-6),0))))&lt;=Lists!M$21)*IFERROR(AVERAGEIFS($J29:$V29,Lists!$C$24:$O$24,(YEAR((Lists!M$21-6))*12+MONTH((Lists!M$21-6))-N($Y15))),AVERAGE($J29:$V29))*52/12,0)),T29*$C29*$D29+(1-$D29)*$C29*SUMPRODUCT($J29:$V29,(Lists!$C$21:$O$21+$E29&gt;Lists!M$22)*(Lists!$C$21:$O$21+$E29&lt;=Lists!M$21))))</f>
        <v>0</v>
      </c>
      <c r="U43" s="53" t="n">
        <f aca="false">IF(N($Z15)&gt;0,(N($Z15)&gt;Lists!N$22)*(N($Z15)&lt;=Lists!N$21)*SUM($J29:$V29)*$C29,IF(N($X15)&gt;0,$C29*((DATE(YEAR(Lists!N$21),MONTH(Lists!N$21),MIN($X15,DAY(EOMONTH(Lists!N$21,0))))&gt;Lists!N$23)*(DATE(YEAR(Lists!N$21),MONTH(Lists!N$21),MIN($X15,DAY(EOMONTH(Lists!N$21,0))))&lt;=Lists!N$21)*IFERROR(AVERAGEIFS($J29:$V29,Lists!$C$24:$O$24,(YEAR(Lists!N$21)*12+MONTH(Lists!N$21)-N($Y15))),AVERAGE($J29:$V29))*52/12+IF(MONTH((Lists!N$21-6))&lt;&gt;MONTH(Lists!N$21),(DATE(YEAR((Lists!N$21-6)),MONTH((Lists!N$21-6)),MIN($X15,DAY(EOMONTH((Lists!N$21-6),0))))&gt;Lists!N$23)*(DATE(YEAR((Lists!N$21-6)),MONTH((Lists!N$21-6)),MIN($X15,DAY(EOMONTH((Lists!N$21-6),0))))&lt;=Lists!N$21)*IFERROR(AVERAGEIFS($J29:$V29,Lists!$C$24:$O$24,(YEAR((Lists!N$21-6))*12+MONTH((Lists!N$21-6))-N($Y15))),AVERAGE($J29:$V29))*52/12,0)),U29*$C29*$D29+(1-$D29)*$C29*SUMPRODUCT($J29:$V29,(Lists!$C$21:$O$21+$E29&gt;Lists!N$22)*(Lists!$C$21:$O$21+$E29&lt;=Lists!N$21))))</f>
        <v>0</v>
      </c>
      <c r="V43" s="53" t="n">
        <f aca="false">IF(N($Z15)&gt;0,(N($Z15)&gt;Lists!O$22)*(N($Z15)&lt;=Lists!O$21)*SUM($J29:$V29)*$C29,IF(N($X15)&gt;0,$C29*((DATE(YEAR(Lists!O$21),MONTH(Lists!O$21),MIN($X15,DAY(EOMONTH(Lists!O$21,0))))&gt;Lists!O$23)*(DATE(YEAR(Lists!O$21),MONTH(Lists!O$21),MIN($X15,DAY(EOMONTH(Lists!O$21,0))))&lt;=Lists!O$21)*IFERROR(AVERAGEIFS($J29:$V29,Lists!$C$24:$O$24,(YEAR(Lists!O$21)*12+MONTH(Lists!O$21)-N($Y15))),AVERAGE($J29:$V29))*52/12+IF(MONTH((Lists!O$21-6))&lt;&gt;MONTH(Lists!O$21),(DATE(YEAR((Lists!O$21-6)),MONTH((Lists!O$21-6)),MIN($X15,DAY(EOMONTH((Lists!O$21-6),0))))&gt;Lists!O$23)*(DATE(YEAR((Lists!O$21-6)),MONTH((Lists!O$21-6)),MIN($X15,DAY(EOMONTH((Lists!O$21-6),0))))&lt;=Lists!O$21)*IFERROR(AVERAGEIFS($J29:$V29,Lists!$C$24:$O$24,(YEAR((Lists!O$21-6))*12+MONTH((Lists!O$21-6))-N($Y15))),AVERAGE($J29:$V29))*52/12,0)),V29*$C29*$D29+(1-$D29)*$C29*SUMPRODUCT($J29:$V29,(Lists!$C$21:$O$21+$E29&gt;Lists!O$22)*(Lists!$C$21:$O$21+$E29&lt;=Lists!O$21))))</f>
        <v>0</v>
      </c>
      <c r="W43" s="46" t="n">
        <f aca="false">SUM(J43:V43)</f>
        <v>0</v>
      </c>
      <c r="X43" s="92" t="n">
        <f aca="false">W29*C29-W43</f>
        <v>0</v>
      </c>
      <c r="Y43" s="2"/>
      <c r="Z43" s="2"/>
    </row>
    <row r="44" customFormat="false" ht="15" hidden="false" customHeight="false" outlineLevel="0" collapsed="false">
      <c r="A44" s="2"/>
      <c r="B44" s="9" t="str">
        <f aca="false">B30</f>
        <v/>
      </c>
      <c r="C44" s="2"/>
      <c r="D44" s="2"/>
      <c r="E44" s="2"/>
      <c r="F44" s="2"/>
      <c r="G44" s="2"/>
      <c r="H44" s="2"/>
      <c r="I44" s="2"/>
      <c r="J44" s="53" t="n">
        <f aca="false">IF(N($Z16)&gt;0,(N($Z16)&gt;Lists!C$22)*(N($Z16)&lt;=Lists!C$21)*SUM($J30:$V30)*$C30,IF(N($X16)&gt;0,$C30*((DATE(YEAR(Lists!C$21),MONTH(Lists!C$21),MIN($X16,DAY(EOMONTH(Lists!C$21,0))))&gt;Lists!C$23)*(DATE(YEAR(Lists!C$21),MONTH(Lists!C$21),MIN($X16,DAY(EOMONTH(Lists!C$21,0))))&lt;=Lists!C$21)*IFERROR(AVERAGEIFS($J30:$V30,Lists!$C$24:$O$24,(YEAR(Lists!C$21)*12+MONTH(Lists!C$21)-N($Y16))),AVERAGE($J30:$V30))*52/12+IF(MONTH((Lists!C$21-6))&lt;&gt;MONTH(Lists!C$21),(DATE(YEAR((Lists!C$21-6)),MONTH((Lists!C$21-6)),MIN($X16,DAY(EOMONTH((Lists!C$21-6),0))))&gt;Lists!C$23)*(DATE(YEAR((Lists!C$21-6)),MONTH((Lists!C$21-6)),MIN($X16,DAY(EOMONTH((Lists!C$21-6),0))))&lt;=Lists!C$21)*IFERROR(AVERAGEIFS($J30:$V30,Lists!$C$24:$O$24,(YEAR((Lists!C$21-6))*12+MONTH((Lists!C$21-6))-N($Y16))),AVERAGE($J30:$V30))*52/12,0)),J30*$C30*$D30+(1-$D30)*$C30*SUMPRODUCT($J30:$V30,(Lists!$C$21:$O$21+$E30&gt;Lists!C$22)*(Lists!$C$21:$O$21+$E30&lt;=Lists!C$21))))</f>
        <v>0</v>
      </c>
      <c r="K44" s="53" t="n">
        <f aca="false">IF(N($Z16)&gt;0,(N($Z16)&gt;Lists!D$22)*(N($Z16)&lt;=Lists!D$21)*SUM($J30:$V30)*$C30,IF(N($X16)&gt;0,$C30*((DATE(YEAR(Lists!D$21),MONTH(Lists!D$21),MIN($X16,DAY(EOMONTH(Lists!D$21,0))))&gt;Lists!D$23)*(DATE(YEAR(Lists!D$21),MONTH(Lists!D$21),MIN($X16,DAY(EOMONTH(Lists!D$21,0))))&lt;=Lists!D$21)*IFERROR(AVERAGEIFS($J30:$V30,Lists!$C$24:$O$24,(YEAR(Lists!D$21)*12+MONTH(Lists!D$21)-N($Y16))),AVERAGE($J30:$V30))*52/12+IF(MONTH((Lists!D$21-6))&lt;&gt;MONTH(Lists!D$21),(DATE(YEAR((Lists!D$21-6)),MONTH((Lists!D$21-6)),MIN($X16,DAY(EOMONTH((Lists!D$21-6),0))))&gt;Lists!D$23)*(DATE(YEAR((Lists!D$21-6)),MONTH((Lists!D$21-6)),MIN($X16,DAY(EOMONTH((Lists!D$21-6),0))))&lt;=Lists!D$21)*IFERROR(AVERAGEIFS($J30:$V30,Lists!$C$24:$O$24,(YEAR((Lists!D$21-6))*12+MONTH((Lists!D$21-6))-N($Y16))),AVERAGE($J30:$V30))*52/12,0)),K30*$C30*$D30+(1-$D30)*$C30*SUMPRODUCT($J30:$V30,(Lists!$C$21:$O$21+$E30&gt;Lists!D$22)*(Lists!$C$21:$O$21+$E30&lt;=Lists!D$21))))</f>
        <v>0</v>
      </c>
      <c r="L44" s="53" t="n">
        <f aca="false">IF(N($Z16)&gt;0,(N($Z16)&gt;Lists!E$22)*(N($Z16)&lt;=Lists!E$21)*SUM($J30:$V30)*$C30,IF(N($X16)&gt;0,$C30*((DATE(YEAR(Lists!E$21),MONTH(Lists!E$21),MIN($X16,DAY(EOMONTH(Lists!E$21,0))))&gt;Lists!E$23)*(DATE(YEAR(Lists!E$21),MONTH(Lists!E$21),MIN($X16,DAY(EOMONTH(Lists!E$21,0))))&lt;=Lists!E$21)*IFERROR(AVERAGEIFS($J30:$V30,Lists!$C$24:$O$24,(YEAR(Lists!E$21)*12+MONTH(Lists!E$21)-N($Y16))),AVERAGE($J30:$V30))*52/12+IF(MONTH((Lists!E$21-6))&lt;&gt;MONTH(Lists!E$21),(DATE(YEAR((Lists!E$21-6)),MONTH((Lists!E$21-6)),MIN($X16,DAY(EOMONTH((Lists!E$21-6),0))))&gt;Lists!E$23)*(DATE(YEAR((Lists!E$21-6)),MONTH((Lists!E$21-6)),MIN($X16,DAY(EOMONTH((Lists!E$21-6),0))))&lt;=Lists!E$21)*IFERROR(AVERAGEIFS($J30:$V30,Lists!$C$24:$O$24,(YEAR((Lists!E$21-6))*12+MONTH((Lists!E$21-6))-N($Y16))),AVERAGE($J30:$V30))*52/12,0)),L30*$C30*$D30+(1-$D30)*$C30*SUMPRODUCT($J30:$V30,(Lists!$C$21:$O$21+$E30&gt;Lists!E$22)*(Lists!$C$21:$O$21+$E30&lt;=Lists!E$21))))</f>
        <v>0</v>
      </c>
      <c r="M44" s="53" t="n">
        <f aca="false">IF(N($Z16)&gt;0,(N($Z16)&gt;Lists!F$22)*(N($Z16)&lt;=Lists!F$21)*SUM($J30:$V30)*$C30,IF(N($X16)&gt;0,$C30*((DATE(YEAR(Lists!F$21),MONTH(Lists!F$21),MIN($X16,DAY(EOMONTH(Lists!F$21,0))))&gt;Lists!F$23)*(DATE(YEAR(Lists!F$21),MONTH(Lists!F$21),MIN($X16,DAY(EOMONTH(Lists!F$21,0))))&lt;=Lists!F$21)*IFERROR(AVERAGEIFS($J30:$V30,Lists!$C$24:$O$24,(YEAR(Lists!F$21)*12+MONTH(Lists!F$21)-N($Y16))),AVERAGE($J30:$V30))*52/12+IF(MONTH((Lists!F$21-6))&lt;&gt;MONTH(Lists!F$21),(DATE(YEAR((Lists!F$21-6)),MONTH((Lists!F$21-6)),MIN($X16,DAY(EOMONTH((Lists!F$21-6),0))))&gt;Lists!F$23)*(DATE(YEAR((Lists!F$21-6)),MONTH((Lists!F$21-6)),MIN($X16,DAY(EOMONTH((Lists!F$21-6),0))))&lt;=Lists!F$21)*IFERROR(AVERAGEIFS($J30:$V30,Lists!$C$24:$O$24,(YEAR((Lists!F$21-6))*12+MONTH((Lists!F$21-6))-N($Y16))),AVERAGE($J30:$V30))*52/12,0)),M30*$C30*$D30+(1-$D30)*$C30*SUMPRODUCT($J30:$V30,(Lists!$C$21:$O$21+$E30&gt;Lists!F$22)*(Lists!$C$21:$O$21+$E30&lt;=Lists!F$21))))</f>
        <v>0</v>
      </c>
      <c r="N44" s="53" t="n">
        <f aca="false">IF(N($Z16)&gt;0,(N($Z16)&gt;Lists!G$22)*(N($Z16)&lt;=Lists!G$21)*SUM($J30:$V30)*$C30,IF(N($X16)&gt;0,$C30*((DATE(YEAR(Lists!G$21),MONTH(Lists!G$21),MIN($X16,DAY(EOMONTH(Lists!G$21,0))))&gt;Lists!G$23)*(DATE(YEAR(Lists!G$21),MONTH(Lists!G$21),MIN($X16,DAY(EOMONTH(Lists!G$21,0))))&lt;=Lists!G$21)*IFERROR(AVERAGEIFS($J30:$V30,Lists!$C$24:$O$24,(YEAR(Lists!G$21)*12+MONTH(Lists!G$21)-N($Y16))),AVERAGE($J30:$V30))*52/12+IF(MONTH((Lists!G$21-6))&lt;&gt;MONTH(Lists!G$21),(DATE(YEAR((Lists!G$21-6)),MONTH((Lists!G$21-6)),MIN($X16,DAY(EOMONTH((Lists!G$21-6),0))))&gt;Lists!G$23)*(DATE(YEAR((Lists!G$21-6)),MONTH((Lists!G$21-6)),MIN($X16,DAY(EOMONTH((Lists!G$21-6),0))))&lt;=Lists!G$21)*IFERROR(AVERAGEIFS($J30:$V30,Lists!$C$24:$O$24,(YEAR((Lists!G$21-6))*12+MONTH((Lists!G$21-6))-N($Y16))),AVERAGE($J30:$V30))*52/12,0)),N30*$C30*$D30+(1-$D30)*$C30*SUMPRODUCT($J30:$V30,(Lists!$C$21:$O$21+$E30&gt;Lists!G$22)*(Lists!$C$21:$O$21+$E30&lt;=Lists!G$21))))</f>
        <v>0</v>
      </c>
      <c r="O44" s="53" t="n">
        <f aca="false">IF(N($Z16)&gt;0,(N($Z16)&gt;Lists!H$22)*(N($Z16)&lt;=Lists!H$21)*SUM($J30:$V30)*$C30,IF(N($X16)&gt;0,$C30*((DATE(YEAR(Lists!H$21),MONTH(Lists!H$21),MIN($X16,DAY(EOMONTH(Lists!H$21,0))))&gt;Lists!H$23)*(DATE(YEAR(Lists!H$21),MONTH(Lists!H$21),MIN($X16,DAY(EOMONTH(Lists!H$21,0))))&lt;=Lists!H$21)*IFERROR(AVERAGEIFS($J30:$V30,Lists!$C$24:$O$24,(YEAR(Lists!H$21)*12+MONTH(Lists!H$21)-N($Y16))),AVERAGE($J30:$V30))*52/12+IF(MONTH((Lists!H$21-6))&lt;&gt;MONTH(Lists!H$21),(DATE(YEAR((Lists!H$21-6)),MONTH((Lists!H$21-6)),MIN($X16,DAY(EOMONTH((Lists!H$21-6),0))))&gt;Lists!H$23)*(DATE(YEAR((Lists!H$21-6)),MONTH((Lists!H$21-6)),MIN($X16,DAY(EOMONTH((Lists!H$21-6),0))))&lt;=Lists!H$21)*IFERROR(AVERAGEIFS($J30:$V30,Lists!$C$24:$O$24,(YEAR((Lists!H$21-6))*12+MONTH((Lists!H$21-6))-N($Y16))),AVERAGE($J30:$V30))*52/12,0)),O30*$C30*$D30+(1-$D30)*$C30*SUMPRODUCT($J30:$V30,(Lists!$C$21:$O$21+$E30&gt;Lists!H$22)*(Lists!$C$21:$O$21+$E30&lt;=Lists!H$21))))</f>
        <v>0</v>
      </c>
      <c r="P44" s="53" t="n">
        <f aca="false">IF(N($Z16)&gt;0,(N($Z16)&gt;Lists!I$22)*(N($Z16)&lt;=Lists!I$21)*SUM($J30:$V30)*$C30,IF(N($X16)&gt;0,$C30*((DATE(YEAR(Lists!I$21),MONTH(Lists!I$21),MIN($X16,DAY(EOMONTH(Lists!I$21,0))))&gt;Lists!I$23)*(DATE(YEAR(Lists!I$21),MONTH(Lists!I$21),MIN($X16,DAY(EOMONTH(Lists!I$21,0))))&lt;=Lists!I$21)*IFERROR(AVERAGEIFS($J30:$V30,Lists!$C$24:$O$24,(YEAR(Lists!I$21)*12+MONTH(Lists!I$21)-N($Y16))),AVERAGE($J30:$V30))*52/12+IF(MONTH((Lists!I$21-6))&lt;&gt;MONTH(Lists!I$21),(DATE(YEAR((Lists!I$21-6)),MONTH((Lists!I$21-6)),MIN($X16,DAY(EOMONTH((Lists!I$21-6),0))))&gt;Lists!I$23)*(DATE(YEAR((Lists!I$21-6)),MONTH((Lists!I$21-6)),MIN($X16,DAY(EOMONTH((Lists!I$21-6),0))))&lt;=Lists!I$21)*IFERROR(AVERAGEIFS($J30:$V30,Lists!$C$24:$O$24,(YEAR((Lists!I$21-6))*12+MONTH((Lists!I$21-6))-N($Y16))),AVERAGE($J30:$V30))*52/12,0)),P30*$C30*$D30+(1-$D30)*$C30*SUMPRODUCT($J30:$V30,(Lists!$C$21:$O$21+$E30&gt;Lists!I$22)*(Lists!$C$21:$O$21+$E30&lt;=Lists!I$21))))</f>
        <v>0</v>
      </c>
      <c r="Q44" s="53" t="n">
        <f aca="false">IF(N($Z16)&gt;0,(N($Z16)&gt;Lists!J$22)*(N($Z16)&lt;=Lists!J$21)*SUM($J30:$V30)*$C30,IF(N($X16)&gt;0,$C30*((DATE(YEAR(Lists!J$21),MONTH(Lists!J$21),MIN($X16,DAY(EOMONTH(Lists!J$21,0))))&gt;Lists!J$23)*(DATE(YEAR(Lists!J$21),MONTH(Lists!J$21),MIN($X16,DAY(EOMONTH(Lists!J$21,0))))&lt;=Lists!J$21)*IFERROR(AVERAGEIFS($J30:$V30,Lists!$C$24:$O$24,(YEAR(Lists!J$21)*12+MONTH(Lists!J$21)-N($Y16))),AVERAGE($J30:$V30))*52/12+IF(MONTH((Lists!J$21-6))&lt;&gt;MONTH(Lists!J$21),(DATE(YEAR((Lists!J$21-6)),MONTH((Lists!J$21-6)),MIN($X16,DAY(EOMONTH((Lists!J$21-6),0))))&gt;Lists!J$23)*(DATE(YEAR((Lists!J$21-6)),MONTH((Lists!J$21-6)),MIN($X16,DAY(EOMONTH((Lists!J$21-6),0))))&lt;=Lists!J$21)*IFERROR(AVERAGEIFS($J30:$V30,Lists!$C$24:$O$24,(YEAR((Lists!J$21-6))*12+MONTH((Lists!J$21-6))-N($Y16))),AVERAGE($J30:$V30))*52/12,0)),Q30*$C30*$D30+(1-$D30)*$C30*SUMPRODUCT($J30:$V30,(Lists!$C$21:$O$21+$E30&gt;Lists!J$22)*(Lists!$C$21:$O$21+$E30&lt;=Lists!J$21))))</f>
        <v>0</v>
      </c>
      <c r="R44" s="53" t="n">
        <f aca="false">IF(N($Z16)&gt;0,(N($Z16)&gt;Lists!K$22)*(N($Z16)&lt;=Lists!K$21)*SUM($J30:$V30)*$C30,IF(N($X16)&gt;0,$C30*((DATE(YEAR(Lists!K$21),MONTH(Lists!K$21),MIN($X16,DAY(EOMONTH(Lists!K$21,0))))&gt;Lists!K$23)*(DATE(YEAR(Lists!K$21),MONTH(Lists!K$21),MIN($X16,DAY(EOMONTH(Lists!K$21,0))))&lt;=Lists!K$21)*IFERROR(AVERAGEIFS($J30:$V30,Lists!$C$24:$O$24,(YEAR(Lists!K$21)*12+MONTH(Lists!K$21)-N($Y16))),AVERAGE($J30:$V30))*52/12+IF(MONTH((Lists!K$21-6))&lt;&gt;MONTH(Lists!K$21),(DATE(YEAR((Lists!K$21-6)),MONTH((Lists!K$21-6)),MIN($X16,DAY(EOMONTH((Lists!K$21-6),0))))&gt;Lists!K$23)*(DATE(YEAR((Lists!K$21-6)),MONTH((Lists!K$21-6)),MIN($X16,DAY(EOMONTH((Lists!K$21-6),0))))&lt;=Lists!K$21)*IFERROR(AVERAGEIFS($J30:$V30,Lists!$C$24:$O$24,(YEAR((Lists!K$21-6))*12+MONTH((Lists!K$21-6))-N($Y16))),AVERAGE($J30:$V30))*52/12,0)),R30*$C30*$D30+(1-$D30)*$C30*SUMPRODUCT($J30:$V30,(Lists!$C$21:$O$21+$E30&gt;Lists!K$22)*(Lists!$C$21:$O$21+$E30&lt;=Lists!K$21))))</f>
        <v>0</v>
      </c>
      <c r="S44" s="53" t="n">
        <f aca="false">IF(N($Z16)&gt;0,(N($Z16)&gt;Lists!L$22)*(N($Z16)&lt;=Lists!L$21)*SUM($J30:$V30)*$C30,IF(N($X16)&gt;0,$C30*((DATE(YEAR(Lists!L$21),MONTH(Lists!L$21),MIN($X16,DAY(EOMONTH(Lists!L$21,0))))&gt;Lists!L$23)*(DATE(YEAR(Lists!L$21),MONTH(Lists!L$21),MIN($X16,DAY(EOMONTH(Lists!L$21,0))))&lt;=Lists!L$21)*IFERROR(AVERAGEIFS($J30:$V30,Lists!$C$24:$O$24,(YEAR(Lists!L$21)*12+MONTH(Lists!L$21)-N($Y16))),AVERAGE($J30:$V30))*52/12+IF(MONTH((Lists!L$21-6))&lt;&gt;MONTH(Lists!L$21),(DATE(YEAR((Lists!L$21-6)),MONTH((Lists!L$21-6)),MIN($X16,DAY(EOMONTH((Lists!L$21-6),0))))&gt;Lists!L$23)*(DATE(YEAR((Lists!L$21-6)),MONTH((Lists!L$21-6)),MIN($X16,DAY(EOMONTH((Lists!L$21-6),0))))&lt;=Lists!L$21)*IFERROR(AVERAGEIFS($J30:$V30,Lists!$C$24:$O$24,(YEAR((Lists!L$21-6))*12+MONTH((Lists!L$21-6))-N($Y16))),AVERAGE($J30:$V30))*52/12,0)),S30*$C30*$D30+(1-$D30)*$C30*SUMPRODUCT($J30:$V30,(Lists!$C$21:$O$21+$E30&gt;Lists!L$22)*(Lists!$C$21:$O$21+$E30&lt;=Lists!L$21))))</f>
        <v>0</v>
      </c>
      <c r="T44" s="53" t="n">
        <f aca="false">IF(N($Z16)&gt;0,(N($Z16)&gt;Lists!M$22)*(N($Z16)&lt;=Lists!M$21)*SUM($J30:$V30)*$C30,IF(N($X16)&gt;0,$C30*((DATE(YEAR(Lists!M$21),MONTH(Lists!M$21),MIN($X16,DAY(EOMONTH(Lists!M$21,0))))&gt;Lists!M$23)*(DATE(YEAR(Lists!M$21),MONTH(Lists!M$21),MIN($X16,DAY(EOMONTH(Lists!M$21,0))))&lt;=Lists!M$21)*IFERROR(AVERAGEIFS($J30:$V30,Lists!$C$24:$O$24,(YEAR(Lists!M$21)*12+MONTH(Lists!M$21)-N($Y16))),AVERAGE($J30:$V30))*52/12+IF(MONTH((Lists!M$21-6))&lt;&gt;MONTH(Lists!M$21),(DATE(YEAR((Lists!M$21-6)),MONTH((Lists!M$21-6)),MIN($X16,DAY(EOMONTH((Lists!M$21-6),0))))&gt;Lists!M$23)*(DATE(YEAR((Lists!M$21-6)),MONTH((Lists!M$21-6)),MIN($X16,DAY(EOMONTH((Lists!M$21-6),0))))&lt;=Lists!M$21)*IFERROR(AVERAGEIFS($J30:$V30,Lists!$C$24:$O$24,(YEAR((Lists!M$21-6))*12+MONTH((Lists!M$21-6))-N($Y16))),AVERAGE($J30:$V30))*52/12,0)),T30*$C30*$D30+(1-$D30)*$C30*SUMPRODUCT($J30:$V30,(Lists!$C$21:$O$21+$E30&gt;Lists!M$22)*(Lists!$C$21:$O$21+$E30&lt;=Lists!M$21))))</f>
        <v>0</v>
      </c>
      <c r="U44" s="53" t="n">
        <f aca="false">IF(N($Z16)&gt;0,(N($Z16)&gt;Lists!N$22)*(N($Z16)&lt;=Lists!N$21)*SUM($J30:$V30)*$C30,IF(N($X16)&gt;0,$C30*((DATE(YEAR(Lists!N$21),MONTH(Lists!N$21),MIN($X16,DAY(EOMONTH(Lists!N$21,0))))&gt;Lists!N$23)*(DATE(YEAR(Lists!N$21),MONTH(Lists!N$21),MIN($X16,DAY(EOMONTH(Lists!N$21,0))))&lt;=Lists!N$21)*IFERROR(AVERAGEIFS($J30:$V30,Lists!$C$24:$O$24,(YEAR(Lists!N$21)*12+MONTH(Lists!N$21)-N($Y16))),AVERAGE($J30:$V30))*52/12+IF(MONTH((Lists!N$21-6))&lt;&gt;MONTH(Lists!N$21),(DATE(YEAR((Lists!N$21-6)),MONTH((Lists!N$21-6)),MIN($X16,DAY(EOMONTH((Lists!N$21-6),0))))&gt;Lists!N$23)*(DATE(YEAR((Lists!N$21-6)),MONTH((Lists!N$21-6)),MIN($X16,DAY(EOMONTH((Lists!N$21-6),0))))&lt;=Lists!N$21)*IFERROR(AVERAGEIFS($J30:$V30,Lists!$C$24:$O$24,(YEAR((Lists!N$21-6))*12+MONTH((Lists!N$21-6))-N($Y16))),AVERAGE($J30:$V30))*52/12,0)),U30*$C30*$D30+(1-$D30)*$C30*SUMPRODUCT($J30:$V30,(Lists!$C$21:$O$21+$E30&gt;Lists!N$22)*(Lists!$C$21:$O$21+$E30&lt;=Lists!N$21))))</f>
        <v>0</v>
      </c>
      <c r="V44" s="53" t="n">
        <f aca="false">IF(N($Z16)&gt;0,(N($Z16)&gt;Lists!O$22)*(N($Z16)&lt;=Lists!O$21)*SUM($J30:$V30)*$C30,IF(N($X16)&gt;0,$C30*((DATE(YEAR(Lists!O$21),MONTH(Lists!O$21),MIN($X16,DAY(EOMONTH(Lists!O$21,0))))&gt;Lists!O$23)*(DATE(YEAR(Lists!O$21),MONTH(Lists!O$21),MIN($X16,DAY(EOMONTH(Lists!O$21,0))))&lt;=Lists!O$21)*IFERROR(AVERAGEIFS($J30:$V30,Lists!$C$24:$O$24,(YEAR(Lists!O$21)*12+MONTH(Lists!O$21)-N($Y16))),AVERAGE($J30:$V30))*52/12+IF(MONTH((Lists!O$21-6))&lt;&gt;MONTH(Lists!O$21),(DATE(YEAR((Lists!O$21-6)),MONTH((Lists!O$21-6)),MIN($X16,DAY(EOMONTH((Lists!O$21-6),0))))&gt;Lists!O$23)*(DATE(YEAR((Lists!O$21-6)),MONTH((Lists!O$21-6)),MIN($X16,DAY(EOMONTH((Lists!O$21-6),0))))&lt;=Lists!O$21)*IFERROR(AVERAGEIFS($J30:$V30,Lists!$C$24:$O$24,(YEAR((Lists!O$21-6))*12+MONTH((Lists!O$21-6))-N($Y16))),AVERAGE($J30:$V30))*52/12,0)),V30*$C30*$D30+(1-$D30)*$C30*SUMPRODUCT($J30:$V30,(Lists!$C$21:$O$21+$E30&gt;Lists!O$22)*(Lists!$C$21:$O$21+$E30&lt;=Lists!O$21))))</f>
        <v>0</v>
      </c>
      <c r="W44" s="46" t="n">
        <f aca="false">SUM(J44:V44)</f>
        <v>0</v>
      </c>
      <c r="X44" s="92" t="n">
        <f aca="false">W30*C30-W44</f>
        <v>0</v>
      </c>
      <c r="Y44" s="2"/>
      <c r="Z44" s="2"/>
    </row>
    <row r="45" customFormat="false" ht="15" hidden="false" customHeight="false" outlineLevel="0" collapsed="false">
      <c r="A45" s="2"/>
      <c r="B45" s="9" t="str">
        <f aca="false">B31</f>
        <v/>
      </c>
      <c r="C45" s="2"/>
      <c r="D45" s="2"/>
      <c r="E45" s="2"/>
      <c r="F45" s="2"/>
      <c r="G45" s="2"/>
      <c r="H45" s="2"/>
      <c r="I45" s="2"/>
      <c r="J45" s="53" t="n">
        <f aca="false">IF(N($Z17)&gt;0,(N($Z17)&gt;Lists!C$22)*(N($Z17)&lt;=Lists!C$21)*SUM($J31:$V31)*$C31,IF(N($X17)&gt;0,$C31*((DATE(YEAR(Lists!C$21),MONTH(Lists!C$21),MIN($X17,DAY(EOMONTH(Lists!C$21,0))))&gt;Lists!C$23)*(DATE(YEAR(Lists!C$21),MONTH(Lists!C$21),MIN($X17,DAY(EOMONTH(Lists!C$21,0))))&lt;=Lists!C$21)*IFERROR(AVERAGEIFS($J31:$V31,Lists!$C$24:$O$24,(YEAR(Lists!C$21)*12+MONTH(Lists!C$21)-N($Y17))),AVERAGE($J31:$V31))*52/12+IF(MONTH((Lists!C$21-6))&lt;&gt;MONTH(Lists!C$21),(DATE(YEAR((Lists!C$21-6)),MONTH((Lists!C$21-6)),MIN($X17,DAY(EOMONTH((Lists!C$21-6),0))))&gt;Lists!C$23)*(DATE(YEAR((Lists!C$21-6)),MONTH((Lists!C$21-6)),MIN($X17,DAY(EOMONTH((Lists!C$21-6),0))))&lt;=Lists!C$21)*IFERROR(AVERAGEIFS($J31:$V31,Lists!$C$24:$O$24,(YEAR((Lists!C$21-6))*12+MONTH((Lists!C$21-6))-N($Y17))),AVERAGE($J31:$V31))*52/12,0)),J31*$C31*$D31+(1-$D31)*$C31*SUMPRODUCT($J31:$V31,(Lists!$C$21:$O$21+$E31&gt;Lists!C$22)*(Lists!$C$21:$O$21+$E31&lt;=Lists!C$21))))</f>
        <v>0</v>
      </c>
      <c r="K45" s="53" t="n">
        <f aca="false">IF(N($Z17)&gt;0,(N($Z17)&gt;Lists!D$22)*(N($Z17)&lt;=Lists!D$21)*SUM($J31:$V31)*$C31,IF(N($X17)&gt;0,$C31*((DATE(YEAR(Lists!D$21),MONTH(Lists!D$21),MIN($X17,DAY(EOMONTH(Lists!D$21,0))))&gt;Lists!D$23)*(DATE(YEAR(Lists!D$21),MONTH(Lists!D$21),MIN($X17,DAY(EOMONTH(Lists!D$21,0))))&lt;=Lists!D$21)*IFERROR(AVERAGEIFS($J31:$V31,Lists!$C$24:$O$24,(YEAR(Lists!D$21)*12+MONTH(Lists!D$21)-N($Y17))),AVERAGE($J31:$V31))*52/12+IF(MONTH((Lists!D$21-6))&lt;&gt;MONTH(Lists!D$21),(DATE(YEAR((Lists!D$21-6)),MONTH((Lists!D$21-6)),MIN($X17,DAY(EOMONTH((Lists!D$21-6),0))))&gt;Lists!D$23)*(DATE(YEAR((Lists!D$21-6)),MONTH((Lists!D$21-6)),MIN($X17,DAY(EOMONTH((Lists!D$21-6),0))))&lt;=Lists!D$21)*IFERROR(AVERAGEIFS($J31:$V31,Lists!$C$24:$O$24,(YEAR((Lists!D$21-6))*12+MONTH((Lists!D$21-6))-N($Y17))),AVERAGE($J31:$V31))*52/12,0)),K31*$C31*$D31+(1-$D31)*$C31*SUMPRODUCT($J31:$V31,(Lists!$C$21:$O$21+$E31&gt;Lists!D$22)*(Lists!$C$21:$O$21+$E31&lt;=Lists!D$21))))</f>
        <v>0</v>
      </c>
      <c r="L45" s="53" t="n">
        <f aca="false">IF(N($Z17)&gt;0,(N($Z17)&gt;Lists!E$22)*(N($Z17)&lt;=Lists!E$21)*SUM($J31:$V31)*$C31,IF(N($X17)&gt;0,$C31*((DATE(YEAR(Lists!E$21),MONTH(Lists!E$21),MIN($X17,DAY(EOMONTH(Lists!E$21,0))))&gt;Lists!E$23)*(DATE(YEAR(Lists!E$21),MONTH(Lists!E$21),MIN($X17,DAY(EOMONTH(Lists!E$21,0))))&lt;=Lists!E$21)*IFERROR(AVERAGEIFS($J31:$V31,Lists!$C$24:$O$24,(YEAR(Lists!E$21)*12+MONTH(Lists!E$21)-N($Y17))),AVERAGE($J31:$V31))*52/12+IF(MONTH((Lists!E$21-6))&lt;&gt;MONTH(Lists!E$21),(DATE(YEAR((Lists!E$21-6)),MONTH((Lists!E$21-6)),MIN($X17,DAY(EOMONTH((Lists!E$21-6),0))))&gt;Lists!E$23)*(DATE(YEAR((Lists!E$21-6)),MONTH((Lists!E$21-6)),MIN($X17,DAY(EOMONTH((Lists!E$21-6),0))))&lt;=Lists!E$21)*IFERROR(AVERAGEIFS($J31:$V31,Lists!$C$24:$O$24,(YEAR((Lists!E$21-6))*12+MONTH((Lists!E$21-6))-N($Y17))),AVERAGE($J31:$V31))*52/12,0)),L31*$C31*$D31+(1-$D31)*$C31*SUMPRODUCT($J31:$V31,(Lists!$C$21:$O$21+$E31&gt;Lists!E$22)*(Lists!$C$21:$O$21+$E31&lt;=Lists!E$21))))</f>
        <v>0</v>
      </c>
      <c r="M45" s="53" t="n">
        <f aca="false">IF(N($Z17)&gt;0,(N($Z17)&gt;Lists!F$22)*(N($Z17)&lt;=Lists!F$21)*SUM($J31:$V31)*$C31,IF(N($X17)&gt;0,$C31*((DATE(YEAR(Lists!F$21),MONTH(Lists!F$21),MIN($X17,DAY(EOMONTH(Lists!F$21,0))))&gt;Lists!F$23)*(DATE(YEAR(Lists!F$21),MONTH(Lists!F$21),MIN($X17,DAY(EOMONTH(Lists!F$21,0))))&lt;=Lists!F$21)*IFERROR(AVERAGEIFS($J31:$V31,Lists!$C$24:$O$24,(YEAR(Lists!F$21)*12+MONTH(Lists!F$21)-N($Y17))),AVERAGE($J31:$V31))*52/12+IF(MONTH((Lists!F$21-6))&lt;&gt;MONTH(Lists!F$21),(DATE(YEAR((Lists!F$21-6)),MONTH((Lists!F$21-6)),MIN($X17,DAY(EOMONTH((Lists!F$21-6),0))))&gt;Lists!F$23)*(DATE(YEAR((Lists!F$21-6)),MONTH((Lists!F$21-6)),MIN($X17,DAY(EOMONTH((Lists!F$21-6),0))))&lt;=Lists!F$21)*IFERROR(AVERAGEIFS($J31:$V31,Lists!$C$24:$O$24,(YEAR((Lists!F$21-6))*12+MONTH((Lists!F$21-6))-N($Y17))),AVERAGE($J31:$V31))*52/12,0)),M31*$C31*$D31+(1-$D31)*$C31*SUMPRODUCT($J31:$V31,(Lists!$C$21:$O$21+$E31&gt;Lists!F$22)*(Lists!$C$21:$O$21+$E31&lt;=Lists!F$21))))</f>
        <v>0</v>
      </c>
      <c r="N45" s="53" t="n">
        <f aca="false">IF(N($Z17)&gt;0,(N($Z17)&gt;Lists!G$22)*(N($Z17)&lt;=Lists!G$21)*SUM($J31:$V31)*$C31,IF(N($X17)&gt;0,$C31*((DATE(YEAR(Lists!G$21),MONTH(Lists!G$21),MIN($X17,DAY(EOMONTH(Lists!G$21,0))))&gt;Lists!G$23)*(DATE(YEAR(Lists!G$21),MONTH(Lists!G$21),MIN($X17,DAY(EOMONTH(Lists!G$21,0))))&lt;=Lists!G$21)*IFERROR(AVERAGEIFS($J31:$V31,Lists!$C$24:$O$24,(YEAR(Lists!G$21)*12+MONTH(Lists!G$21)-N($Y17))),AVERAGE($J31:$V31))*52/12+IF(MONTH((Lists!G$21-6))&lt;&gt;MONTH(Lists!G$21),(DATE(YEAR((Lists!G$21-6)),MONTH((Lists!G$21-6)),MIN($X17,DAY(EOMONTH((Lists!G$21-6),0))))&gt;Lists!G$23)*(DATE(YEAR((Lists!G$21-6)),MONTH((Lists!G$21-6)),MIN($X17,DAY(EOMONTH((Lists!G$21-6),0))))&lt;=Lists!G$21)*IFERROR(AVERAGEIFS($J31:$V31,Lists!$C$24:$O$24,(YEAR((Lists!G$21-6))*12+MONTH((Lists!G$21-6))-N($Y17))),AVERAGE($J31:$V31))*52/12,0)),N31*$C31*$D31+(1-$D31)*$C31*SUMPRODUCT($J31:$V31,(Lists!$C$21:$O$21+$E31&gt;Lists!G$22)*(Lists!$C$21:$O$21+$E31&lt;=Lists!G$21))))</f>
        <v>0</v>
      </c>
      <c r="O45" s="53" t="n">
        <f aca="false">IF(N($Z17)&gt;0,(N($Z17)&gt;Lists!H$22)*(N($Z17)&lt;=Lists!H$21)*SUM($J31:$V31)*$C31,IF(N($X17)&gt;0,$C31*((DATE(YEAR(Lists!H$21),MONTH(Lists!H$21),MIN($X17,DAY(EOMONTH(Lists!H$21,0))))&gt;Lists!H$23)*(DATE(YEAR(Lists!H$21),MONTH(Lists!H$21),MIN($X17,DAY(EOMONTH(Lists!H$21,0))))&lt;=Lists!H$21)*IFERROR(AVERAGEIFS($J31:$V31,Lists!$C$24:$O$24,(YEAR(Lists!H$21)*12+MONTH(Lists!H$21)-N($Y17))),AVERAGE($J31:$V31))*52/12+IF(MONTH((Lists!H$21-6))&lt;&gt;MONTH(Lists!H$21),(DATE(YEAR((Lists!H$21-6)),MONTH((Lists!H$21-6)),MIN($X17,DAY(EOMONTH((Lists!H$21-6),0))))&gt;Lists!H$23)*(DATE(YEAR((Lists!H$21-6)),MONTH((Lists!H$21-6)),MIN($X17,DAY(EOMONTH((Lists!H$21-6),0))))&lt;=Lists!H$21)*IFERROR(AVERAGEIFS($J31:$V31,Lists!$C$24:$O$24,(YEAR((Lists!H$21-6))*12+MONTH((Lists!H$21-6))-N($Y17))),AVERAGE($J31:$V31))*52/12,0)),O31*$C31*$D31+(1-$D31)*$C31*SUMPRODUCT($J31:$V31,(Lists!$C$21:$O$21+$E31&gt;Lists!H$22)*(Lists!$C$21:$O$21+$E31&lt;=Lists!H$21))))</f>
        <v>0</v>
      </c>
      <c r="P45" s="53" t="n">
        <f aca="false">IF(N($Z17)&gt;0,(N($Z17)&gt;Lists!I$22)*(N($Z17)&lt;=Lists!I$21)*SUM($J31:$V31)*$C31,IF(N($X17)&gt;0,$C31*((DATE(YEAR(Lists!I$21),MONTH(Lists!I$21),MIN($X17,DAY(EOMONTH(Lists!I$21,0))))&gt;Lists!I$23)*(DATE(YEAR(Lists!I$21),MONTH(Lists!I$21),MIN($X17,DAY(EOMONTH(Lists!I$21,0))))&lt;=Lists!I$21)*IFERROR(AVERAGEIFS($J31:$V31,Lists!$C$24:$O$24,(YEAR(Lists!I$21)*12+MONTH(Lists!I$21)-N($Y17))),AVERAGE($J31:$V31))*52/12+IF(MONTH((Lists!I$21-6))&lt;&gt;MONTH(Lists!I$21),(DATE(YEAR((Lists!I$21-6)),MONTH((Lists!I$21-6)),MIN($X17,DAY(EOMONTH((Lists!I$21-6),0))))&gt;Lists!I$23)*(DATE(YEAR((Lists!I$21-6)),MONTH((Lists!I$21-6)),MIN($X17,DAY(EOMONTH((Lists!I$21-6),0))))&lt;=Lists!I$21)*IFERROR(AVERAGEIFS($J31:$V31,Lists!$C$24:$O$24,(YEAR((Lists!I$21-6))*12+MONTH((Lists!I$21-6))-N($Y17))),AVERAGE($J31:$V31))*52/12,0)),P31*$C31*$D31+(1-$D31)*$C31*SUMPRODUCT($J31:$V31,(Lists!$C$21:$O$21+$E31&gt;Lists!I$22)*(Lists!$C$21:$O$21+$E31&lt;=Lists!I$21))))</f>
        <v>0</v>
      </c>
      <c r="Q45" s="53" t="n">
        <f aca="false">IF(N($Z17)&gt;0,(N($Z17)&gt;Lists!J$22)*(N($Z17)&lt;=Lists!J$21)*SUM($J31:$V31)*$C31,IF(N($X17)&gt;0,$C31*((DATE(YEAR(Lists!J$21),MONTH(Lists!J$21),MIN($X17,DAY(EOMONTH(Lists!J$21,0))))&gt;Lists!J$23)*(DATE(YEAR(Lists!J$21),MONTH(Lists!J$21),MIN($X17,DAY(EOMONTH(Lists!J$21,0))))&lt;=Lists!J$21)*IFERROR(AVERAGEIFS($J31:$V31,Lists!$C$24:$O$24,(YEAR(Lists!J$21)*12+MONTH(Lists!J$21)-N($Y17))),AVERAGE($J31:$V31))*52/12+IF(MONTH((Lists!J$21-6))&lt;&gt;MONTH(Lists!J$21),(DATE(YEAR((Lists!J$21-6)),MONTH((Lists!J$21-6)),MIN($X17,DAY(EOMONTH((Lists!J$21-6),0))))&gt;Lists!J$23)*(DATE(YEAR((Lists!J$21-6)),MONTH((Lists!J$21-6)),MIN($X17,DAY(EOMONTH((Lists!J$21-6),0))))&lt;=Lists!J$21)*IFERROR(AVERAGEIFS($J31:$V31,Lists!$C$24:$O$24,(YEAR((Lists!J$21-6))*12+MONTH((Lists!J$21-6))-N($Y17))),AVERAGE($J31:$V31))*52/12,0)),Q31*$C31*$D31+(1-$D31)*$C31*SUMPRODUCT($J31:$V31,(Lists!$C$21:$O$21+$E31&gt;Lists!J$22)*(Lists!$C$21:$O$21+$E31&lt;=Lists!J$21))))</f>
        <v>0</v>
      </c>
      <c r="R45" s="53" t="n">
        <f aca="false">IF(N($Z17)&gt;0,(N($Z17)&gt;Lists!K$22)*(N($Z17)&lt;=Lists!K$21)*SUM($J31:$V31)*$C31,IF(N($X17)&gt;0,$C31*((DATE(YEAR(Lists!K$21),MONTH(Lists!K$21),MIN($X17,DAY(EOMONTH(Lists!K$21,0))))&gt;Lists!K$23)*(DATE(YEAR(Lists!K$21),MONTH(Lists!K$21),MIN($X17,DAY(EOMONTH(Lists!K$21,0))))&lt;=Lists!K$21)*IFERROR(AVERAGEIFS($J31:$V31,Lists!$C$24:$O$24,(YEAR(Lists!K$21)*12+MONTH(Lists!K$21)-N($Y17))),AVERAGE($J31:$V31))*52/12+IF(MONTH((Lists!K$21-6))&lt;&gt;MONTH(Lists!K$21),(DATE(YEAR((Lists!K$21-6)),MONTH((Lists!K$21-6)),MIN($X17,DAY(EOMONTH((Lists!K$21-6),0))))&gt;Lists!K$23)*(DATE(YEAR((Lists!K$21-6)),MONTH((Lists!K$21-6)),MIN($X17,DAY(EOMONTH((Lists!K$21-6),0))))&lt;=Lists!K$21)*IFERROR(AVERAGEIFS($J31:$V31,Lists!$C$24:$O$24,(YEAR((Lists!K$21-6))*12+MONTH((Lists!K$21-6))-N($Y17))),AVERAGE($J31:$V31))*52/12,0)),R31*$C31*$D31+(1-$D31)*$C31*SUMPRODUCT($J31:$V31,(Lists!$C$21:$O$21+$E31&gt;Lists!K$22)*(Lists!$C$21:$O$21+$E31&lt;=Lists!K$21))))</f>
        <v>0</v>
      </c>
      <c r="S45" s="53" t="n">
        <f aca="false">IF(N($Z17)&gt;0,(N($Z17)&gt;Lists!L$22)*(N($Z17)&lt;=Lists!L$21)*SUM($J31:$V31)*$C31,IF(N($X17)&gt;0,$C31*((DATE(YEAR(Lists!L$21),MONTH(Lists!L$21),MIN($X17,DAY(EOMONTH(Lists!L$21,0))))&gt;Lists!L$23)*(DATE(YEAR(Lists!L$21),MONTH(Lists!L$21),MIN($X17,DAY(EOMONTH(Lists!L$21,0))))&lt;=Lists!L$21)*IFERROR(AVERAGEIFS($J31:$V31,Lists!$C$24:$O$24,(YEAR(Lists!L$21)*12+MONTH(Lists!L$21)-N($Y17))),AVERAGE($J31:$V31))*52/12+IF(MONTH((Lists!L$21-6))&lt;&gt;MONTH(Lists!L$21),(DATE(YEAR((Lists!L$21-6)),MONTH((Lists!L$21-6)),MIN($X17,DAY(EOMONTH((Lists!L$21-6),0))))&gt;Lists!L$23)*(DATE(YEAR((Lists!L$21-6)),MONTH((Lists!L$21-6)),MIN($X17,DAY(EOMONTH((Lists!L$21-6),0))))&lt;=Lists!L$21)*IFERROR(AVERAGEIFS($J31:$V31,Lists!$C$24:$O$24,(YEAR((Lists!L$21-6))*12+MONTH((Lists!L$21-6))-N($Y17))),AVERAGE($J31:$V31))*52/12,0)),S31*$C31*$D31+(1-$D31)*$C31*SUMPRODUCT($J31:$V31,(Lists!$C$21:$O$21+$E31&gt;Lists!L$22)*(Lists!$C$21:$O$21+$E31&lt;=Lists!L$21))))</f>
        <v>0</v>
      </c>
      <c r="T45" s="53" t="n">
        <f aca="false">IF(N($Z17)&gt;0,(N($Z17)&gt;Lists!M$22)*(N($Z17)&lt;=Lists!M$21)*SUM($J31:$V31)*$C31,IF(N($X17)&gt;0,$C31*((DATE(YEAR(Lists!M$21),MONTH(Lists!M$21),MIN($X17,DAY(EOMONTH(Lists!M$21,0))))&gt;Lists!M$23)*(DATE(YEAR(Lists!M$21),MONTH(Lists!M$21),MIN($X17,DAY(EOMONTH(Lists!M$21,0))))&lt;=Lists!M$21)*IFERROR(AVERAGEIFS($J31:$V31,Lists!$C$24:$O$24,(YEAR(Lists!M$21)*12+MONTH(Lists!M$21)-N($Y17))),AVERAGE($J31:$V31))*52/12+IF(MONTH((Lists!M$21-6))&lt;&gt;MONTH(Lists!M$21),(DATE(YEAR((Lists!M$21-6)),MONTH((Lists!M$21-6)),MIN($X17,DAY(EOMONTH((Lists!M$21-6),0))))&gt;Lists!M$23)*(DATE(YEAR((Lists!M$21-6)),MONTH((Lists!M$21-6)),MIN($X17,DAY(EOMONTH((Lists!M$21-6),0))))&lt;=Lists!M$21)*IFERROR(AVERAGEIFS($J31:$V31,Lists!$C$24:$O$24,(YEAR((Lists!M$21-6))*12+MONTH((Lists!M$21-6))-N($Y17))),AVERAGE($J31:$V31))*52/12,0)),T31*$C31*$D31+(1-$D31)*$C31*SUMPRODUCT($J31:$V31,(Lists!$C$21:$O$21+$E31&gt;Lists!M$22)*(Lists!$C$21:$O$21+$E31&lt;=Lists!M$21))))</f>
        <v>0</v>
      </c>
      <c r="U45" s="53" t="n">
        <f aca="false">IF(N($Z17)&gt;0,(N($Z17)&gt;Lists!N$22)*(N($Z17)&lt;=Lists!N$21)*SUM($J31:$V31)*$C31,IF(N($X17)&gt;0,$C31*((DATE(YEAR(Lists!N$21),MONTH(Lists!N$21),MIN($X17,DAY(EOMONTH(Lists!N$21,0))))&gt;Lists!N$23)*(DATE(YEAR(Lists!N$21),MONTH(Lists!N$21),MIN($X17,DAY(EOMONTH(Lists!N$21,0))))&lt;=Lists!N$21)*IFERROR(AVERAGEIFS($J31:$V31,Lists!$C$24:$O$24,(YEAR(Lists!N$21)*12+MONTH(Lists!N$21)-N($Y17))),AVERAGE($J31:$V31))*52/12+IF(MONTH((Lists!N$21-6))&lt;&gt;MONTH(Lists!N$21),(DATE(YEAR((Lists!N$21-6)),MONTH((Lists!N$21-6)),MIN($X17,DAY(EOMONTH((Lists!N$21-6),0))))&gt;Lists!N$23)*(DATE(YEAR((Lists!N$21-6)),MONTH((Lists!N$21-6)),MIN($X17,DAY(EOMONTH((Lists!N$21-6),0))))&lt;=Lists!N$21)*IFERROR(AVERAGEIFS($J31:$V31,Lists!$C$24:$O$24,(YEAR((Lists!N$21-6))*12+MONTH((Lists!N$21-6))-N($Y17))),AVERAGE($J31:$V31))*52/12,0)),U31*$C31*$D31+(1-$D31)*$C31*SUMPRODUCT($J31:$V31,(Lists!$C$21:$O$21+$E31&gt;Lists!N$22)*(Lists!$C$21:$O$21+$E31&lt;=Lists!N$21))))</f>
        <v>0</v>
      </c>
      <c r="V45" s="53" t="n">
        <f aca="false">IF(N($Z17)&gt;0,(N($Z17)&gt;Lists!O$22)*(N($Z17)&lt;=Lists!O$21)*SUM($J31:$V31)*$C31,IF(N($X17)&gt;0,$C31*((DATE(YEAR(Lists!O$21),MONTH(Lists!O$21),MIN($X17,DAY(EOMONTH(Lists!O$21,0))))&gt;Lists!O$23)*(DATE(YEAR(Lists!O$21),MONTH(Lists!O$21),MIN($X17,DAY(EOMONTH(Lists!O$21,0))))&lt;=Lists!O$21)*IFERROR(AVERAGEIFS($J31:$V31,Lists!$C$24:$O$24,(YEAR(Lists!O$21)*12+MONTH(Lists!O$21)-N($Y17))),AVERAGE($J31:$V31))*52/12+IF(MONTH((Lists!O$21-6))&lt;&gt;MONTH(Lists!O$21),(DATE(YEAR((Lists!O$21-6)),MONTH((Lists!O$21-6)),MIN($X17,DAY(EOMONTH((Lists!O$21-6),0))))&gt;Lists!O$23)*(DATE(YEAR((Lists!O$21-6)),MONTH((Lists!O$21-6)),MIN($X17,DAY(EOMONTH((Lists!O$21-6),0))))&lt;=Lists!O$21)*IFERROR(AVERAGEIFS($J31:$V31,Lists!$C$24:$O$24,(YEAR((Lists!O$21-6))*12+MONTH((Lists!O$21-6))-N($Y17))),AVERAGE($J31:$V31))*52/12,0)),V31*$C31*$D31+(1-$D31)*$C31*SUMPRODUCT($J31:$V31,(Lists!$C$21:$O$21+$E31&gt;Lists!O$22)*(Lists!$C$21:$O$21+$E31&lt;=Lists!O$21))))</f>
        <v>0</v>
      </c>
      <c r="W45" s="46" t="n">
        <f aca="false">SUM(J45:V45)</f>
        <v>0</v>
      </c>
      <c r="X45" s="92" t="n">
        <f aca="false">W31*C31-W45</f>
        <v>0</v>
      </c>
      <c r="Y45" s="2"/>
      <c r="Z45" s="2"/>
    </row>
    <row r="46" customFormat="false" ht="15" hidden="false" customHeight="false" outlineLevel="0" collapsed="false">
      <c r="A46" s="2"/>
      <c r="B46" s="9" t="str">
        <f aca="false">B32</f>
        <v/>
      </c>
      <c r="C46" s="2"/>
      <c r="D46" s="2"/>
      <c r="E46" s="2"/>
      <c r="F46" s="2"/>
      <c r="G46" s="2"/>
      <c r="H46" s="2"/>
      <c r="I46" s="2"/>
      <c r="J46" s="53" t="n">
        <f aca="false">IF(N($Z18)&gt;0,(N($Z18)&gt;Lists!C$22)*(N($Z18)&lt;=Lists!C$21)*SUM($J32:$V32)*$C32,IF(N($X18)&gt;0,$C32*((DATE(YEAR(Lists!C$21),MONTH(Lists!C$21),MIN($X18,DAY(EOMONTH(Lists!C$21,0))))&gt;Lists!C$23)*(DATE(YEAR(Lists!C$21),MONTH(Lists!C$21),MIN($X18,DAY(EOMONTH(Lists!C$21,0))))&lt;=Lists!C$21)*IFERROR(AVERAGEIFS($J32:$V32,Lists!$C$24:$O$24,(YEAR(Lists!C$21)*12+MONTH(Lists!C$21)-N($Y18))),AVERAGE($J32:$V32))*52/12+IF(MONTH((Lists!C$21-6))&lt;&gt;MONTH(Lists!C$21),(DATE(YEAR((Lists!C$21-6)),MONTH((Lists!C$21-6)),MIN($X18,DAY(EOMONTH((Lists!C$21-6),0))))&gt;Lists!C$23)*(DATE(YEAR((Lists!C$21-6)),MONTH((Lists!C$21-6)),MIN($X18,DAY(EOMONTH((Lists!C$21-6),0))))&lt;=Lists!C$21)*IFERROR(AVERAGEIFS($J32:$V32,Lists!$C$24:$O$24,(YEAR((Lists!C$21-6))*12+MONTH((Lists!C$21-6))-N($Y18))),AVERAGE($J32:$V32))*52/12,0)),J32*$C32*$D32+(1-$D32)*$C32*SUMPRODUCT($J32:$V32,(Lists!$C$21:$O$21+$E32&gt;Lists!C$22)*(Lists!$C$21:$O$21+$E32&lt;=Lists!C$21))))</f>
        <v>0</v>
      </c>
      <c r="K46" s="53" t="n">
        <f aca="false">IF(N($Z18)&gt;0,(N($Z18)&gt;Lists!D$22)*(N($Z18)&lt;=Lists!D$21)*SUM($J32:$V32)*$C32,IF(N($X18)&gt;0,$C32*((DATE(YEAR(Lists!D$21),MONTH(Lists!D$21),MIN($X18,DAY(EOMONTH(Lists!D$21,0))))&gt;Lists!D$23)*(DATE(YEAR(Lists!D$21),MONTH(Lists!D$21),MIN($X18,DAY(EOMONTH(Lists!D$21,0))))&lt;=Lists!D$21)*IFERROR(AVERAGEIFS($J32:$V32,Lists!$C$24:$O$24,(YEAR(Lists!D$21)*12+MONTH(Lists!D$21)-N($Y18))),AVERAGE($J32:$V32))*52/12+IF(MONTH((Lists!D$21-6))&lt;&gt;MONTH(Lists!D$21),(DATE(YEAR((Lists!D$21-6)),MONTH((Lists!D$21-6)),MIN($X18,DAY(EOMONTH((Lists!D$21-6),0))))&gt;Lists!D$23)*(DATE(YEAR((Lists!D$21-6)),MONTH((Lists!D$21-6)),MIN($X18,DAY(EOMONTH((Lists!D$21-6),0))))&lt;=Lists!D$21)*IFERROR(AVERAGEIFS($J32:$V32,Lists!$C$24:$O$24,(YEAR((Lists!D$21-6))*12+MONTH((Lists!D$21-6))-N($Y18))),AVERAGE($J32:$V32))*52/12,0)),K32*$C32*$D32+(1-$D32)*$C32*SUMPRODUCT($J32:$V32,(Lists!$C$21:$O$21+$E32&gt;Lists!D$22)*(Lists!$C$21:$O$21+$E32&lt;=Lists!D$21))))</f>
        <v>0</v>
      </c>
      <c r="L46" s="53" t="n">
        <f aca="false">IF(N($Z18)&gt;0,(N($Z18)&gt;Lists!E$22)*(N($Z18)&lt;=Lists!E$21)*SUM($J32:$V32)*$C32,IF(N($X18)&gt;0,$C32*((DATE(YEAR(Lists!E$21),MONTH(Lists!E$21),MIN($X18,DAY(EOMONTH(Lists!E$21,0))))&gt;Lists!E$23)*(DATE(YEAR(Lists!E$21),MONTH(Lists!E$21),MIN($X18,DAY(EOMONTH(Lists!E$21,0))))&lt;=Lists!E$21)*IFERROR(AVERAGEIFS($J32:$V32,Lists!$C$24:$O$24,(YEAR(Lists!E$21)*12+MONTH(Lists!E$21)-N($Y18))),AVERAGE($J32:$V32))*52/12+IF(MONTH((Lists!E$21-6))&lt;&gt;MONTH(Lists!E$21),(DATE(YEAR((Lists!E$21-6)),MONTH((Lists!E$21-6)),MIN($X18,DAY(EOMONTH((Lists!E$21-6),0))))&gt;Lists!E$23)*(DATE(YEAR((Lists!E$21-6)),MONTH((Lists!E$21-6)),MIN($X18,DAY(EOMONTH((Lists!E$21-6),0))))&lt;=Lists!E$21)*IFERROR(AVERAGEIFS($J32:$V32,Lists!$C$24:$O$24,(YEAR((Lists!E$21-6))*12+MONTH((Lists!E$21-6))-N($Y18))),AVERAGE($J32:$V32))*52/12,0)),L32*$C32*$D32+(1-$D32)*$C32*SUMPRODUCT($J32:$V32,(Lists!$C$21:$O$21+$E32&gt;Lists!E$22)*(Lists!$C$21:$O$21+$E32&lt;=Lists!E$21))))</f>
        <v>0</v>
      </c>
      <c r="M46" s="53" t="n">
        <f aca="false">IF(N($Z18)&gt;0,(N($Z18)&gt;Lists!F$22)*(N($Z18)&lt;=Lists!F$21)*SUM($J32:$V32)*$C32,IF(N($X18)&gt;0,$C32*((DATE(YEAR(Lists!F$21),MONTH(Lists!F$21),MIN($X18,DAY(EOMONTH(Lists!F$21,0))))&gt;Lists!F$23)*(DATE(YEAR(Lists!F$21),MONTH(Lists!F$21),MIN($X18,DAY(EOMONTH(Lists!F$21,0))))&lt;=Lists!F$21)*IFERROR(AVERAGEIFS($J32:$V32,Lists!$C$24:$O$24,(YEAR(Lists!F$21)*12+MONTH(Lists!F$21)-N($Y18))),AVERAGE($J32:$V32))*52/12+IF(MONTH((Lists!F$21-6))&lt;&gt;MONTH(Lists!F$21),(DATE(YEAR((Lists!F$21-6)),MONTH((Lists!F$21-6)),MIN($X18,DAY(EOMONTH((Lists!F$21-6),0))))&gt;Lists!F$23)*(DATE(YEAR((Lists!F$21-6)),MONTH((Lists!F$21-6)),MIN($X18,DAY(EOMONTH((Lists!F$21-6),0))))&lt;=Lists!F$21)*IFERROR(AVERAGEIFS($J32:$V32,Lists!$C$24:$O$24,(YEAR((Lists!F$21-6))*12+MONTH((Lists!F$21-6))-N($Y18))),AVERAGE($J32:$V32))*52/12,0)),M32*$C32*$D32+(1-$D32)*$C32*SUMPRODUCT($J32:$V32,(Lists!$C$21:$O$21+$E32&gt;Lists!F$22)*(Lists!$C$21:$O$21+$E32&lt;=Lists!F$21))))</f>
        <v>0</v>
      </c>
      <c r="N46" s="53" t="n">
        <f aca="false">IF(N($Z18)&gt;0,(N($Z18)&gt;Lists!G$22)*(N($Z18)&lt;=Lists!G$21)*SUM($J32:$V32)*$C32,IF(N($X18)&gt;0,$C32*((DATE(YEAR(Lists!G$21),MONTH(Lists!G$21),MIN($X18,DAY(EOMONTH(Lists!G$21,0))))&gt;Lists!G$23)*(DATE(YEAR(Lists!G$21),MONTH(Lists!G$21),MIN($X18,DAY(EOMONTH(Lists!G$21,0))))&lt;=Lists!G$21)*IFERROR(AVERAGEIFS($J32:$V32,Lists!$C$24:$O$24,(YEAR(Lists!G$21)*12+MONTH(Lists!G$21)-N($Y18))),AVERAGE($J32:$V32))*52/12+IF(MONTH((Lists!G$21-6))&lt;&gt;MONTH(Lists!G$21),(DATE(YEAR((Lists!G$21-6)),MONTH((Lists!G$21-6)),MIN($X18,DAY(EOMONTH((Lists!G$21-6),0))))&gt;Lists!G$23)*(DATE(YEAR((Lists!G$21-6)),MONTH((Lists!G$21-6)),MIN($X18,DAY(EOMONTH((Lists!G$21-6),0))))&lt;=Lists!G$21)*IFERROR(AVERAGEIFS($J32:$V32,Lists!$C$24:$O$24,(YEAR((Lists!G$21-6))*12+MONTH((Lists!G$21-6))-N($Y18))),AVERAGE($J32:$V32))*52/12,0)),N32*$C32*$D32+(1-$D32)*$C32*SUMPRODUCT($J32:$V32,(Lists!$C$21:$O$21+$E32&gt;Lists!G$22)*(Lists!$C$21:$O$21+$E32&lt;=Lists!G$21))))</f>
        <v>0</v>
      </c>
      <c r="O46" s="53" t="n">
        <f aca="false">IF(N($Z18)&gt;0,(N($Z18)&gt;Lists!H$22)*(N($Z18)&lt;=Lists!H$21)*SUM($J32:$V32)*$C32,IF(N($X18)&gt;0,$C32*((DATE(YEAR(Lists!H$21),MONTH(Lists!H$21),MIN($X18,DAY(EOMONTH(Lists!H$21,0))))&gt;Lists!H$23)*(DATE(YEAR(Lists!H$21),MONTH(Lists!H$21),MIN($X18,DAY(EOMONTH(Lists!H$21,0))))&lt;=Lists!H$21)*IFERROR(AVERAGEIFS($J32:$V32,Lists!$C$24:$O$24,(YEAR(Lists!H$21)*12+MONTH(Lists!H$21)-N($Y18))),AVERAGE($J32:$V32))*52/12+IF(MONTH((Lists!H$21-6))&lt;&gt;MONTH(Lists!H$21),(DATE(YEAR((Lists!H$21-6)),MONTH((Lists!H$21-6)),MIN($X18,DAY(EOMONTH((Lists!H$21-6),0))))&gt;Lists!H$23)*(DATE(YEAR((Lists!H$21-6)),MONTH((Lists!H$21-6)),MIN($X18,DAY(EOMONTH((Lists!H$21-6),0))))&lt;=Lists!H$21)*IFERROR(AVERAGEIFS($J32:$V32,Lists!$C$24:$O$24,(YEAR((Lists!H$21-6))*12+MONTH((Lists!H$21-6))-N($Y18))),AVERAGE($J32:$V32))*52/12,0)),O32*$C32*$D32+(1-$D32)*$C32*SUMPRODUCT($J32:$V32,(Lists!$C$21:$O$21+$E32&gt;Lists!H$22)*(Lists!$C$21:$O$21+$E32&lt;=Lists!H$21))))</f>
        <v>0</v>
      </c>
      <c r="P46" s="53" t="n">
        <f aca="false">IF(N($Z18)&gt;0,(N($Z18)&gt;Lists!I$22)*(N($Z18)&lt;=Lists!I$21)*SUM($J32:$V32)*$C32,IF(N($X18)&gt;0,$C32*((DATE(YEAR(Lists!I$21),MONTH(Lists!I$21),MIN($X18,DAY(EOMONTH(Lists!I$21,0))))&gt;Lists!I$23)*(DATE(YEAR(Lists!I$21),MONTH(Lists!I$21),MIN($X18,DAY(EOMONTH(Lists!I$21,0))))&lt;=Lists!I$21)*IFERROR(AVERAGEIFS($J32:$V32,Lists!$C$24:$O$24,(YEAR(Lists!I$21)*12+MONTH(Lists!I$21)-N($Y18))),AVERAGE($J32:$V32))*52/12+IF(MONTH((Lists!I$21-6))&lt;&gt;MONTH(Lists!I$21),(DATE(YEAR((Lists!I$21-6)),MONTH((Lists!I$21-6)),MIN($X18,DAY(EOMONTH((Lists!I$21-6),0))))&gt;Lists!I$23)*(DATE(YEAR((Lists!I$21-6)),MONTH((Lists!I$21-6)),MIN($X18,DAY(EOMONTH((Lists!I$21-6),0))))&lt;=Lists!I$21)*IFERROR(AVERAGEIFS($J32:$V32,Lists!$C$24:$O$24,(YEAR((Lists!I$21-6))*12+MONTH((Lists!I$21-6))-N($Y18))),AVERAGE($J32:$V32))*52/12,0)),P32*$C32*$D32+(1-$D32)*$C32*SUMPRODUCT($J32:$V32,(Lists!$C$21:$O$21+$E32&gt;Lists!I$22)*(Lists!$C$21:$O$21+$E32&lt;=Lists!I$21))))</f>
        <v>0</v>
      </c>
      <c r="Q46" s="53" t="n">
        <f aca="false">IF(N($Z18)&gt;0,(N($Z18)&gt;Lists!J$22)*(N($Z18)&lt;=Lists!J$21)*SUM($J32:$V32)*$C32,IF(N($X18)&gt;0,$C32*((DATE(YEAR(Lists!J$21),MONTH(Lists!J$21),MIN($X18,DAY(EOMONTH(Lists!J$21,0))))&gt;Lists!J$23)*(DATE(YEAR(Lists!J$21),MONTH(Lists!J$21),MIN($X18,DAY(EOMONTH(Lists!J$21,0))))&lt;=Lists!J$21)*IFERROR(AVERAGEIFS($J32:$V32,Lists!$C$24:$O$24,(YEAR(Lists!J$21)*12+MONTH(Lists!J$21)-N($Y18))),AVERAGE($J32:$V32))*52/12+IF(MONTH((Lists!J$21-6))&lt;&gt;MONTH(Lists!J$21),(DATE(YEAR((Lists!J$21-6)),MONTH((Lists!J$21-6)),MIN($X18,DAY(EOMONTH((Lists!J$21-6),0))))&gt;Lists!J$23)*(DATE(YEAR((Lists!J$21-6)),MONTH((Lists!J$21-6)),MIN($X18,DAY(EOMONTH((Lists!J$21-6),0))))&lt;=Lists!J$21)*IFERROR(AVERAGEIFS($J32:$V32,Lists!$C$24:$O$24,(YEAR((Lists!J$21-6))*12+MONTH((Lists!J$21-6))-N($Y18))),AVERAGE($J32:$V32))*52/12,0)),Q32*$C32*$D32+(1-$D32)*$C32*SUMPRODUCT($J32:$V32,(Lists!$C$21:$O$21+$E32&gt;Lists!J$22)*(Lists!$C$21:$O$21+$E32&lt;=Lists!J$21))))</f>
        <v>0</v>
      </c>
      <c r="R46" s="53" t="n">
        <f aca="false">IF(N($Z18)&gt;0,(N($Z18)&gt;Lists!K$22)*(N($Z18)&lt;=Lists!K$21)*SUM($J32:$V32)*$C32,IF(N($X18)&gt;0,$C32*((DATE(YEAR(Lists!K$21),MONTH(Lists!K$21),MIN($X18,DAY(EOMONTH(Lists!K$21,0))))&gt;Lists!K$23)*(DATE(YEAR(Lists!K$21),MONTH(Lists!K$21),MIN($X18,DAY(EOMONTH(Lists!K$21,0))))&lt;=Lists!K$21)*IFERROR(AVERAGEIFS($J32:$V32,Lists!$C$24:$O$24,(YEAR(Lists!K$21)*12+MONTH(Lists!K$21)-N($Y18))),AVERAGE($J32:$V32))*52/12+IF(MONTH((Lists!K$21-6))&lt;&gt;MONTH(Lists!K$21),(DATE(YEAR((Lists!K$21-6)),MONTH((Lists!K$21-6)),MIN($X18,DAY(EOMONTH((Lists!K$21-6),0))))&gt;Lists!K$23)*(DATE(YEAR((Lists!K$21-6)),MONTH((Lists!K$21-6)),MIN($X18,DAY(EOMONTH((Lists!K$21-6),0))))&lt;=Lists!K$21)*IFERROR(AVERAGEIFS($J32:$V32,Lists!$C$24:$O$24,(YEAR((Lists!K$21-6))*12+MONTH((Lists!K$21-6))-N($Y18))),AVERAGE($J32:$V32))*52/12,0)),R32*$C32*$D32+(1-$D32)*$C32*SUMPRODUCT($J32:$V32,(Lists!$C$21:$O$21+$E32&gt;Lists!K$22)*(Lists!$C$21:$O$21+$E32&lt;=Lists!K$21))))</f>
        <v>0</v>
      </c>
      <c r="S46" s="53" t="n">
        <f aca="false">IF(N($Z18)&gt;0,(N($Z18)&gt;Lists!L$22)*(N($Z18)&lt;=Lists!L$21)*SUM($J32:$V32)*$C32,IF(N($X18)&gt;0,$C32*((DATE(YEAR(Lists!L$21),MONTH(Lists!L$21),MIN($X18,DAY(EOMONTH(Lists!L$21,0))))&gt;Lists!L$23)*(DATE(YEAR(Lists!L$21),MONTH(Lists!L$21),MIN($X18,DAY(EOMONTH(Lists!L$21,0))))&lt;=Lists!L$21)*IFERROR(AVERAGEIFS($J32:$V32,Lists!$C$24:$O$24,(YEAR(Lists!L$21)*12+MONTH(Lists!L$21)-N($Y18))),AVERAGE($J32:$V32))*52/12+IF(MONTH((Lists!L$21-6))&lt;&gt;MONTH(Lists!L$21),(DATE(YEAR((Lists!L$21-6)),MONTH((Lists!L$21-6)),MIN($X18,DAY(EOMONTH((Lists!L$21-6),0))))&gt;Lists!L$23)*(DATE(YEAR((Lists!L$21-6)),MONTH((Lists!L$21-6)),MIN($X18,DAY(EOMONTH((Lists!L$21-6),0))))&lt;=Lists!L$21)*IFERROR(AVERAGEIFS($J32:$V32,Lists!$C$24:$O$24,(YEAR((Lists!L$21-6))*12+MONTH((Lists!L$21-6))-N($Y18))),AVERAGE($J32:$V32))*52/12,0)),S32*$C32*$D32+(1-$D32)*$C32*SUMPRODUCT($J32:$V32,(Lists!$C$21:$O$21+$E32&gt;Lists!L$22)*(Lists!$C$21:$O$21+$E32&lt;=Lists!L$21))))</f>
        <v>0</v>
      </c>
      <c r="T46" s="53" t="n">
        <f aca="false">IF(N($Z18)&gt;0,(N($Z18)&gt;Lists!M$22)*(N($Z18)&lt;=Lists!M$21)*SUM($J32:$V32)*$C32,IF(N($X18)&gt;0,$C32*((DATE(YEAR(Lists!M$21),MONTH(Lists!M$21),MIN($X18,DAY(EOMONTH(Lists!M$21,0))))&gt;Lists!M$23)*(DATE(YEAR(Lists!M$21),MONTH(Lists!M$21),MIN($X18,DAY(EOMONTH(Lists!M$21,0))))&lt;=Lists!M$21)*IFERROR(AVERAGEIFS($J32:$V32,Lists!$C$24:$O$24,(YEAR(Lists!M$21)*12+MONTH(Lists!M$21)-N($Y18))),AVERAGE($J32:$V32))*52/12+IF(MONTH((Lists!M$21-6))&lt;&gt;MONTH(Lists!M$21),(DATE(YEAR((Lists!M$21-6)),MONTH((Lists!M$21-6)),MIN($X18,DAY(EOMONTH((Lists!M$21-6),0))))&gt;Lists!M$23)*(DATE(YEAR((Lists!M$21-6)),MONTH((Lists!M$21-6)),MIN($X18,DAY(EOMONTH((Lists!M$21-6),0))))&lt;=Lists!M$21)*IFERROR(AVERAGEIFS($J32:$V32,Lists!$C$24:$O$24,(YEAR((Lists!M$21-6))*12+MONTH((Lists!M$21-6))-N($Y18))),AVERAGE($J32:$V32))*52/12,0)),T32*$C32*$D32+(1-$D32)*$C32*SUMPRODUCT($J32:$V32,(Lists!$C$21:$O$21+$E32&gt;Lists!M$22)*(Lists!$C$21:$O$21+$E32&lt;=Lists!M$21))))</f>
        <v>0</v>
      </c>
      <c r="U46" s="53" t="n">
        <f aca="false">IF(N($Z18)&gt;0,(N($Z18)&gt;Lists!N$22)*(N($Z18)&lt;=Lists!N$21)*SUM($J32:$V32)*$C32,IF(N($X18)&gt;0,$C32*((DATE(YEAR(Lists!N$21),MONTH(Lists!N$21),MIN($X18,DAY(EOMONTH(Lists!N$21,0))))&gt;Lists!N$23)*(DATE(YEAR(Lists!N$21),MONTH(Lists!N$21),MIN($X18,DAY(EOMONTH(Lists!N$21,0))))&lt;=Lists!N$21)*IFERROR(AVERAGEIFS($J32:$V32,Lists!$C$24:$O$24,(YEAR(Lists!N$21)*12+MONTH(Lists!N$21)-N($Y18))),AVERAGE($J32:$V32))*52/12+IF(MONTH((Lists!N$21-6))&lt;&gt;MONTH(Lists!N$21),(DATE(YEAR((Lists!N$21-6)),MONTH((Lists!N$21-6)),MIN($X18,DAY(EOMONTH((Lists!N$21-6),0))))&gt;Lists!N$23)*(DATE(YEAR((Lists!N$21-6)),MONTH((Lists!N$21-6)),MIN($X18,DAY(EOMONTH((Lists!N$21-6),0))))&lt;=Lists!N$21)*IFERROR(AVERAGEIFS($J32:$V32,Lists!$C$24:$O$24,(YEAR((Lists!N$21-6))*12+MONTH((Lists!N$21-6))-N($Y18))),AVERAGE($J32:$V32))*52/12,0)),U32*$C32*$D32+(1-$D32)*$C32*SUMPRODUCT($J32:$V32,(Lists!$C$21:$O$21+$E32&gt;Lists!N$22)*(Lists!$C$21:$O$21+$E32&lt;=Lists!N$21))))</f>
        <v>0</v>
      </c>
      <c r="V46" s="53" t="n">
        <f aca="false">IF(N($Z18)&gt;0,(N($Z18)&gt;Lists!O$22)*(N($Z18)&lt;=Lists!O$21)*SUM($J32:$V32)*$C32,IF(N($X18)&gt;0,$C32*((DATE(YEAR(Lists!O$21),MONTH(Lists!O$21),MIN($X18,DAY(EOMONTH(Lists!O$21,0))))&gt;Lists!O$23)*(DATE(YEAR(Lists!O$21),MONTH(Lists!O$21),MIN($X18,DAY(EOMONTH(Lists!O$21,0))))&lt;=Lists!O$21)*IFERROR(AVERAGEIFS($J32:$V32,Lists!$C$24:$O$24,(YEAR(Lists!O$21)*12+MONTH(Lists!O$21)-N($Y18))),AVERAGE($J32:$V32))*52/12+IF(MONTH((Lists!O$21-6))&lt;&gt;MONTH(Lists!O$21),(DATE(YEAR((Lists!O$21-6)),MONTH((Lists!O$21-6)),MIN($X18,DAY(EOMONTH((Lists!O$21-6),0))))&gt;Lists!O$23)*(DATE(YEAR((Lists!O$21-6)),MONTH((Lists!O$21-6)),MIN($X18,DAY(EOMONTH((Lists!O$21-6),0))))&lt;=Lists!O$21)*IFERROR(AVERAGEIFS($J32:$V32,Lists!$C$24:$O$24,(YEAR((Lists!O$21-6))*12+MONTH((Lists!O$21-6))-N($Y18))),AVERAGE($J32:$V32))*52/12,0)),V32*$C32*$D32+(1-$D32)*$C32*SUMPRODUCT($J32:$V32,(Lists!$C$21:$O$21+$E32&gt;Lists!O$22)*(Lists!$C$21:$O$21+$E32&lt;=Lists!O$21))))</f>
        <v>0</v>
      </c>
      <c r="W46" s="46" t="n">
        <f aca="false">SUM(J46:V46)</f>
        <v>0</v>
      </c>
      <c r="X46" s="92" t="n">
        <f aca="false">W32*C32-W46</f>
        <v>0</v>
      </c>
      <c r="Y46" s="2"/>
      <c r="Z46" s="2"/>
    </row>
    <row r="47" customFormat="false" ht="15" hidden="false" customHeight="false" outlineLevel="0" collapsed="false">
      <c r="A47" s="2"/>
      <c r="B47" s="15" t="s">
        <v>472</v>
      </c>
      <c r="C47" s="2"/>
      <c r="D47" s="2"/>
      <c r="E47" s="2"/>
      <c r="F47" s="2"/>
      <c r="G47" s="2"/>
      <c r="H47" s="2"/>
      <c r="I47" s="2"/>
      <c r="J47" s="48" t="n">
        <f aca="false">SUM(J37:J46)</f>
        <v>0</v>
      </c>
      <c r="K47" s="48" t="n">
        <f aca="false">SUM(K37:K46)</f>
        <v>0</v>
      </c>
      <c r="L47" s="48" t="n">
        <f aca="false">SUM(L37:L46)</f>
        <v>0</v>
      </c>
      <c r="M47" s="48" t="n">
        <f aca="false">SUM(M37:M46)</f>
        <v>0</v>
      </c>
      <c r="N47" s="48" t="n">
        <f aca="false">SUM(N37:N46)</f>
        <v>0</v>
      </c>
      <c r="O47" s="48" t="n">
        <f aca="false">SUM(O37:O46)</f>
        <v>13860</v>
      </c>
      <c r="P47" s="48" t="n">
        <f aca="false">SUM(P37:P46)</f>
        <v>55440</v>
      </c>
      <c r="Q47" s="48" t="n">
        <f aca="false">SUM(Q37:Q46)</f>
        <v>55440</v>
      </c>
      <c r="R47" s="48" t="n">
        <f aca="false">SUM(R37:R46)</f>
        <v>55440</v>
      </c>
      <c r="S47" s="48" t="n">
        <f aca="false">SUM(S37:S46)</f>
        <v>55440</v>
      </c>
      <c r="T47" s="48" t="n">
        <f aca="false">SUM(T37:T46)</f>
        <v>55440</v>
      </c>
      <c r="U47" s="48" t="n">
        <f aca="false">SUM(U37:U46)</f>
        <v>46980</v>
      </c>
      <c r="V47" s="48" t="n">
        <f aca="false">SUM(V37:V46)</f>
        <v>19080</v>
      </c>
      <c r="W47" s="48" t="n">
        <f aca="false">SUM(W37:W46)</f>
        <v>357120</v>
      </c>
      <c r="X47" s="48" t="n">
        <f aca="false">SUM(X37:X46)</f>
        <v>285840</v>
      </c>
      <c r="Y47" s="2"/>
      <c r="Z47" s="2"/>
    </row>
    <row r="48" customFormat="false" ht="1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c r="W48" s="2"/>
      <c r="X48" s="2"/>
      <c r="Y48" s="2"/>
      <c r="Z48" s="2"/>
    </row>
    <row r="49" customFormat="false" ht="1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row>
    <row r="50" customFormat="false" ht="15" hidden="false" customHeight="false" outlineLevel="0" collapsed="false">
      <c r="A50" s="5" t="s">
        <v>473</v>
      </c>
      <c r="B50" s="6"/>
      <c r="C50" s="6"/>
      <c r="D50" s="6"/>
      <c r="E50" s="6"/>
      <c r="F50" s="6"/>
      <c r="G50" s="6"/>
      <c r="H50" s="6"/>
      <c r="I50" s="6"/>
      <c r="J50" s="6"/>
      <c r="K50" s="6"/>
      <c r="L50" s="6"/>
      <c r="M50" s="6"/>
      <c r="N50" s="6"/>
      <c r="O50" s="6"/>
      <c r="P50" s="6"/>
      <c r="Q50" s="6"/>
      <c r="R50" s="6"/>
      <c r="S50" s="6"/>
      <c r="T50" s="6"/>
      <c r="U50" s="6"/>
      <c r="V50" s="6"/>
      <c r="W50" s="6"/>
      <c r="X50" s="101" t="s">
        <v>474</v>
      </c>
      <c r="Y50" s="2"/>
      <c r="Z50" s="2"/>
    </row>
    <row r="51" customFormat="false" ht="15" hidden="false" customHeight="false" outlineLevel="0" collapsed="false">
      <c r="A51" s="2"/>
      <c r="B51" s="63" t="str">
        <f aca="false">B23</f>
        <v>Steel and materials</v>
      </c>
      <c r="C51" s="2"/>
      <c r="D51" s="2"/>
      <c r="E51" s="2"/>
      <c r="F51" s="2"/>
      <c r="G51" s="2"/>
      <c r="H51" s="2"/>
      <c r="I51" s="2"/>
      <c r="J51" s="75" t="n">
        <f aca="false">N($F9)*IF(OR($G9="",$G9="All sales"),Sales!J$33,SUMIF(Sales!$B$9:$B$18,$G9,Sales!J$23:J$32))</f>
        <v>34650</v>
      </c>
      <c r="K51" s="75" t="n">
        <f aca="false">N($F9)*IF(OR($G9="",$G9="All sales"),Sales!K$33,SUMIF(Sales!$B$9:$B$18,$G9,Sales!K$23:K$32))</f>
        <v>34650</v>
      </c>
      <c r="L51" s="75" t="n">
        <f aca="false">N($F9)*IF(OR($G9="",$G9="All sales"),Sales!L$33,SUMIF(Sales!$B$9:$B$18,$G9,Sales!L$23:L$32))</f>
        <v>34650</v>
      </c>
      <c r="M51" s="75" t="n">
        <f aca="false">N($F9)*IF(OR($G9="",$G9="All sales"),Sales!M$33,SUMIF(Sales!$B$9:$B$18,$G9,Sales!M$23:M$32))</f>
        <v>34650</v>
      </c>
      <c r="N51" s="75" t="n">
        <f aca="false">N($F9)*IF(OR($G9="",$G9="All sales"),Sales!N$33,SUMIF(Sales!$B$9:$B$18,$G9,Sales!N$23:N$32))</f>
        <v>34650</v>
      </c>
      <c r="O51" s="75" t="n">
        <f aca="false">N($F9)*IF(OR($G9="",$G9="All sales"),Sales!O$33,SUMIF(Sales!$B$9:$B$18,$G9,Sales!O$23:O$32))</f>
        <v>34650</v>
      </c>
      <c r="P51" s="75" t="n">
        <f aca="false">N($F9)*IF(OR($G9="",$G9="All sales"),Sales!P$33,SUMIF(Sales!$B$9:$B$18,$G9,Sales!P$23:P$32))</f>
        <v>13500</v>
      </c>
      <c r="Q51" s="75" t="n">
        <f aca="false">N($F9)*IF(OR($G9="",$G9="All sales"),Sales!Q$33,SUMIF(Sales!$B$9:$B$18,$G9,Sales!Q$23:Q$32))</f>
        <v>7200</v>
      </c>
      <c r="R51" s="75" t="n">
        <f aca="false">N($F9)*IF(OR($G9="",$G9="All sales"),Sales!R$33,SUMIF(Sales!$B$9:$B$18,$G9,Sales!R$23:R$32))</f>
        <v>34650</v>
      </c>
      <c r="S51" s="75" t="n">
        <f aca="false">N($F9)*IF(OR($G9="",$G9="All sales"),Sales!S$33,SUMIF(Sales!$B$9:$B$18,$G9,Sales!S$23:S$32))</f>
        <v>34650</v>
      </c>
      <c r="T51" s="75" t="n">
        <f aca="false">N($F9)*IF(OR($G9="",$G9="All sales"),Sales!T$33,SUMIF(Sales!$B$9:$B$18,$G9,Sales!T$23:T$32))</f>
        <v>34650</v>
      </c>
      <c r="U51" s="75" t="n">
        <f aca="false">N($F9)*IF(OR($G9="",$G9="All sales"),Sales!U$33,SUMIF(Sales!$B$9:$B$18,$G9,Sales!U$23:U$32))</f>
        <v>34650</v>
      </c>
      <c r="V51" s="75" t="n">
        <f aca="false">N($F9)*IF(OR($G9="",$G9="All sales"),Sales!V$33,SUMIF(Sales!$B$9:$B$18,$G9,Sales!V$23:V$32))</f>
        <v>34650</v>
      </c>
      <c r="W51" s="75" t="n">
        <f aca="false">SUM(J51:V51)</f>
        <v>401850</v>
      </c>
      <c r="X51" s="102" t="n">
        <f aca="false">IF(W23=0,0,MIN(1,W51/W23))</f>
        <v>1</v>
      </c>
      <c r="Y51" s="2"/>
      <c r="Z51" s="2"/>
    </row>
    <row r="52" customFormat="false" ht="15" hidden="false" customHeight="false" outlineLevel="0" collapsed="false">
      <c r="A52" s="2"/>
      <c r="B52" s="63" t="str">
        <f aca="false">B24</f>
        <v>Subcontract, coatings and carriage</v>
      </c>
      <c r="C52" s="2"/>
      <c r="D52" s="2"/>
      <c r="E52" s="2"/>
      <c r="F52" s="2"/>
      <c r="G52" s="2"/>
      <c r="H52" s="2"/>
      <c r="I52" s="2"/>
      <c r="J52" s="75" t="n">
        <f aca="false">N($F10)*IF(OR($G10="",$G10="All sales"),Sales!J$33,SUMIF(Sales!$B$9:$B$18,$G10,Sales!J$23:J$32))</f>
        <v>11550</v>
      </c>
      <c r="K52" s="75" t="n">
        <f aca="false">N($F10)*IF(OR($G10="",$G10="All sales"),Sales!K$33,SUMIF(Sales!$B$9:$B$18,$G10,Sales!K$23:K$32))</f>
        <v>11550</v>
      </c>
      <c r="L52" s="75" t="n">
        <f aca="false">N($F10)*IF(OR($G10="",$G10="All sales"),Sales!L$33,SUMIF(Sales!$B$9:$B$18,$G10,Sales!L$23:L$32))</f>
        <v>11550</v>
      </c>
      <c r="M52" s="75" t="n">
        <f aca="false">N($F10)*IF(OR($G10="",$G10="All sales"),Sales!M$33,SUMIF(Sales!$B$9:$B$18,$G10,Sales!M$23:M$32))</f>
        <v>11550</v>
      </c>
      <c r="N52" s="75" t="n">
        <f aca="false">N($F10)*IF(OR($G10="",$G10="All sales"),Sales!N$33,SUMIF(Sales!$B$9:$B$18,$G10,Sales!N$23:N$32))</f>
        <v>11550</v>
      </c>
      <c r="O52" s="75" t="n">
        <f aca="false">N($F10)*IF(OR($G10="",$G10="All sales"),Sales!O$33,SUMIF(Sales!$B$9:$B$18,$G10,Sales!O$23:O$32))</f>
        <v>11550</v>
      </c>
      <c r="P52" s="75" t="n">
        <f aca="false">N($F10)*IF(OR($G10="",$G10="All sales"),Sales!P$33,SUMIF(Sales!$B$9:$B$18,$G10,Sales!P$23:P$32))</f>
        <v>4500</v>
      </c>
      <c r="Q52" s="75" t="n">
        <f aca="false">N($F10)*IF(OR($G10="",$G10="All sales"),Sales!Q$33,SUMIF(Sales!$B$9:$B$18,$G10,Sales!Q$23:Q$32))</f>
        <v>2400</v>
      </c>
      <c r="R52" s="75" t="n">
        <f aca="false">N($F10)*IF(OR($G10="",$G10="All sales"),Sales!R$33,SUMIF(Sales!$B$9:$B$18,$G10,Sales!R$23:R$32))</f>
        <v>11550</v>
      </c>
      <c r="S52" s="75" t="n">
        <f aca="false">N($F10)*IF(OR($G10="",$G10="All sales"),Sales!S$33,SUMIF(Sales!$B$9:$B$18,$G10,Sales!S$23:S$32))</f>
        <v>11550</v>
      </c>
      <c r="T52" s="75" t="n">
        <f aca="false">N($F10)*IF(OR($G10="",$G10="All sales"),Sales!T$33,SUMIF(Sales!$B$9:$B$18,$G10,Sales!T$23:T$32))</f>
        <v>11550</v>
      </c>
      <c r="U52" s="75" t="n">
        <f aca="false">N($F10)*IF(OR($G10="",$G10="All sales"),Sales!U$33,SUMIF(Sales!$B$9:$B$18,$G10,Sales!U$23:U$32))</f>
        <v>11550</v>
      </c>
      <c r="V52" s="75" t="n">
        <f aca="false">N($F10)*IF(OR($G10="",$G10="All sales"),Sales!V$33,SUMIF(Sales!$B$9:$B$18,$G10,Sales!V$23:V$32))</f>
        <v>11550</v>
      </c>
      <c r="W52" s="75" t="n">
        <f aca="false">SUM(J52:V52)</f>
        <v>133950</v>
      </c>
      <c r="X52" s="102" t="n">
        <f aca="false">IF(W24=0,0,MIN(1,W52/W24))</f>
        <v>1</v>
      </c>
      <c r="Y52" s="2"/>
      <c r="Z52" s="2"/>
    </row>
    <row r="53" customFormat="false" ht="15" hidden="false" customHeight="false" outlineLevel="0" collapsed="false">
      <c r="A53" s="2"/>
      <c r="B53" s="63" t="str">
        <f aca="false">B25</f>
        <v/>
      </c>
      <c r="C53" s="2"/>
      <c r="D53" s="2"/>
      <c r="E53" s="2"/>
      <c r="F53" s="2"/>
      <c r="G53" s="2"/>
      <c r="H53" s="2"/>
      <c r="I53" s="2"/>
      <c r="J53" s="75" t="n">
        <f aca="false">N($F11)*IF(OR($G11="",$G11="All sales"),Sales!J$33,SUMIF(Sales!$B$9:$B$18,$G11,Sales!J$23:J$32))</f>
        <v>0</v>
      </c>
      <c r="K53" s="75" t="n">
        <f aca="false">N($F11)*IF(OR($G11="",$G11="All sales"),Sales!K$33,SUMIF(Sales!$B$9:$B$18,$G11,Sales!K$23:K$32))</f>
        <v>0</v>
      </c>
      <c r="L53" s="75" t="n">
        <f aca="false">N($F11)*IF(OR($G11="",$G11="All sales"),Sales!L$33,SUMIF(Sales!$B$9:$B$18,$G11,Sales!L$23:L$32))</f>
        <v>0</v>
      </c>
      <c r="M53" s="75" t="n">
        <f aca="false">N($F11)*IF(OR($G11="",$G11="All sales"),Sales!M$33,SUMIF(Sales!$B$9:$B$18,$G11,Sales!M$23:M$32))</f>
        <v>0</v>
      </c>
      <c r="N53" s="75" t="n">
        <f aca="false">N($F11)*IF(OR($G11="",$G11="All sales"),Sales!N$33,SUMIF(Sales!$B$9:$B$18,$G11,Sales!N$23:N$32))</f>
        <v>0</v>
      </c>
      <c r="O53" s="75" t="n">
        <f aca="false">N($F11)*IF(OR($G11="",$G11="All sales"),Sales!O$33,SUMIF(Sales!$B$9:$B$18,$G11,Sales!O$23:O$32))</f>
        <v>0</v>
      </c>
      <c r="P53" s="75" t="n">
        <f aca="false">N($F11)*IF(OR($G11="",$G11="All sales"),Sales!P$33,SUMIF(Sales!$B$9:$B$18,$G11,Sales!P$23:P$32))</f>
        <v>0</v>
      </c>
      <c r="Q53" s="75" t="n">
        <f aca="false">N($F11)*IF(OR($G11="",$G11="All sales"),Sales!Q$33,SUMIF(Sales!$B$9:$B$18,$G11,Sales!Q$23:Q$32))</f>
        <v>0</v>
      </c>
      <c r="R53" s="75" t="n">
        <f aca="false">N($F11)*IF(OR($G11="",$G11="All sales"),Sales!R$33,SUMIF(Sales!$B$9:$B$18,$G11,Sales!R$23:R$32))</f>
        <v>0</v>
      </c>
      <c r="S53" s="75" t="n">
        <f aca="false">N($F11)*IF(OR($G11="",$G11="All sales"),Sales!S$33,SUMIF(Sales!$B$9:$B$18,$G11,Sales!S$23:S$32))</f>
        <v>0</v>
      </c>
      <c r="T53" s="75" t="n">
        <f aca="false">N($F11)*IF(OR($G11="",$G11="All sales"),Sales!T$33,SUMIF(Sales!$B$9:$B$18,$G11,Sales!T$23:T$32))</f>
        <v>0</v>
      </c>
      <c r="U53" s="75" t="n">
        <f aca="false">N($F11)*IF(OR($G11="",$G11="All sales"),Sales!U$33,SUMIF(Sales!$B$9:$B$18,$G11,Sales!U$23:U$32))</f>
        <v>0</v>
      </c>
      <c r="V53" s="75" t="n">
        <f aca="false">N($F11)*IF(OR($G11="",$G11="All sales"),Sales!V$33,SUMIF(Sales!$B$9:$B$18,$G11,Sales!V$23:V$32))</f>
        <v>0</v>
      </c>
      <c r="W53" s="75" t="n">
        <f aca="false">SUM(J53:V53)</f>
        <v>0</v>
      </c>
      <c r="X53" s="102" t="n">
        <f aca="false">IF(W25=0,0,MIN(1,W53/W25))</f>
        <v>0</v>
      </c>
      <c r="Y53" s="2"/>
      <c r="Z53" s="2"/>
    </row>
    <row r="54" customFormat="false" ht="15" hidden="false" customHeight="false" outlineLevel="0" collapsed="false">
      <c r="A54" s="2"/>
      <c r="B54" s="63" t="str">
        <f aca="false">B26</f>
        <v/>
      </c>
      <c r="C54" s="2"/>
      <c r="D54" s="2"/>
      <c r="E54" s="2"/>
      <c r="F54" s="2"/>
      <c r="G54" s="2"/>
      <c r="H54" s="2"/>
      <c r="I54" s="2"/>
      <c r="J54" s="75" t="n">
        <f aca="false">N($F12)*IF(OR($G12="",$G12="All sales"),Sales!J$33,SUMIF(Sales!$B$9:$B$18,$G12,Sales!J$23:J$32))</f>
        <v>0</v>
      </c>
      <c r="K54" s="75" t="n">
        <f aca="false">N($F12)*IF(OR($G12="",$G12="All sales"),Sales!K$33,SUMIF(Sales!$B$9:$B$18,$G12,Sales!K$23:K$32))</f>
        <v>0</v>
      </c>
      <c r="L54" s="75" t="n">
        <f aca="false">N($F12)*IF(OR($G12="",$G12="All sales"),Sales!L$33,SUMIF(Sales!$B$9:$B$18,$G12,Sales!L$23:L$32))</f>
        <v>0</v>
      </c>
      <c r="M54" s="75" t="n">
        <f aca="false">N($F12)*IF(OR($G12="",$G12="All sales"),Sales!M$33,SUMIF(Sales!$B$9:$B$18,$G12,Sales!M$23:M$32))</f>
        <v>0</v>
      </c>
      <c r="N54" s="75" t="n">
        <f aca="false">N($F12)*IF(OR($G12="",$G12="All sales"),Sales!N$33,SUMIF(Sales!$B$9:$B$18,$G12,Sales!N$23:N$32))</f>
        <v>0</v>
      </c>
      <c r="O54" s="75" t="n">
        <f aca="false">N($F12)*IF(OR($G12="",$G12="All sales"),Sales!O$33,SUMIF(Sales!$B$9:$B$18,$G12,Sales!O$23:O$32))</f>
        <v>0</v>
      </c>
      <c r="P54" s="75" t="n">
        <f aca="false">N($F12)*IF(OR($G12="",$G12="All sales"),Sales!P$33,SUMIF(Sales!$B$9:$B$18,$G12,Sales!P$23:P$32))</f>
        <v>0</v>
      </c>
      <c r="Q54" s="75" t="n">
        <f aca="false">N($F12)*IF(OR($G12="",$G12="All sales"),Sales!Q$33,SUMIF(Sales!$B$9:$B$18,$G12,Sales!Q$23:Q$32))</f>
        <v>0</v>
      </c>
      <c r="R54" s="75" t="n">
        <f aca="false">N($F12)*IF(OR($G12="",$G12="All sales"),Sales!R$33,SUMIF(Sales!$B$9:$B$18,$G12,Sales!R$23:R$32))</f>
        <v>0</v>
      </c>
      <c r="S54" s="75" t="n">
        <f aca="false">N($F12)*IF(OR($G12="",$G12="All sales"),Sales!S$33,SUMIF(Sales!$B$9:$B$18,$G12,Sales!S$23:S$32))</f>
        <v>0</v>
      </c>
      <c r="T54" s="75" t="n">
        <f aca="false">N($F12)*IF(OR($G12="",$G12="All sales"),Sales!T$33,SUMIF(Sales!$B$9:$B$18,$G12,Sales!T$23:T$32))</f>
        <v>0</v>
      </c>
      <c r="U54" s="75" t="n">
        <f aca="false">N($F12)*IF(OR($G12="",$G12="All sales"),Sales!U$33,SUMIF(Sales!$B$9:$B$18,$G12,Sales!U$23:U$32))</f>
        <v>0</v>
      </c>
      <c r="V54" s="75" t="n">
        <f aca="false">N($F12)*IF(OR($G12="",$G12="All sales"),Sales!V$33,SUMIF(Sales!$B$9:$B$18,$G12,Sales!V$23:V$32))</f>
        <v>0</v>
      </c>
      <c r="W54" s="75" t="n">
        <f aca="false">SUM(J54:V54)</f>
        <v>0</v>
      </c>
      <c r="X54" s="102" t="n">
        <f aca="false">IF(W26=0,0,MIN(1,W54/W26))</f>
        <v>0</v>
      </c>
      <c r="Y54" s="2"/>
      <c r="Z54" s="2"/>
    </row>
    <row r="55" customFormat="false" ht="15" hidden="false" customHeight="false" outlineLevel="0" collapsed="false">
      <c r="A55" s="2"/>
      <c r="B55" s="63" t="str">
        <f aca="false">B27</f>
        <v/>
      </c>
      <c r="C55" s="2"/>
      <c r="D55" s="2"/>
      <c r="E55" s="2"/>
      <c r="F55" s="2"/>
      <c r="G55" s="2"/>
      <c r="H55" s="2"/>
      <c r="I55" s="2"/>
      <c r="J55" s="75" t="n">
        <f aca="false">N($F13)*IF(OR($G13="",$G13="All sales"),Sales!J$33,SUMIF(Sales!$B$9:$B$18,$G13,Sales!J$23:J$32))</f>
        <v>0</v>
      </c>
      <c r="K55" s="75" t="n">
        <f aca="false">N($F13)*IF(OR($G13="",$G13="All sales"),Sales!K$33,SUMIF(Sales!$B$9:$B$18,$G13,Sales!K$23:K$32))</f>
        <v>0</v>
      </c>
      <c r="L55" s="75" t="n">
        <f aca="false">N($F13)*IF(OR($G13="",$G13="All sales"),Sales!L$33,SUMIF(Sales!$B$9:$B$18,$G13,Sales!L$23:L$32))</f>
        <v>0</v>
      </c>
      <c r="M55" s="75" t="n">
        <f aca="false">N($F13)*IF(OR($G13="",$G13="All sales"),Sales!M$33,SUMIF(Sales!$B$9:$B$18,$G13,Sales!M$23:M$32))</f>
        <v>0</v>
      </c>
      <c r="N55" s="75" t="n">
        <f aca="false">N($F13)*IF(OR($G13="",$G13="All sales"),Sales!N$33,SUMIF(Sales!$B$9:$B$18,$G13,Sales!N$23:N$32))</f>
        <v>0</v>
      </c>
      <c r="O55" s="75" t="n">
        <f aca="false">N($F13)*IF(OR($G13="",$G13="All sales"),Sales!O$33,SUMIF(Sales!$B$9:$B$18,$G13,Sales!O$23:O$32))</f>
        <v>0</v>
      </c>
      <c r="P55" s="75" t="n">
        <f aca="false">N($F13)*IF(OR($G13="",$G13="All sales"),Sales!P$33,SUMIF(Sales!$B$9:$B$18,$G13,Sales!P$23:P$32))</f>
        <v>0</v>
      </c>
      <c r="Q55" s="75" t="n">
        <f aca="false">N($F13)*IF(OR($G13="",$G13="All sales"),Sales!Q$33,SUMIF(Sales!$B$9:$B$18,$G13,Sales!Q$23:Q$32))</f>
        <v>0</v>
      </c>
      <c r="R55" s="75" t="n">
        <f aca="false">N($F13)*IF(OR($G13="",$G13="All sales"),Sales!R$33,SUMIF(Sales!$B$9:$B$18,$G13,Sales!R$23:R$32))</f>
        <v>0</v>
      </c>
      <c r="S55" s="75" t="n">
        <f aca="false">N($F13)*IF(OR($G13="",$G13="All sales"),Sales!S$33,SUMIF(Sales!$B$9:$B$18,$G13,Sales!S$23:S$32))</f>
        <v>0</v>
      </c>
      <c r="T55" s="75" t="n">
        <f aca="false">N($F13)*IF(OR($G13="",$G13="All sales"),Sales!T$33,SUMIF(Sales!$B$9:$B$18,$G13,Sales!T$23:T$32))</f>
        <v>0</v>
      </c>
      <c r="U55" s="75" t="n">
        <f aca="false">N($F13)*IF(OR($G13="",$G13="All sales"),Sales!U$33,SUMIF(Sales!$B$9:$B$18,$G13,Sales!U$23:U$32))</f>
        <v>0</v>
      </c>
      <c r="V55" s="75" t="n">
        <f aca="false">N($F13)*IF(OR($G13="",$G13="All sales"),Sales!V$33,SUMIF(Sales!$B$9:$B$18,$G13,Sales!V$23:V$32))</f>
        <v>0</v>
      </c>
      <c r="W55" s="75" t="n">
        <f aca="false">SUM(J55:V55)</f>
        <v>0</v>
      </c>
      <c r="X55" s="102" t="n">
        <f aca="false">IF(W27=0,0,MIN(1,W55/W27))</f>
        <v>0</v>
      </c>
      <c r="Y55" s="2"/>
      <c r="Z55" s="2"/>
    </row>
    <row r="56" customFormat="false" ht="15" hidden="false" customHeight="false" outlineLevel="0" collapsed="false">
      <c r="A56" s="2"/>
      <c r="B56" s="63" t="str">
        <f aca="false">B28</f>
        <v/>
      </c>
      <c r="C56" s="2"/>
      <c r="D56" s="2"/>
      <c r="E56" s="2"/>
      <c r="F56" s="2"/>
      <c r="G56" s="2"/>
      <c r="H56" s="2"/>
      <c r="I56" s="2"/>
      <c r="J56" s="75" t="n">
        <f aca="false">N($F14)*IF(OR($G14="",$G14="All sales"),Sales!J$33,SUMIF(Sales!$B$9:$B$18,$G14,Sales!J$23:J$32))</f>
        <v>0</v>
      </c>
      <c r="K56" s="75" t="n">
        <f aca="false">N($F14)*IF(OR($G14="",$G14="All sales"),Sales!K$33,SUMIF(Sales!$B$9:$B$18,$G14,Sales!K$23:K$32))</f>
        <v>0</v>
      </c>
      <c r="L56" s="75" t="n">
        <f aca="false">N($F14)*IF(OR($G14="",$G14="All sales"),Sales!L$33,SUMIF(Sales!$B$9:$B$18,$G14,Sales!L$23:L$32))</f>
        <v>0</v>
      </c>
      <c r="M56" s="75" t="n">
        <f aca="false">N($F14)*IF(OR($G14="",$G14="All sales"),Sales!M$33,SUMIF(Sales!$B$9:$B$18,$G14,Sales!M$23:M$32))</f>
        <v>0</v>
      </c>
      <c r="N56" s="75" t="n">
        <f aca="false">N($F14)*IF(OR($G14="",$G14="All sales"),Sales!N$33,SUMIF(Sales!$B$9:$B$18,$G14,Sales!N$23:N$32))</f>
        <v>0</v>
      </c>
      <c r="O56" s="75" t="n">
        <f aca="false">N($F14)*IF(OR($G14="",$G14="All sales"),Sales!O$33,SUMIF(Sales!$B$9:$B$18,$G14,Sales!O$23:O$32))</f>
        <v>0</v>
      </c>
      <c r="P56" s="75" t="n">
        <f aca="false">N($F14)*IF(OR($G14="",$G14="All sales"),Sales!P$33,SUMIF(Sales!$B$9:$B$18,$G14,Sales!P$23:P$32))</f>
        <v>0</v>
      </c>
      <c r="Q56" s="75" t="n">
        <f aca="false">N($F14)*IF(OR($G14="",$G14="All sales"),Sales!Q$33,SUMIF(Sales!$B$9:$B$18,$G14,Sales!Q$23:Q$32))</f>
        <v>0</v>
      </c>
      <c r="R56" s="75" t="n">
        <f aca="false">N($F14)*IF(OR($G14="",$G14="All sales"),Sales!R$33,SUMIF(Sales!$B$9:$B$18,$G14,Sales!R$23:R$32))</f>
        <v>0</v>
      </c>
      <c r="S56" s="75" t="n">
        <f aca="false">N($F14)*IF(OR($G14="",$G14="All sales"),Sales!S$33,SUMIF(Sales!$B$9:$B$18,$G14,Sales!S$23:S$32))</f>
        <v>0</v>
      </c>
      <c r="T56" s="75" t="n">
        <f aca="false">N($F14)*IF(OR($G14="",$G14="All sales"),Sales!T$33,SUMIF(Sales!$B$9:$B$18,$G14,Sales!T$23:T$32))</f>
        <v>0</v>
      </c>
      <c r="U56" s="75" t="n">
        <f aca="false">N($F14)*IF(OR($G14="",$G14="All sales"),Sales!U$33,SUMIF(Sales!$B$9:$B$18,$G14,Sales!U$23:U$32))</f>
        <v>0</v>
      </c>
      <c r="V56" s="75" t="n">
        <f aca="false">N($F14)*IF(OR($G14="",$G14="All sales"),Sales!V$33,SUMIF(Sales!$B$9:$B$18,$G14,Sales!V$23:V$32))</f>
        <v>0</v>
      </c>
      <c r="W56" s="75" t="n">
        <f aca="false">SUM(J56:V56)</f>
        <v>0</v>
      </c>
      <c r="X56" s="102" t="n">
        <f aca="false">IF(W28=0,0,MIN(1,W56/W28))</f>
        <v>0</v>
      </c>
      <c r="Y56" s="2"/>
      <c r="Z56" s="2"/>
    </row>
    <row r="57" customFormat="false" ht="15" hidden="false" customHeight="false" outlineLevel="0" collapsed="false">
      <c r="A57" s="2"/>
      <c r="B57" s="63" t="str">
        <f aca="false">B29</f>
        <v/>
      </c>
      <c r="C57" s="2"/>
      <c r="D57" s="2"/>
      <c r="E57" s="2"/>
      <c r="F57" s="2"/>
      <c r="G57" s="2"/>
      <c r="H57" s="2"/>
      <c r="I57" s="2"/>
      <c r="J57" s="75" t="n">
        <f aca="false">N($F15)*IF(OR($G15="",$G15="All sales"),Sales!J$33,SUMIF(Sales!$B$9:$B$18,$G15,Sales!J$23:J$32))</f>
        <v>0</v>
      </c>
      <c r="K57" s="75" t="n">
        <f aca="false">N($F15)*IF(OR($G15="",$G15="All sales"),Sales!K$33,SUMIF(Sales!$B$9:$B$18,$G15,Sales!K$23:K$32))</f>
        <v>0</v>
      </c>
      <c r="L57" s="75" t="n">
        <f aca="false">N($F15)*IF(OR($G15="",$G15="All sales"),Sales!L$33,SUMIF(Sales!$B$9:$B$18,$G15,Sales!L$23:L$32))</f>
        <v>0</v>
      </c>
      <c r="M57" s="75" t="n">
        <f aca="false">N($F15)*IF(OR($G15="",$G15="All sales"),Sales!M$33,SUMIF(Sales!$B$9:$B$18,$G15,Sales!M$23:M$32))</f>
        <v>0</v>
      </c>
      <c r="N57" s="75" t="n">
        <f aca="false">N($F15)*IF(OR($G15="",$G15="All sales"),Sales!N$33,SUMIF(Sales!$B$9:$B$18,$G15,Sales!N$23:N$32))</f>
        <v>0</v>
      </c>
      <c r="O57" s="75" t="n">
        <f aca="false">N($F15)*IF(OR($G15="",$G15="All sales"),Sales!O$33,SUMIF(Sales!$B$9:$B$18,$G15,Sales!O$23:O$32))</f>
        <v>0</v>
      </c>
      <c r="P57" s="75" t="n">
        <f aca="false">N($F15)*IF(OR($G15="",$G15="All sales"),Sales!P$33,SUMIF(Sales!$B$9:$B$18,$G15,Sales!P$23:P$32))</f>
        <v>0</v>
      </c>
      <c r="Q57" s="75" t="n">
        <f aca="false">N($F15)*IF(OR($G15="",$G15="All sales"),Sales!Q$33,SUMIF(Sales!$B$9:$B$18,$G15,Sales!Q$23:Q$32))</f>
        <v>0</v>
      </c>
      <c r="R57" s="75" t="n">
        <f aca="false">N($F15)*IF(OR($G15="",$G15="All sales"),Sales!R$33,SUMIF(Sales!$B$9:$B$18,$G15,Sales!R$23:R$32))</f>
        <v>0</v>
      </c>
      <c r="S57" s="75" t="n">
        <f aca="false">N($F15)*IF(OR($G15="",$G15="All sales"),Sales!S$33,SUMIF(Sales!$B$9:$B$18,$G15,Sales!S$23:S$32))</f>
        <v>0</v>
      </c>
      <c r="T57" s="75" t="n">
        <f aca="false">N($F15)*IF(OR($G15="",$G15="All sales"),Sales!T$33,SUMIF(Sales!$B$9:$B$18,$G15,Sales!T$23:T$32))</f>
        <v>0</v>
      </c>
      <c r="U57" s="75" t="n">
        <f aca="false">N($F15)*IF(OR($G15="",$G15="All sales"),Sales!U$33,SUMIF(Sales!$B$9:$B$18,$G15,Sales!U$23:U$32))</f>
        <v>0</v>
      </c>
      <c r="V57" s="75" t="n">
        <f aca="false">N($F15)*IF(OR($G15="",$G15="All sales"),Sales!V$33,SUMIF(Sales!$B$9:$B$18,$G15,Sales!V$23:V$32))</f>
        <v>0</v>
      </c>
      <c r="W57" s="75" t="n">
        <f aca="false">SUM(J57:V57)</f>
        <v>0</v>
      </c>
      <c r="X57" s="102" t="n">
        <f aca="false">IF(W29=0,0,MIN(1,W57/W29))</f>
        <v>0</v>
      </c>
      <c r="Y57" s="2"/>
      <c r="Z57" s="2"/>
    </row>
    <row r="58" customFormat="false" ht="15" hidden="false" customHeight="false" outlineLevel="0" collapsed="false">
      <c r="A58" s="2"/>
      <c r="B58" s="63" t="str">
        <f aca="false">B30</f>
        <v/>
      </c>
      <c r="C58" s="2"/>
      <c r="D58" s="2"/>
      <c r="E58" s="2"/>
      <c r="F58" s="2"/>
      <c r="G58" s="2"/>
      <c r="H58" s="2"/>
      <c r="I58" s="2"/>
      <c r="J58" s="75" t="n">
        <f aca="false">N($F16)*IF(OR($G16="",$G16="All sales"),Sales!J$33,SUMIF(Sales!$B$9:$B$18,$G16,Sales!J$23:J$32))</f>
        <v>0</v>
      </c>
      <c r="K58" s="75" t="n">
        <f aca="false">N($F16)*IF(OR($G16="",$G16="All sales"),Sales!K$33,SUMIF(Sales!$B$9:$B$18,$G16,Sales!K$23:K$32))</f>
        <v>0</v>
      </c>
      <c r="L58" s="75" t="n">
        <f aca="false">N($F16)*IF(OR($G16="",$G16="All sales"),Sales!L$33,SUMIF(Sales!$B$9:$B$18,$G16,Sales!L$23:L$32))</f>
        <v>0</v>
      </c>
      <c r="M58" s="75" t="n">
        <f aca="false">N($F16)*IF(OR($G16="",$G16="All sales"),Sales!M$33,SUMIF(Sales!$B$9:$B$18,$G16,Sales!M$23:M$32))</f>
        <v>0</v>
      </c>
      <c r="N58" s="75" t="n">
        <f aca="false">N($F16)*IF(OR($G16="",$G16="All sales"),Sales!N$33,SUMIF(Sales!$B$9:$B$18,$G16,Sales!N$23:N$32))</f>
        <v>0</v>
      </c>
      <c r="O58" s="75" t="n">
        <f aca="false">N($F16)*IF(OR($G16="",$G16="All sales"),Sales!O$33,SUMIF(Sales!$B$9:$B$18,$G16,Sales!O$23:O$32))</f>
        <v>0</v>
      </c>
      <c r="P58" s="75" t="n">
        <f aca="false">N($F16)*IF(OR($G16="",$G16="All sales"),Sales!P$33,SUMIF(Sales!$B$9:$B$18,$G16,Sales!P$23:P$32))</f>
        <v>0</v>
      </c>
      <c r="Q58" s="75" t="n">
        <f aca="false">N($F16)*IF(OR($G16="",$G16="All sales"),Sales!Q$33,SUMIF(Sales!$B$9:$B$18,$G16,Sales!Q$23:Q$32))</f>
        <v>0</v>
      </c>
      <c r="R58" s="75" t="n">
        <f aca="false">N($F16)*IF(OR($G16="",$G16="All sales"),Sales!R$33,SUMIF(Sales!$B$9:$B$18,$G16,Sales!R$23:R$32))</f>
        <v>0</v>
      </c>
      <c r="S58" s="75" t="n">
        <f aca="false">N($F16)*IF(OR($G16="",$G16="All sales"),Sales!S$33,SUMIF(Sales!$B$9:$B$18,$G16,Sales!S$23:S$32))</f>
        <v>0</v>
      </c>
      <c r="T58" s="75" t="n">
        <f aca="false">N($F16)*IF(OR($G16="",$G16="All sales"),Sales!T$33,SUMIF(Sales!$B$9:$B$18,$G16,Sales!T$23:T$32))</f>
        <v>0</v>
      </c>
      <c r="U58" s="75" t="n">
        <f aca="false">N($F16)*IF(OR($G16="",$G16="All sales"),Sales!U$33,SUMIF(Sales!$B$9:$B$18,$G16,Sales!U$23:U$32))</f>
        <v>0</v>
      </c>
      <c r="V58" s="75" t="n">
        <f aca="false">N($F16)*IF(OR($G16="",$G16="All sales"),Sales!V$33,SUMIF(Sales!$B$9:$B$18,$G16,Sales!V$23:V$32))</f>
        <v>0</v>
      </c>
      <c r="W58" s="75" t="n">
        <f aca="false">SUM(J58:V58)</f>
        <v>0</v>
      </c>
      <c r="X58" s="102" t="n">
        <f aca="false">IF(W30=0,0,MIN(1,W58/W30))</f>
        <v>0</v>
      </c>
      <c r="Y58" s="2"/>
      <c r="Z58" s="2"/>
    </row>
    <row r="59" customFormat="false" ht="15" hidden="false" customHeight="false" outlineLevel="0" collapsed="false">
      <c r="A59" s="2"/>
      <c r="B59" s="63" t="str">
        <f aca="false">B31</f>
        <v/>
      </c>
      <c r="C59" s="2"/>
      <c r="D59" s="2"/>
      <c r="E59" s="2"/>
      <c r="F59" s="2"/>
      <c r="G59" s="2"/>
      <c r="H59" s="2"/>
      <c r="I59" s="2"/>
      <c r="J59" s="75" t="n">
        <f aca="false">N($F17)*IF(OR($G17="",$G17="All sales"),Sales!J$33,SUMIF(Sales!$B$9:$B$18,$G17,Sales!J$23:J$32))</f>
        <v>0</v>
      </c>
      <c r="K59" s="75" t="n">
        <f aca="false">N($F17)*IF(OR($G17="",$G17="All sales"),Sales!K$33,SUMIF(Sales!$B$9:$B$18,$G17,Sales!K$23:K$32))</f>
        <v>0</v>
      </c>
      <c r="L59" s="75" t="n">
        <f aca="false">N($F17)*IF(OR($G17="",$G17="All sales"),Sales!L$33,SUMIF(Sales!$B$9:$B$18,$G17,Sales!L$23:L$32))</f>
        <v>0</v>
      </c>
      <c r="M59" s="75" t="n">
        <f aca="false">N($F17)*IF(OR($G17="",$G17="All sales"),Sales!M$33,SUMIF(Sales!$B$9:$B$18,$G17,Sales!M$23:M$32))</f>
        <v>0</v>
      </c>
      <c r="N59" s="75" t="n">
        <f aca="false">N($F17)*IF(OR($G17="",$G17="All sales"),Sales!N$33,SUMIF(Sales!$B$9:$B$18,$G17,Sales!N$23:N$32))</f>
        <v>0</v>
      </c>
      <c r="O59" s="75" t="n">
        <f aca="false">N($F17)*IF(OR($G17="",$G17="All sales"),Sales!O$33,SUMIF(Sales!$B$9:$B$18,$G17,Sales!O$23:O$32))</f>
        <v>0</v>
      </c>
      <c r="P59" s="75" t="n">
        <f aca="false">N($F17)*IF(OR($G17="",$G17="All sales"),Sales!P$33,SUMIF(Sales!$B$9:$B$18,$G17,Sales!P$23:P$32))</f>
        <v>0</v>
      </c>
      <c r="Q59" s="75" t="n">
        <f aca="false">N($F17)*IF(OR($G17="",$G17="All sales"),Sales!Q$33,SUMIF(Sales!$B$9:$B$18,$G17,Sales!Q$23:Q$32))</f>
        <v>0</v>
      </c>
      <c r="R59" s="75" t="n">
        <f aca="false">N($F17)*IF(OR($G17="",$G17="All sales"),Sales!R$33,SUMIF(Sales!$B$9:$B$18,$G17,Sales!R$23:R$32))</f>
        <v>0</v>
      </c>
      <c r="S59" s="75" t="n">
        <f aca="false">N($F17)*IF(OR($G17="",$G17="All sales"),Sales!S$33,SUMIF(Sales!$B$9:$B$18,$G17,Sales!S$23:S$32))</f>
        <v>0</v>
      </c>
      <c r="T59" s="75" t="n">
        <f aca="false">N($F17)*IF(OR($G17="",$G17="All sales"),Sales!T$33,SUMIF(Sales!$B$9:$B$18,$G17,Sales!T$23:T$32))</f>
        <v>0</v>
      </c>
      <c r="U59" s="75" t="n">
        <f aca="false">N($F17)*IF(OR($G17="",$G17="All sales"),Sales!U$33,SUMIF(Sales!$B$9:$B$18,$G17,Sales!U$23:U$32))</f>
        <v>0</v>
      </c>
      <c r="V59" s="75" t="n">
        <f aca="false">N($F17)*IF(OR($G17="",$G17="All sales"),Sales!V$33,SUMIF(Sales!$B$9:$B$18,$G17,Sales!V$23:V$32))</f>
        <v>0</v>
      </c>
      <c r="W59" s="75" t="n">
        <f aca="false">SUM(J59:V59)</f>
        <v>0</v>
      </c>
      <c r="X59" s="102" t="n">
        <f aca="false">IF(W31=0,0,MIN(1,W59/W31))</f>
        <v>0</v>
      </c>
      <c r="Y59" s="2"/>
      <c r="Z59" s="2"/>
    </row>
    <row r="60" customFormat="false" ht="15" hidden="false" customHeight="false" outlineLevel="0" collapsed="false">
      <c r="A60" s="2"/>
      <c r="B60" s="63" t="str">
        <f aca="false">B32</f>
        <v/>
      </c>
      <c r="C60" s="2"/>
      <c r="D60" s="2"/>
      <c r="E60" s="2"/>
      <c r="F60" s="2"/>
      <c r="G60" s="2"/>
      <c r="H60" s="2"/>
      <c r="I60" s="2"/>
      <c r="J60" s="75" t="n">
        <f aca="false">N($F18)*IF(OR($G18="",$G18="All sales"),Sales!J$33,SUMIF(Sales!$B$9:$B$18,$G18,Sales!J$23:J$32))</f>
        <v>0</v>
      </c>
      <c r="K60" s="75" t="n">
        <f aca="false">N($F18)*IF(OR($G18="",$G18="All sales"),Sales!K$33,SUMIF(Sales!$B$9:$B$18,$G18,Sales!K$23:K$32))</f>
        <v>0</v>
      </c>
      <c r="L60" s="75" t="n">
        <f aca="false">N($F18)*IF(OR($G18="",$G18="All sales"),Sales!L$33,SUMIF(Sales!$B$9:$B$18,$G18,Sales!L$23:L$32))</f>
        <v>0</v>
      </c>
      <c r="M60" s="75" t="n">
        <f aca="false">N($F18)*IF(OR($G18="",$G18="All sales"),Sales!M$33,SUMIF(Sales!$B$9:$B$18,$G18,Sales!M$23:M$32))</f>
        <v>0</v>
      </c>
      <c r="N60" s="75" t="n">
        <f aca="false">N($F18)*IF(OR($G18="",$G18="All sales"),Sales!N$33,SUMIF(Sales!$B$9:$B$18,$G18,Sales!N$23:N$32))</f>
        <v>0</v>
      </c>
      <c r="O60" s="75" t="n">
        <f aca="false">N($F18)*IF(OR($G18="",$G18="All sales"),Sales!O$33,SUMIF(Sales!$B$9:$B$18,$G18,Sales!O$23:O$32))</f>
        <v>0</v>
      </c>
      <c r="P60" s="75" t="n">
        <f aca="false">N($F18)*IF(OR($G18="",$G18="All sales"),Sales!P$33,SUMIF(Sales!$B$9:$B$18,$G18,Sales!P$23:P$32))</f>
        <v>0</v>
      </c>
      <c r="Q60" s="75" t="n">
        <f aca="false">N($F18)*IF(OR($G18="",$G18="All sales"),Sales!Q$33,SUMIF(Sales!$B$9:$B$18,$G18,Sales!Q$23:Q$32))</f>
        <v>0</v>
      </c>
      <c r="R60" s="75" t="n">
        <f aca="false">N($F18)*IF(OR($G18="",$G18="All sales"),Sales!R$33,SUMIF(Sales!$B$9:$B$18,$G18,Sales!R$23:R$32))</f>
        <v>0</v>
      </c>
      <c r="S60" s="75" t="n">
        <f aca="false">N($F18)*IF(OR($G18="",$G18="All sales"),Sales!S$33,SUMIF(Sales!$B$9:$B$18,$G18,Sales!S$23:S$32))</f>
        <v>0</v>
      </c>
      <c r="T60" s="75" t="n">
        <f aca="false">N($F18)*IF(OR($G18="",$G18="All sales"),Sales!T$33,SUMIF(Sales!$B$9:$B$18,$G18,Sales!T$23:T$32))</f>
        <v>0</v>
      </c>
      <c r="U60" s="75" t="n">
        <f aca="false">N($F18)*IF(OR($G18="",$G18="All sales"),Sales!U$33,SUMIF(Sales!$B$9:$B$18,$G18,Sales!U$23:U$32))</f>
        <v>0</v>
      </c>
      <c r="V60" s="75" t="n">
        <f aca="false">N($F18)*IF(OR($G18="",$G18="All sales"),Sales!V$33,SUMIF(Sales!$B$9:$B$18,$G18,Sales!V$23:V$32))</f>
        <v>0</v>
      </c>
      <c r="W60" s="75" t="n">
        <f aca="false">SUM(J60:V60)</f>
        <v>0</v>
      </c>
      <c r="X60" s="102" t="n">
        <f aca="false">IF(W32=0,0,MIN(1,W60/W32))</f>
        <v>0</v>
      </c>
      <c r="Y60" s="2"/>
      <c r="Z60" s="2"/>
    </row>
    <row r="61" customFormat="false" ht="15" hidden="false" customHeight="false" outlineLevel="0" collapsed="false">
      <c r="A61" s="2"/>
      <c r="B61" s="15" t="s">
        <v>475</v>
      </c>
      <c r="C61" s="2"/>
      <c r="D61" s="2"/>
      <c r="E61" s="2"/>
      <c r="F61" s="2"/>
      <c r="G61" s="2"/>
      <c r="H61" s="2"/>
      <c r="I61" s="2"/>
      <c r="J61" s="103" t="n">
        <f aca="false">SUM(J51:J60)</f>
        <v>46200</v>
      </c>
      <c r="K61" s="103" t="n">
        <f aca="false">SUM(K51:K60)</f>
        <v>46200</v>
      </c>
      <c r="L61" s="103" t="n">
        <f aca="false">SUM(L51:L60)</f>
        <v>46200</v>
      </c>
      <c r="M61" s="103" t="n">
        <f aca="false">SUM(M51:M60)</f>
        <v>46200</v>
      </c>
      <c r="N61" s="103" t="n">
        <f aca="false">SUM(N51:N60)</f>
        <v>46200</v>
      </c>
      <c r="O61" s="103" t="n">
        <f aca="false">SUM(O51:O60)</f>
        <v>46200</v>
      </c>
      <c r="P61" s="103" t="n">
        <f aca="false">SUM(P51:P60)</f>
        <v>18000</v>
      </c>
      <c r="Q61" s="103" t="n">
        <f aca="false">SUM(Q51:Q60)</f>
        <v>9600</v>
      </c>
      <c r="R61" s="103" t="n">
        <f aca="false">SUM(R51:R60)</f>
        <v>46200</v>
      </c>
      <c r="S61" s="103" t="n">
        <f aca="false">SUM(S51:S60)</f>
        <v>46200</v>
      </c>
      <c r="T61" s="103" t="n">
        <f aca="false">SUM(T51:T60)</f>
        <v>46200</v>
      </c>
      <c r="U61" s="103" t="n">
        <f aca="false">SUM(U51:U60)</f>
        <v>46200</v>
      </c>
      <c r="V61" s="103" t="n">
        <f aca="false">SUM(V51:V60)</f>
        <v>46200</v>
      </c>
      <c r="W61" s="103" t="n">
        <f aca="false">SUM(W51:W60)</f>
        <v>535800</v>
      </c>
      <c r="X61" s="2"/>
      <c r="Y61" s="2"/>
      <c r="Z61" s="2"/>
    </row>
    <row r="62" customFormat="false" ht="15" hidden="false" customHeight="false" outlineLevel="0" collapsed="false">
      <c r="A62" s="2"/>
      <c r="B62" s="15" t="s">
        <v>476</v>
      </c>
      <c r="C62" s="2"/>
      <c r="D62" s="2"/>
      <c r="E62" s="2"/>
      <c r="F62" s="2"/>
      <c r="G62" s="2"/>
      <c r="H62" s="2"/>
      <c r="I62" s="2"/>
      <c r="J62" s="103" t="n">
        <f aca="false">SUMPRODUCT(J37:J46,$X$51:$X$60)</f>
        <v>0</v>
      </c>
      <c r="K62" s="103" t="n">
        <f aca="false">SUMPRODUCT(K37:K46,$X$51:$X$60)</f>
        <v>0</v>
      </c>
      <c r="L62" s="103" t="n">
        <f aca="false">SUMPRODUCT(L37:L46,$X$51:$X$60)</f>
        <v>0</v>
      </c>
      <c r="M62" s="103" t="n">
        <f aca="false">SUMPRODUCT(M37:M46,$X$51:$X$60)</f>
        <v>0</v>
      </c>
      <c r="N62" s="103" t="n">
        <f aca="false">SUMPRODUCT(N37:N46,$X$51:$X$60)</f>
        <v>0</v>
      </c>
      <c r="O62" s="103" t="n">
        <f aca="false">SUMPRODUCT(O37:O46,$X$51:$X$60)</f>
        <v>13860</v>
      </c>
      <c r="P62" s="103" t="n">
        <f aca="false">SUMPRODUCT(P37:P46,$X$51:$X$60)</f>
        <v>55440</v>
      </c>
      <c r="Q62" s="103" t="n">
        <f aca="false">SUMPRODUCT(Q37:Q46,$X$51:$X$60)</f>
        <v>55440</v>
      </c>
      <c r="R62" s="103" t="n">
        <f aca="false">SUMPRODUCT(R37:R46,$X$51:$X$60)</f>
        <v>55440</v>
      </c>
      <c r="S62" s="103" t="n">
        <f aca="false">SUMPRODUCT(S37:S46,$X$51:$X$60)</f>
        <v>55440</v>
      </c>
      <c r="T62" s="103" t="n">
        <f aca="false">SUMPRODUCT(T37:T46,$X$51:$X$60)</f>
        <v>55440</v>
      </c>
      <c r="U62" s="103" t="n">
        <f aca="false">SUMPRODUCT(U37:U46,$X$51:$X$60)</f>
        <v>46980</v>
      </c>
      <c r="V62" s="103" t="n">
        <f aca="false">SUMPRODUCT(V37:V46,$X$51:$X$60)</f>
        <v>19080</v>
      </c>
      <c r="W62" s="103" t="n">
        <f aca="false">SUMPRODUCT(W37:W46,$X$51:$X$60)</f>
        <v>357120</v>
      </c>
      <c r="X62" s="2"/>
      <c r="Y62" s="2"/>
      <c r="Z62" s="2"/>
    </row>
  </sheetData>
  <sheetProtection sheet="true" formatCells="false" formatColumns="false" formatRows="false"/>
  <dataValidations count="6">
    <dataValidation allowBlank="true" error="Please pick from the list." errorStyle="stop" errorTitle="Choose from the list" operator="between" showDropDown="false" showErrorMessage="false" showInputMessage="false" sqref="C9:C18" type="list">
      <formula1>Lists!$A$2:$A$3</formula1>
      <formula2>0</formula2>
    </dataValidation>
    <dataValidation allowBlank="true" error="Please pick from the list." errorStyle="stop" errorTitle="Choose from the list" operator="between" showDropDown="false" showErrorMessage="false" showInputMessage="false" sqref="I9:I18" type="list">
      <formula1>Lists!$B$2:$B$3</formula1>
      <formula2>0</formula2>
    </dataValidation>
    <dataValidation allowBlank="true" error="Please pick from the list." errorStyle="stop" errorTitle="Choose from the list" operator="between" showDropDown="false" showErrorMessage="false" showInputMessage="false" sqref="G9:G18" type="list">
      <formula1>Lists!$I$2:$I$12</formula1>
      <formula2>0</formula2>
    </dataValidation>
    <dataValidation allowBlank="true" error="Please enter a date, e.g. 29/03/2027" errorStyle="stop" errorTitle="Date needed" operator="greaterThan" showDropDown="false" showErrorMessage="false" showInputMessage="false" sqref="Z9:Z18" type="date">
      <formula1>36526</formula1>
      <formula2>0</formula2>
    </dataValidation>
    <dataValidation allowBlank="true" error="Enter a day of the month from 1 to 31" errorStyle="stop" errorTitle="Day 1–31" operator="between" showDropDown="false" showErrorMessage="false" showInputMessage="false" sqref="X9:X18" type="whole">
      <formula1>1</formula1>
      <formula2>31</formula2>
    </dataValidation>
    <dataValidation allowBlank="true" error="Enter 0, 1, 2 or 3" errorStyle="stop" errorTitle="Months in arrears" operator="between" showDropDown="false" showErrorMessage="false" showInputMessage="false" sqref="Y9:Y18" type="whole">
      <formula1>0</formula1>
      <formula2>3</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C7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2"/>
    <col collapsed="false" customWidth="true" hidden="false" outlineLevel="0" max="3" min="3" style="1" width="36"/>
    <col collapsed="false" customWidth="true" hidden="false" outlineLevel="0" max="4" min="4" style="1" width="8"/>
    <col collapsed="false" customWidth="true" hidden="false" outlineLevel="0" max="5" min="5" style="1" width="12"/>
    <col collapsed="false" customWidth="true" hidden="false" outlineLevel="0" max="6" min="6" style="1" width="11"/>
    <col collapsed="false" customWidth="true" hidden="false" outlineLevel="0" max="9" min="7" style="1" width="12"/>
    <col collapsed="false" customWidth="true" hidden="false" outlineLevel="0" max="22" min="10" style="1" width="11"/>
    <col collapsed="false" customWidth="true" hidden="false" outlineLevel="0" max="23" min="23" style="1" width="13"/>
    <col collapsed="false" customWidth="true" hidden="true" outlineLevel="0" max="24" min="24" style="1" width="3"/>
    <col collapsed="false" customWidth="true" hidden="true" outlineLevel="0" max="28" min="25" style="1" width="10"/>
    <col collapsed="false" customWidth="true" hidden="true" outlineLevel="0" max="29" min="29" style="1" width="28"/>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c r="Y1" s="2"/>
      <c r="Z1" s="2"/>
      <c r="AA1" s="2"/>
      <c r="AB1" s="2"/>
      <c r="AC1" s="2"/>
    </row>
    <row r="2" customFormat="false" ht="15" hidden="false" customHeight="false" outlineLevel="0" collapsed="false">
      <c r="A2" s="4" t="s">
        <v>477</v>
      </c>
      <c r="B2" s="2"/>
      <c r="C2" s="2"/>
      <c r="D2" s="2"/>
      <c r="E2" s="2"/>
      <c r="F2" s="2"/>
      <c r="G2" s="2"/>
      <c r="H2" s="2"/>
      <c r="I2" s="2"/>
      <c r="J2" s="2"/>
      <c r="K2" s="2"/>
      <c r="L2" s="2"/>
      <c r="M2" s="2"/>
      <c r="N2" s="2"/>
      <c r="O2" s="2"/>
      <c r="P2" s="2"/>
      <c r="Q2" s="2"/>
      <c r="R2" s="2"/>
      <c r="S2" s="2"/>
      <c r="T2" s="2"/>
      <c r="U2" s="2"/>
      <c r="V2" s="2"/>
      <c r="W2" s="2"/>
      <c r="X2" s="2"/>
      <c r="Y2" s="2"/>
      <c r="Z2" s="2"/>
      <c r="AA2" s="2"/>
      <c r="AB2" s="2"/>
      <c r="AC2" s="2"/>
    </row>
    <row r="3" customFormat="false" ht="15" hidden="false" customHeight="false" outlineLevel="0" collapsed="false">
      <c r="A3" s="21" t="s">
        <v>478</v>
      </c>
      <c r="B3" s="2"/>
      <c r="C3" s="2"/>
      <c r="D3" s="2"/>
      <c r="E3" s="2"/>
      <c r="F3" s="2"/>
      <c r="G3" s="2"/>
      <c r="H3" s="2"/>
      <c r="I3" s="2"/>
      <c r="J3" s="2"/>
      <c r="K3" s="2"/>
      <c r="L3" s="2"/>
      <c r="M3" s="2"/>
      <c r="N3" s="2"/>
      <c r="O3" s="2"/>
      <c r="P3" s="2"/>
      <c r="Q3" s="2"/>
      <c r="R3" s="2"/>
      <c r="S3" s="2"/>
      <c r="T3" s="2"/>
      <c r="U3" s="2"/>
      <c r="V3" s="2"/>
      <c r="W3" s="2"/>
      <c r="X3" s="2"/>
      <c r="Y3" s="2"/>
      <c r="Z3" s="2"/>
      <c r="AA3" s="2"/>
      <c r="AB3" s="2"/>
      <c r="AC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c r="Y4" s="2"/>
      <c r="Z4" s="2"/>
      <c r="AA4" s="2"/>
      <c r="AB4" s="2"/>
      <c r="AC4" s="2"/>
    </row>
    <row r="5" customFormat="false" ht="15" hidden="false" customHeight="false" outlineLevel="0" collapsed="false">
      <c r="A5" s="2"/>
      <c r="B5" s="2"/>
      <c r="C5" s="2"/>
      <c r="D5" s="2"/>
      <c r="E5" s="2"/>
      <c r="F5" s="2"/>
      <c r="G5" s="2"/>
      <c r="H5" s="2"/>
      <c r="I5" s="2"/>
      <c r="J5" s="42" t="str">
        <f aca="false">"Week "&amp;Lists!C$20</f>
        <v>Week 1</v>
      </c>
      <c r="K5" s="42" t="str">
        <f aca="false">"Week "&amp;Lists!D$20</f>
        <v>Week 2</v>
      </c>
      <c r="L5" s="42" t="str">
        <f aca="false">"Week "&amp;Lists!E$20</f>
        <v>Week 3</v>
      </c>
      <c r="M5" s="42" t="str">
        <f aca="false">"Week "&amp;Lists!F$20</f>
        <v>Week 4</v>
      </c>
      <c r="N5" s="42" t="str">
        <f aca="false">"Week "&amp;Lists!G$20</f>
        <v>Week 5</v>
      </c>
      <c r="O5" s="42" t="str">
        <f aca="false">"Week "&amp;Lists!H$20</f>
        <v>Week 6</v>
      </c>
      <c r="P5" s="42" t="str">
        <f aca="false">"Week "&amp;Lists!I$20</f>
        <v>Week 7</v>
      </c>
      <c r="Q5" s="42" t="str">
        <f aca="false">"Week "&amp;Lists!J$20</f>
        <v>Week 8</v>
      </c>
      <c r="R5" s="42" t="str">
        <f aca="false">"Week "&amp;Lists!K$20</f>
        <v>Week 9</v>
      </c>
      <c r="S5" s="42" t="str">
        <f aca="false">"Week "&amp;Lists!L$20</f>
        <v>Week 10</v>
      </c>
      <c r="T5" s="42" t="str">
        <f aca="false">"Week "&amp;Lists!M$20</f>
        <v>Week 11</v>
      </c>
      <c r="U5" s="42" t="str">
        <f aca="false">"Week "&amp;Lists!N$20</f>
        <v>Week 12</v>
      </c>
      <c r="V5" s="42" t="str">
        <f aca="false">"Week "&amp;Lists!O$20</f>
        <v>Week 13</v>
      </c>
      <c r="W5" s="42" t="s">
        <v>253</v>
      </c>
      <c r="X5" s="2"/>
      <c r="Y5" s="2"/>
      <c r="Z5" s="2"/>
      <c r="AA5" s="2"/>
      <c r="AB5" s="2"/>
      <c r="AC5" s="2"/>
    </row>
    <row r="6" customFormat="false" ht="15" hidden="false" customHeight="false" outlineLevel="0" collapsed="false">
      <c r="A6" s="2"/>
      <c r="B6" s="2"/>
      <c r="C6" s="2"/>
      <c r="D6" s="2"/>
      <c r="E6" s="2"/>
      <c r="F6" s="2"/>
      <c r="G6" s="2"/>
      <c r="H6" s="2"/>
      <c r="I6" s="2"/>
      <c r="J6" s="45" t="n">
        <f aca="false">Lists!C$21</f>
        <v>46339</v>
      </c>
      <c r="K6" s="45" t="n">
        <f aca="false">Lists!D$21</f>
        <v>46346</v>
      </c>
      <c r="L6" s="45" t="n">
        <f aca="false">Lists!E$21</f>
        <v>46353</v>
      </c>
      <c r="M6" s="45" t="n">
        <f aca="false">Lists!F$21</f>
        <v>46360</v>
      </c>
      <c r="N6" s="45" t="n">
        <f aca="false">Lists!G$21</f>
        <v>46367</v>
      </c>
      <c r="O6" s="45" t="n">
        <f aca="false">Lists!H$21</f>
        <v>46374</v>
      </c>
      <c r="P6" s="45" t="n">
        <f aca="false">Lists!I$21</f>
        <v>46381</v>
      </c>
      <c r="Q6" s="45" t="n">
        <f aca="false">Lists!J$21</f>
        <v>46388</v>
      </c>
      <c r="R6" s="45" t="n">
        <f aca="false">Lists!K$21</f>
        <v>46395</v>
      </c>
      <c r="S6" s="45" t="n">
        <f aca="false">Lists!L$21</f>
        <v>46402</v>
      </c>
      <c r="T6" s="45" t="n">
        <f aca="false">Lists!M$21</f>
        <v>46409</v>
      </c>
      <c r="U6" s="45" t="n">
        <f aca="false">Lists!N$21</f>
        <v>46416</v>
      </c>
      <c r="V6" s="45" t="n">
        <f aca="false">Lists!O$21</f>
        <v>46423</v>
      </c>
      <c r="W6" s="42" t="s">
        <v>254</v>
      </c>
      <c r="X6" s="2"/>
      <c r="Y6" s="2"/>
      <c r="Z6" s="2"/>
      <c r="AA6" s="2"/>
      <c r="AB6" s="2"/>
      <c r="AC6" s="2"/>
    </row>
    <row r="7" customFormat="false" ht="15" hidden="false" customHeight="false" outlineLevel="0" collapsed="false">
      <c r="A7" s="5" t="s">
        <v>479</v>
      </c>
      <c r="B7" s="6"/>
      <c r="C7" s="6"/>
      <c r="D7" s="6"/>
      <c r="E7" s="6"/>
      <c r="F7" s="6"/>
      <c r="G7" s="6"/>
      <c r="H7" s="6"/>
      <c r="I7" s="6"/>
      <c r="J7" s="6"/>
      <c r="K7" s="6"/>
      <c r="L7" s="6"/>
      <c r="M7" s="6"/>
      <c r="N7" s="6"/>
      <c r="O7" s="6"/>
      <c r="P7" s="6"/>
      <c r="Q7" s="6"/>
      <c r="R7" s="6"/>
      <c r="S7" s="6"/>
      <c r="T7" s="6"/>
      <c r="U7" s="6"/>
      <c r="V7" s="6"/>
      <c r="W7" s="6"/>
      <c r="X7" s="6"/>
      <c r="Y7" s="63" t="s">
        <v>376</v>
      </c>
      <c r="Z7" s="2"/>
      <c r="AA7" s="2"/>
      <c r="AB7" s="2"/>
      <c r="AC7" s="2"/>
    </row>
    <row r="8" customFormat="false" ht="42" hidden="false" customHeight="true" outlineLevel="0" collapsed="false">
      <c r="A8" s="56" t="s">
        <v>377</v>
      </c>
      <c r="B8" s="56" t="s">
        <v>480</v>
      </c>
      <c r="C8" s="56" t="s">
        <v>481</v>
      </c>
      <c r="D8" s="56" t="s">
        <v>458</v>
      </c>
      <c r="E8" s="56" t="s">
        <v>482</v>
      </c>
      <c r="F8" s="56" t="s">
        <v>483</v>
      </c>
      <c r="G8" s="56" t="s">
        <v>484</v>
      </c>
      <c r="H8" s="56" t="s">
        <v>485</v>
      </c>
      <c r="I8" s="56" t="s">
        <v>486</v>
      </c>
      <c r="J8" s="56" t="s">
        <v>487</v>
      </c>
      <c r="K8" s="56" t="s">
        <v>487</v>
      </c>
      <c r="L8" s="56" t="s">
        <v>487</v>
      </c>
      <c r="M8" s="56" t="s">
        <v>487</v>
      </c>
      <c r="N8" s="56" t="s">
        <v>487</v>
      </c>
      <c r="O8" s="56" t="s">
        <v>487</v>
      </c>
      <c r="P8" s="56" t="s">
        <v>487</v>
      </c>
      <c r="Q8" s="56" t="s">
        <v>487</v>
      </c>
      <c r="R8" s="56" t="s">
        <v>487</v>
      </c>
      <c r="S8" s="56" t="s">
        <v>487</v>
      </c>
      <c r="T8" s="56" t="s">
        <v>487</v>
      </c>
      <c r="U8" s="56" t="s">
        <v>487</v>
      </c>
      <c r="V8" s="56" t="s">
        <v>487</v>
      </c>
      <c r="W8" s="56" t="s">
        <v>488</v>
      </c>
      <c r="X8" s="2"/>
      <c r="Y8" s="56" t="s">
        <v>443</v>
      </c>
      <c r="Z8" s="56" t="s">
        <v>489</v>
      </c>
      <c r="AA8" s="56" t="s">
        <v>490</v>
      </c>
      <c r="AB8" s="56" t="s">
        <v>491</v>
      </c>
      <c r="AC8" s="56" t="s">
        <v>492</v>
      </c>
    </row>
    <row r="9" customFormat="false" ht="15" hidden="false" customHeight="false" outlineLevel="0" collapsed="false">
      <c r="A9" s="87" t="n">
        <v>1</v>
      </c>
      <c r="B9" s="55" t="s">
        <v>493</v>
      </c>
      <c r="C9" s="55" t="s">
        <v>494</v>
      </c>
      <c r="D9" s="58" t="s">
        <v>186</v>
      </c>
      <c r="E9" s="88" t="n">
        <v>30000</v>
      </c>
      <c r="F9" s="58" t="s">
        <v>495</v>
      </c>
      <c r="G9" s="90" t="n">
        <v>46381</v>
      </c>
      <c r="H9" s="90"/>
      <c r="I9" s="92" t="n">
        <f aca="false">N(E9)*Y9</f>
        <v>36000</v>
      </c>
      <c r="J9" s="53" t="n">
        <f aca="false">IF(OR(N($E9)=0,$G9=""),0,$I9*IF($F9="Weekly",((Lists!C$21-MOD(Lists!C$21-$G9,7))&gt;=$G9)*((Lists!C$21-MOD(Lists!C$21-$G9,7))&lt;=$AB9),IF($F9="One-off",($G9&gt;Lists!C$23)*($G9&lt;=Lists!C$21),IF($F9="",0,(((Lists!C$24-$AA9)-MOD((Lists!C$24-$AA9),$Z9))&gt;=0)*(EDATE($G9,((Lists!C$24-$AA9)-MOD((Lists!C$24-$AA9),$Z9)))&gt;Lists!C$23)*(EDATE($G9,((Lists!C$24-$AA9)-MOD((Lists!C$24-$AA9),$Z9)))&lt;=Lists!C$21)*(EDATE($G9,((Lists!C$24-$AA9)-MOD((Lists!C$24-$AA9),$Z9)))&lt;=$AB9)+((((Lists!C$24-$AA9)-MOD((Lists!C$24-$AA9),$Z9))-$Z9)&gt;=0)*(EDATE($G9,(((Lists!C$24-$AA9)-MOD((Lists!C$24-$AA9),$Z9))-$Z9))&gt;Lists!C$23)*(EDATE($G9,(((Lists!C$24-$AA9)-MOD((Lists!C$24-$AA9),$Z9))-$Z9))&lt;=Lists!C$21)*(EDATE($G9,(((Lists!C$24-$AA9)-MOD((Lists!C$24-$AA9),$Z9))-$Z9))&lt;=$AB9)))))</f>
        <v>0</v>
      </c>
      <c r="K9" s="53" t="n">
        <f aca="false">IF(OR(N($E9)=0,$G9=""),0,$I9*IF($F9="Weekly",((Lists!D$21-MOD(Lists!D$21-$G9,7))&gt;=$G9)*((Lists!D$21-MOD(Lists!D$21-$G9,7))&lt;=$AB9),IF($F9="One-off",($G9&gt;Lists!D$23)*($G9&lt;=Lists!D$21),IF($F9="",0,(((Lists!D$24-$AA9)-MOD((Lists!D$24-$AA9),$Z9))&gt;=0)*(EDATE($G9,((Lists!D$24-$AA9)-MOD((Lists!D$24-$AA9),$Z9)))&gt;Lists!D$23)*(EDATE($G9,((Lists!D$24-$AA9)-MOD((Lists!D$24-$AA9),$Z9)))&lt;=Lists!D$21)*(EDATE($G9,((Lists!D$24-$AA9)-MOD((Lists!D$24-$AA9),$Z9)))&lt;=$AB9)+((((Lists!D$24-$AA9)-MOD((Lists!D$24-$AA9),$Z9))-$Z9)&gt;=0)*(EDATE($G9,(((Lists!D$24-$AA9)-MOD((Lists!D$24-$AA9),$Z9))-$Z9))&gt;Lists!D$23)*(EDATE($G9,(((Lists!D$24-$AA9)-MOD((Lists!D$24-$AA9),$Z9))-$Z9))&lt;=Lists!D$21)*(EDATE($G9,(((Lists!D$24-$AA9)-MOD((Lists!D$24-$AA9),$Z9))-$Z9))&lt;=$AB9)))))</f>
        <v>0</v>
      </c>
      <c r="L9" s="53" t="n">
        <f aca="false">IF(OR(N($E9)=0,$G9=""),0,$I9*IF($F9="Weekly",((Lists!E$21-MOD(Lists!E$21-$G9,7))&gt;=$G9)*((Lists!E$21-MOD(Lists!E$21-$G9,7))&lt;=$AB9),IF($F9="One-off",($G9&gt;Lists!E$23)*($G9&lt;=Lists!E$21),IF($F9="",0,(((Lists!E$24-$AA9)-MOD((Lists!E$24-$AA9),$Z9))&gt;=0)*(EDATE($G9,((Lists!E$24-$AA9)-MOD((Lists!E$24-$AA9),$Z9)))&gt;Lists!E$23)*(EDATE($G9,((Lists!E$24-$AA9)-MOD((Lists!E$24-$AA9),$Z9)))&lt;=Lists!E$21)*(EDATE($G9,((Lists!E$24-$AA9)-MOD((Lists!E$24-$AA9),$Z9)))&lt;=$AB9)+((((Lists!E$24-$AA9)-MOD((Lists!E$24-$AA9),$Z9))-$Z9)&gt;=0)*(EDATE($G9,(((Lists!E$24-$AA9)-MOD((Lists!E$24-$AA9),$Z9))-$Z9))&gt;Lists!E$23)*(EDATE($G9,(((Lists!E$24-$AA9)-MOD((Lists!E$24-$AA9),$Z9))-$Z9))&lt;=Lists!E$21)*(EDATE($G9,(((Lists!E$24-$AA9)-MOD((Lists!E$24-$AA9),$Z9))-$Z9))&lt;=$AB9)))))</f>
        <v>0</v>
      </c>
      <c r="M9" s="53" t="n">
        <f aca="false">IF(OR(N($E9)=0,$G9=""),0,$I9*IF($F9="Weekly",((Lists!F$21-MOD(Lists!F$21-$G9,7))&gt;=$G9)*((Lists!F$21-MOD(Lists!F$21-$G9,7))&lt;=$AB9),IF($F9="One-off",($G9&gt;Lists!F$23)*($G9&lt;=Lists!F$21),IF($F9="",0,(((Lists!F$24-$AA9)-MOD((Lists!F$24-$AA9),$Z9))&gt;=0)*(EDATE($G9,((Lists!F$24-$AA9)-MOD((Lists!F$24-$AA9),$Z9)))&gt;Lists!F$23)*(EDATE($G9,((Lists!F$24-$AA9)-MOD((Lists!F$24-$AA9),$Z9)))&lt;=Lists!F$21)*(EDATE($G9,((Lists!F$24-$AA9)-MOD((Lists!F$24-$AA9),$Z9)))&lt;=$AB9)+((((Lists!F$24-$AA9)-MOD((Lists!F$24-$AA9),$Z9))-$Z9)&gt;=0)*(EDATE($G9,(((Lists!F$24-$AA9)-MOD((Lists!F$24-$AA9),$Z9))-$Z9))&gt;Lists!F$23)*(EDATE($G9,(((Lists!F$24-$AA9)-MOD((Lists!F$24-$AA9),$Z9))-$Z9))&lt;=Lists!F$21)*(EDATE($G9,(((Lists!F$24-$AA9)-MOD((Lists!F$24-$AA9),$Z9))-$Z9))&lt;=$AB9)))))</f>
        <v>0</v>
      </c>
      <c r="N9" s="53" t="n">
        <f aca="false">IF(OR(N($E9)=0,$G9=""),0,$I9*IF($F9="Weekly",((Lists!G$21-MOD(Lists!G$21-$G9,7))&gt;=$G9)*((Lists!G$21-MOD(Lists!G$21-$G9,7))&lt;=$AB9),IF($F9="One-off",($G9&gt;Lists!G$23)*($G9&lt;=Lists!G$21),IF($F9="",0,(((Lists!G$24-$AA9)-MOD((Lists!G$24-$AA9),$Z9))&gt;=0)*(EDATE($G9,((Lists!G$24-$AA9)-MOD((Lists!G$24-$AA9),$Z9)))&gt;Lists!G$23)*(EDATE($G9,((Lists!G$24-$AA9)-MOD((Lists!G$24-$AA9),$Z9)))&lt;=Lists!G$21)*(EDATE($G9,((Lists!G$24-$AA9)-MOD((Lists!G$24-$AA9),$Z9)))&lt;=$AB9)+((((Lists!G$24-$AA9)-MOD((Lists!G$24-$AA9),$Z9))-$Z9)&gt;=0)*(EDATE($G9,(((Lists!G$24-$AA9)-MOD((Lists!G$24-$AA9),$Z9))-$Z9))&gt;Lists!G$23)*(EDATE($G9,(((Lists!G$24-$AA9)-MOD((Lists!G$24-$AA9),$Z9))-$Z9))&lt;=Lists!G$21)*(EDATE($G9,(((Lists!G$24-$AA9)-MOD((Lists!G$24-$AA9),$Z9))-$Z9))&lt;=$AB9)))))</f>
        <v>0</v>
      </c>
      <c r="O9" s="53" t="n">
        <f aca="false">IF(OR(N($E9)=0,$G9=""),0,$I9*IF($F9="Weekly",((Lists!H$21-MOD(Lists!H$21-$G9,7))&gt;=$G9)*((Lists!H$21-MOD(Lists!H$21-$G9,7))&lt;=$AB9),IF($F9="One-off",($G9&gt;Lists!H$23)*($G9&lt;=Lists!H$21),IF($F9="",0,(((Lists!H$24-$AA9)-MOD((Lists!H$24-$AA9),$Z9))&gt;=0)*(EDATE($G9,((Lists!H$24-$AA9)-MOD((Lists!H$24-$AA9),$Z9)))&gt;Lists!H$23)*(EDATE($G9,((Lists!H$24-$AA9)-MOD((Lists!H$24-$AA9),$Z9)))&lt;=Lists!H$21)*(EDATE($G9,((Lists!H$24-$AA9)-MOD((Lists!H$24-$AA9),$Z9)))&lt;=$AB9)+((((Lists!H$24-$AA9)-MOD((Lists!H$24-$AA9),$Z9))-$Z9)&gt;=0)*(EDATE($G9,(((Lists!H$24-$AA9)-MOD((Lists!H$24-$AA9),$Z9))-$Z9))&gt;Lists!H$23)*(EDATE($G9,(((Lists!H$24-$AA9)-MOD((Lists!H$24-$AA9),$Z9))-$Z9))&lt;=Lists!H$21)*(EDATE($G9,(((Lists!H$24-$AA9)-MOD((Lists!H$24-$AA9),$Z9))-$Z9))&lt;=$AB9)))))</f>
        <v>0</v>
      </c>
      <c r="P9" s="53" t="n">
        <f aca="false">IF(OR(N($E9)=0,$G9=""),0,$I9*IF($F9="Weekly",((Lists!I$21-MOD(Lists!I$21-$G9,7))&gt;=$G9)*((Lists!I$21-MOD(Lists!I$21-$G9,7))&lt;=$AB9),IF($F9="One-off",($G9&gt;Lists!I$23)*($G9&lt;=Lists!I$21),IF($F9="",0,(((Lists!I$24-$AA9)-MOD((Lists!I$24-$AA9),$Z9))&gt;=0)*(EDATE($G9,((Lists!I$24-$AA9)-MOD((Lists!I$24-$AA9),$Z9)))&gt;Lists!I$23)*(EDATE($G9,((Lists!I$24-$AA9)-MOD((Lists!I$24-$AA9),$Z9)))&lt;=Lists!I$21)*(EDATE($G9,((Lists!I$24-$AA9)-MOD((Lists!I$24-$AA9),$Z9)))&lt;=$AB9)+((((Lists!I$24-$AA9)-MOD((Lists!I$24-$AA9),$Z9))-$Z9)&gt;=0)*(EDATE($G9,(((Lists!I$24-$AA9)-MOD((Lists!I$24-$AA9),$Z9))-$Z9))&gt;Lists!I$23)*(EDATE($G9,(((Lists!I$24-$AA9)-MOD((Lists!I$24-$AA9),$Z9))-$Z9))&lt;=Lists!I$21)*(EDATE($G9,(((Lists!I$24-$AA9)-MOD((Lists!I$24-$AA9),$Z9))-$Z9))&lt;=$AB9)))))</f>
        <v>36000</v>
      </c>
      <c r="Q9" s="53" t="n">
        <f aca="false">IF(OR(N($E9)=0,$G9=""),0,$I9*IF($F9="Weekly",((Lists!J$21-MOD(Lists!J$21-$G9,7))&gt;=$G9)*((Lists!J$21-MOD(Lists!J$21-$G9,7))&lt;=$AB9),IF($F9="One-off",($G9&gt;Lists!J$23)*($G9&lt;=Lists!J$21),IF($F9="",0,(((Lists!J$24-$AA9)-MOD((Lists!J$24-$AA9),$Z9))&gt;=0)*(EDATE($G9,((Lists!J$24-$AA9)-MOD((Lists!J$24-$AA9),$Z9)))&gt;Lists!J$23)*(EDATE($G9,((Lists!J$24-$AA9)-MOD((Lists!J$24-$AA9),$Z9)))&lt;=Lists!J$21)*(EDATE($G9,((Lists!J$24-$AA9)-MOD((Lists!J$24-$AA9),$Z9)))&lt;=$AB9)+((((Lists!J$24-$AA9)-MOD((Lists!J$24-$AA9),$Z9))-$Z9)&gt;=0)*(EDATE($G9,(((Lists!J$24-$AA9)-MOD((Lists!J$24-$AA9),$Z9))-$Z9))&gt;Lists!J$23)*(EDATE($G9,(((Lists!J$24-$AA9)-MOD((Lists!J$24-$AA9),$Z9))-$Z9))&lt;=Lists!J$21)*(EDATE($G9,(((Lists!J$24-$AA9)-MOD((Lists!J$24-$AA9),$Z9))-$Z9))&lt;=$AB9)))))</f>
        <v>0</v>
      </c>
      <c r="R9" s="53" t="n">
        <f aca="false">IF(OR(N($E9)=0,$G9=""),0,$I9*IF($F9="Weekly",((Lists!K$21-MOD(Lists!K$21-$G9,7))&gt;=$G9)*((Lists!K$21-MOD(Lists!K$21-$G9,7))&lt;=$AB9),IF($F9="One-off",($G9&gt;Lists!K$23)*($G9&lt;=Lists!K$21),IF($F9="",0,(((Lists!K$24-$AA9)-MOD((Lists!K$24-$AA9),$Z9))&gt;=0)*(EDATE($G9,((Lists!K$24-$AA9)-MOD((Lists!K$24-$AA9),$Z9)))&gt;Lists!K$23)*(EDATE($G9,((Lists!K$24-$AA9)-MOD((Lists!K$24-$AA9),$Z9)))&lt;=Lists!K$21)*(EDATE($G9,((Lists!K$24-$AA9)-MOD((Lists!K$24-$AA9),$Z9)))&lt;=$AB9)+((((Lists!K$24-$AA9)-MOD((Lists!K$24-$AA9),$Z9))-$Z9)&gt;=0)*(EDATE($G9,(((Lists!K$24-$AA9)-MOD((Lists!K$24-$AA9),$Z9))-$Z9))&gt;Lists!K$23)*(EDATE($G9,(((Lists!K$24-$AA9)-MOD((Lists!K$24-$AA9),$Z9))-$Z9))&lt;=Lists!K$21)*(EDATE($G9,(((Lists!K$24-$AA9)-MOD((Lists!K$24-$AA9),$Z9))-$Z9))&lt;=$AB9)))))</f>
        <v>0</v>
      </c>
      <c r="S9" s="53" t="n">
        <f aca="false">IF(OR(N($E9)=0,$G9=""),0,$I9*IF($F9="Weekly",((Lists!L$21-MOD(Lists!L$21-$G9,7))&gt;=$G9)*((Lists!L$21-MOD(Lists!L$21-$G9,7))&lt;=$AB9),IF($F9="One-off",($G9&gt;Lists!L$23)*($G9&lt;=Lists!L$21),IF($F9="",0,(((Lists!L$24-$AA9)-MOD((Lists!L$24-$AA9),$Z9))&gt;=0)*(EDATE($G9,((Lists!L$24-$AA9)-MOD((Lists!L$24-$AA9),$Z9)))&gt;Lists!L$23)*(EDATE($G9,((Lists!L$24-$AA9)-MOD((Lists!L$24-$AA9),$Z9)))&lt;=Lists!L$21)*(EDATE($G9,((Lists!L$24-$AA9)-MOD((Lists!L$24-$AA9),$Z9)))&lt;=$AB9)+((((Lists!L$24-$AA9)-MOD((Lists!L$24-$AA9),$Z9))-$Z9)&gt;=0)*(EDATE($G9,(((Lists!L$24-$AA9)-MOD((Lists!L$24-$AA9),$Z9))-$Z9))&gt;Lists!L$23)*(EDATE($G9,(((Lists!L$24-$AA9)-MOD((Lists!L$24-$AA9),$Z9))-$Z9))&lt;=Lists!L$21)*(EDATE($G9,(((Lists!L$24-$AA9)-MOD((Lists!L$24-$AA9),$Z9))-$Z9))&lt;=$AB9)))))</f>
        <v>0</v>
      </c>
      <c r="T9" s="53" t="n">
        <f aca="false">IF(OR(N($E9)=0,$G9=""),0,$I9*IF($F9="Weekly",((Lists!M$21-MOD(Lists!M$21-$G9,7))&gt;=$G9)*((Lists!M$21-MOD(Lists!M$21-$G9,7))&lt;=$AB9),IF($F9="One-off",($G9&gt;Lists!M$23)*($G9&lt;=Lists!M$21),IF($F9="",0,(((Lists!M$24-$AA9)-MOD((Lists!M$24-$AA9),$Z9))&gt;=0)*(EDATE($G9,((Lists!M$24-$AA9)-MOD((Lists!M$24-$AA9),$Z9)))&gt;Lists!M$23)*(EDATE($G9,((Lists!M$24-$AA9)-MOD((Lists!M$24-$AA9),$Z9)))&lt;=Lists!M$21)*(EDATE($G9,((Lists!M$24-$AA9)-MOD((Lists!M$24-$AA9),$Z9)))&lt;=$AB9)+((((Lists!M$24-$AA9)-MOD((Lists!M$24-$AA9),$Z9))-$Z9)&gt;=0)*(EDATE($G9,(((Lists!M$24-$AA9)-MOD((Lists!M$24-$AA9),$Z9))-$Z9))&gt;Lists!M$23)*(EDATE($G9,(((Lists!M$24-$AA9)-MOD((Lists!M$24-$AA9),$Z9))-$Z9))&lt;=Lists!M$21)*(EDATE($G9,(((Lists!M$24-$AA9)-MOD((Lists!M$24-$AA9),$Z9))-$Z9))&lt;=$AB9)))))</f>
        <v>0</v>
      </c>
      <c r="U9" s="53" t="n">
        <f aca="false">IF(OR(N($E9)=0,$G9=""),0,$I9*IF($F9="Weekly",((Lists!N$21-MOD(Lists!N$21-$G9,7))&gt;=$G9)*((Lists!N$21-MOD(Lists!N$21-$G9,7))&lt;=$AB9),IF($F9="One-off",($G9&gt;Lists!N$23)*($G9&lt;=Lists!N$21),IF($F9="",0,(((Lists!N$24-$AA9)-MOD((Lists!N$24-$AA9),$Z9))&gt;=0)*(EDATE($G9,((Lists!N$24-$AA9)-MOD((Lists!N$24-$AA9),$Z9)))&gt;Lists!N$23)*(EDATE($G9,((Lists!N$24-$AA9)-MOD((Lists!N$24-$AA9),$Z9)))&lt;=Lists!N$21)*(EDATE($G9,((Lists!N$24-$AA9)-MOD((Lists!N$24-$AA9),$Z9)))&lt;=$AB9)+((((Lists!N$24-$AA9)-MOD((Lists!N$24-$AA9),$Z9))-$Z9)&gt;=0)*(EDATE($G9,(((Lists!N$24-$AA9)-MOD((Lists!N$24-$AA9),$Z9))-$Z9))&gt;Lists!N$23)*(EDATE($G9,(((Lists!N$24-$AA9)-MOD((Lists!N$24-$AA9),$Z9))-$Z9))&lt;=Lists!N$21)*(EDATE($G9,(((Lists!N$24-$AA9)-MOD((Lists!N$24-$AA9),$Z9))-$Z9))&lt;=$AB9)))))</f>
        <v>0</v>
      </c>
      <c r="V9" s="53" t="n">
        <f aca="false">IF(OR(N($E9)=0,$G9=""),0,$I9*IF($F9="Weekly",((Lists!O$21-MOD(Lists!O$21-$G9,7))&gt;=$G9)*((Lists!O$21-MOD(Lists!O$21-$G9,7))&lt;=$AB9),IF($F9="One-off",($G9&gt;Lists!O$23)*($G9&lt;=Lists!O$21),IF($F9="",0,(((Lists!O$24-$AA9)-MOD((Lists!O$24-$AA9),$Z9))&gt;=0)*(EDATE($G9,((Lists!O$24-$AA9)-MOD((Lists!O$24-$AA9),$Z9)))&gt;Lists!O$23)*(EDATE($G9,((Lists!O$24-$AA9)-MOD((Lists!O$24-$AA9),$Z9)))&lt;=Lists!O$21)*(EDATE($G9,((Lists!O$24-$AA9)-MOD((Lists!O$24-$AA9),$Z9)))&lt;=$AB9)+((((Lists!O$24-$AA9)-MOD((Lists!O$24-$AA9),$Z9))-$Z9)&gt;=0)*(EDATE($G9,(((Lists!O$24-$AA9)-MOD((Lists!O$24-$AA9),$Z9))-$Z9))&gt;Lists!O$23)*(EDATE($G9,(((Lists!O$24-$AA9)-MOD((Lists!O$24-$AA9),$Z9))-$Z9))&lt;=Lists!O$21)*(EDATE($G9,(((Lists!O$24-$AA9)-MOD((Lists!O$24-$AA9),$Z9))-$Z9))&lt;=$AB9)))))</f>
        <v>0</v>
      </c>
      <c r="W9" s="46" t="n">
        <f aca="false">SUM(J9:V9)</f>
        <v>36000</v>
      </c>
      <c r="X9" s="2"/>
      <c r="Y9" s="104" t="n">
        <f aca="false">IF(AND(Setup!$D$16="Yes",D9&lt;&gt;"No"),1+Setup!$D$17,1)</f>
        <v>1.2</v>
      </c>
      <c r="Z9" s="94" t="n">
        <f aca="false">IF(F9="Quarterly",3,IF(F9="Annually",12,1))</f>
        <v>3</v>
      </c>
      <c r="AA9" s="94" t="n">
        <f aca="false">IF(G9="",0,YEAR(G9)*12+MONTH(G9))</f>
        <v>24324</v>
      </c>
      <c r="AB9" s="93" t="n">
        <f aca="false">IF(H9="",2958465,H9)</f>
        <v>2958465</v>
      </c>
      <c r="AC9" s="95" t="str">
        <f aca="false">IF(C9="","Other overheads",C9)</f>
        <v>Premises (rent, rates, service charge)</v>
      </c>
    </row>
    <row r="10" customFormat="false" ht="15" hidden="false" customHeight="false" outlineLevel="0" collapsed="false">
      <c r="A10" s="87" t="n">
        <v>2</v>
      </c>
      <c r="B10" s="55" t="s">
        <v>496</v>
      </c>
      <c r="C10" s="55" t="s">
        <v>494</v>
      </c>
      <c r="D10" s="58" t="s">
        <v>497</v>
      </c>
      <c r="E10" s="88" t="n">
        <v>3500</v>
      </c>
      <c r="F10" s="58" t="s">
        <v>498</v>
      </c>
      <c r="G10" s="90" t="n">
        <v>46341</v>
      </c>
      <c r="H10" s="90"/>
      <c r="I10" s="92" t="n">
        <f aca="false">N(E10)*Y10</f>
        <v>3500</v>
      </c>
      <c r="J10" s="53" t="n">
        <f aca="false">IF(OR(N($E10)=0,$G10=""),0,$I10*IF($F10="Weekly",((Lists!C$21-MOD(Lists!C$21-$G10,7))&gt;=$G10)*((Lists!C$21-MOD(Lists!C$21-$G10,7))&lt;=$AB10),IF($F10="One-off",($G10&gt;Lists!C$23)*($G10&lt;=Lists!C$21),IF($F10="",0,(((Lists!C$24-$AA10)-MOD((Lists!C$24-$AA10),$Z10))&gt;=0)*(EDATE($G10,((Lists!C$24-$AA10)-MOD((Lists!C$24-$AA10),$Z10)))&gt;Lists!C$23)*(EDATE($G10,((Lists!C$24-$AA10)-MOD((Lists!C$24-$AA10),$Z10)))&lt;=Lists!C$21)*(EDATE($G10,((Lists!C$24-$AA10)-MOD((Lists!C$24-$AA10),$Z10)))&lt;=$AB10)+((((Lists!C$24-$AA10)-MOD((Lists!C$24-$AA10),$Z10))-$Z10)&gt;=0)*(EDATE($G10,(((Lists!C$24-$AA10)-MOD((Lists!C$24-$AA10),$Z10))-$Z10))&gt;Lists!C$23)*(EDATE($G10,(((Lists!C$24-$AA10)-MOD((Lists!C$24-$AA10),$Z10))-$Z10))&lt;=Lists!C$21)*(EDATE($G10,(((Lists!C$24-$AA10)-MOD((Lists!C$24-$AA10),$Z10))-$Z10))&lt;=$AB10)))))</f>
        <v>0</v>
      </c>
      <c r="K10" s="53" t="n">
        <f aca="false">IF(OR(N($E10)=0,$G10=""),0,$I10*IF($F10="Weekly",((Lists!D$21-MOD(Lists!D$21-$G10,7))&gt;=$G10)*((Lists!D$21-MOD(Lists!D$21-$G10,7))&lt;=$AB10),IF($F10="One-off",($G10&gt;Lists!D$23)*($G10&lt;=Lists!D$21),IF($F10="",0,(((Lists!D$24-$AA10)-MOD((Lists!D$24-$AA10),$Z10))&gt;=0)*(EDATE($G10,((Lists!D$24-$AA10)-MOD((Lists!D$24-$AA10),$Z10)))&gt;Lists!D$23)*(EDATE($G10,((Lists!D$24-$AA10)-MOD((Lists!D$24-$AA10),$Z10)))&lt;=Lists!D$21)*(EDATE($G10,((Lists!D$24-$AA10)-MOD((Lists!D$24-$AA10),$Z10)))&lt;=$AB10)+((((Lists!D$24-$AA10)-MOD((Lists!D$24-$AA10),$Z10))-$Z10)&gt;=0)*(EDATE($G10,(((Lists!D$24-$AA10)-MOD((Lists!D$24-$AA10),$Z10))-$Z10))&gt;Lists!D$23)*(EDATE($G10,(((Lists!D$24-$AA10)-MOD((Lists!D$24-$AA10),$Z10))-$Z10))&lt;=Lists!D$21)*(EDATE($G10,(((Lists!D$24-$AA10)-MOD((Lists!D$24-$AA10),$Z10))-$Z10))&lt;=$AB10)))))</f>
        <v>3500</v>
      </c>
      <c r="L10" s="53" t="n">
        <f aca="false">IF(OR(N($E10)=0,$G10=""),0,$I10*IF($F10="Weekly",((Lists!E$21-MOD(Lists!E$21-$G10,7))&gt;=$G10)*((Lists!E$21-MOD(Lists!E$21-$G10,7))&lt;=$AB10),IF($F10="One-off",($G10&gt;Lists!E$23)*($G10&lt;=Lists!E$21),IF($F10="",0,(((Lists!E$24-$AA10)-MOD((Lists!E$24-$AA10),$Z10))&gt;=0)*(EDATE($G10,((Lists!E$24-$AA10)-MOD((Lists!E$24-$AA10),$Z10)))&gt;Lists!E$23)*(EDATE($G10,((Lists!E$24-$AA10)-MOD((Lists!E$24-$AA10),$Z10)))&lt;=Lists!E$21)*(EDATE($G10,((Lists!E$24-$AA10)-MOD((Lists!E$24-$AA10),$Z10)))&lt;=$AB10)+((((Lists!E$24-$AA10)-MOD((Lists!E$24-$AA10),$Z10))-$Z10)&gt;=0)*(EDATE($G10,(((Lists!E$24-$AA10)-MOD((Lists!E$24-$AA10),$Z10))-$Z10))&gt;Lists!E$23)*(EDATE($G10,(((Lists!E$24-$AA10)-MOD((Lists!E$24-$AA10),$Z10))-$Z10))&lt;=Lists!E$21)*(EDATE($G10,(((Lists!E$24-$AA10)-MOD((Lists!E$24-$AA10),$Z10))-$Z10))&lt;=$AB10)))))</f>
        <v>0</v>
      </c>
      <c r="M10" s="53" t="n">
        <f aca="false">IF(OR(N($E10)=0,$G10=""),0,$I10*IF($F10="Weekly",((Lists!F$21-MOD(Lists!F$21-$G10,7))&gt;=$G10)*((Lists!F$21-MOD(Lists!F$21-$G10,7))&lt;=$AB10),IF($F10="One-off",($G10&gt;Lists!F$23)*($G10&lt;=Lists!F$21),IF($F10="",0,(((Lists!F$24-$AA10)-MOD((Lists!F$24-$AA10),$Z10))&gt;=0)*(EDATE($G10,((Lists!F$24-$AA10)-MOD((Lists!F$24-$AA10),$Z10)))&gt;Lists!F$23)*(EDATE($G10,((Lists!F$24-$AA10)-MOD((Lists!F$24-$AA10),$Z10)))&lt;=Lists!F$21)*(EDATE($G10,((Lists!F$24-$AA10)-MOD((Lists!F$24-$AA10),$Z10)))&lt;=$AB10)+((((Lists!F$24-$AA10)-MOD((Lists!F$24-$AA10),$Z10))-$Z10)&gt;=0)*(EDATE($G10,(((Lists!F$24-$AA10)-MOD((Lists!F$24-$AA10),$Z10))-$Z10))&gt;Lists!F$23)*(EDATE($G10,(((Lists!F$24-$AA10)-MOD((Lists!F$24-$AA10),$Z10))-$Z10))&lt;=Lists!F$21)*(EDATE($G10,(((Lists!F$24-$AA10)-MOD((Lists!F$24-$AA10),$Z10))-$Z10))&lt;=$AB10)))))</f>
        <v>0</v>
      </c>
      <c r="N10" s="53" t="n">
        <f aca="false">IF(OR(N($E10)=0,$G10=""),0,$I10*IF($F10="Weekly",((Lists!G$21-MOD(Lists!G$21-$G10,7))&gt;=$G10)*((Lists!G$21-MOD(Lists!G$21-$G10,7))&lt;=$AB10),IF($F10="One-off",($G10&gt;Lists!G$23)*($G10&lt;=Lists!G$21),IF($F10="",0,(((Lists!G$24-$AA10)-MOD((Lists!G$24-$AA10),$Z10))&gt;=0)*(EDATE($G10,((Lists!G$24-$AA10)-MOD((Lists!G$24-$AA10),$Z10)))&gt;Lists!G$23)*(EDATE($G10,((Lists!G$24-$AA10)-MOD((Lists!G$24-$AA10),$Z10)))&lt;=Lists!G$21)*(EDATE($G10,((Lists!G$24-$AA10)-MOD((Lists!G$24-$AA10),$Z10)))&lt;=$AB10)+((((Lists!G$24-$AA10)-MOD((Lists!G$24-$AA10),$Z10))-$Z10)&gt;=0)*(EDATE($G10,(((Lists!G$24-$AA10)-MOD((Lists!G$24-$AA10),$Z10))-$Z10))&gt;Lists!G$23)*(EDATE($G10,(((Lists!G$24-$AA10)-MOD((Lists!G$24-$AA10),$Z10))-$Z10))&lt;=Lists!G$21)*(EDATE($G10,(((Lists!G$24-$AA10)-MOD((Lists!G$24-$AA10),$Z10))-$Z10))&lt;=$AB10)))))</f>
        <v>0</v>
      </c>
      <c r="O10" s="53" t="n">
        <f aca="false">IF(OR(N($E10)=0,$G10=""),0,$I10*IF($F10="Weekly",((Lists!H$21-MOD(Lists!H$21-$G10,7))&gt;=$G10)*((Lists!H$21-MOD(Lists!H$21-$G10,7))&lt;=$AB10),IF($F10="One-off",($G10&gt;Lists!H$23)*($G10&lt;=Lists!H$21),IF($F10="",0,(((Lists!H$24-$AA10)-MOD((Lists!H$24-$AA10),$Z10))&gt;=0)*(EDATE($G10,((Lists!H$24-$AA10)-MOD((Lists!H$24-$AA10),$Z10)))&gt;Lists!H$23)*(EDATE($G10,((Lists!H$24-$AA10)-MOD((Lists!H$24-$AA10),$Z10)))&lt;=Lists!H$21)*(EDATE($G10,((Lists!H$24-$AA10)-MOD((Lists!H$24-$AA10),$Z10)))&lt;=$AB10)+((((Lists!H$24-$AA10)-MOD((Lists!H$24-$AA10),$Z10))-$Z10)&gt;=0)*(EDATE($G10,(((Lists!H$24-$AA10)-MOD((Lists!H$24-$AA10),$Z10))-$Z10))&gt;Lists!H$23)*(EDATE($G10,(((Lists!H$24-$AA10)-MOD((Lists!H$24-$AA10),$Z10))-$Z10))&lt;=Lists!H$21)*(EDATE($G10,(((Lists!H$24-$AA10)-MOD((Lists!H$24-$AA10),$Z10))-$Z10))&lt;=$AB10)))))</f>
        <v>3500</v>
      </c>
      <c r="P10" s="53" t="n">
        <f aca="false">IF(OR(N($E10)=0,$G10=""),0,$I10*IF($F10="Weekly",((Lists!I$21-MOD(Lists!I$21-$G10,7))&gt;=$G10)*((Lists!I$21-MOD(Lists!I$21-$G10,7))&lt;=$AB10),IF($F10="One-off",($G10&gt;Lists!I$23)*($G10&lt;=Lists!I$21),IF($F10="",0,(((Lists!I$24-$AA10)-MOD((Lists!I$24-$AA10),$Z10))&gt;=0)*(EDATE($G10,((Lists!I$24-$AA10)-MOD((Lists!I$24-$AA10),$Z10)))&gt;Lists!I$23)*(EDATE($G10,((Lists!I$24-$AA10)-MOD((Lists!I$24-$AA10),$Z10)))&lt;=Lists!I$21)*(EDATE($G10,((Lists!I$24-$AA10)-MOD((Lists!I$24-$AA10),$Z10)))&lt;=$AB10)+((((Lists!I$24-$AA10)-MOD((Lists!I$24-$AA10),$Z10))-$Z10)&gt;=0)*(EDATE($G10,(((Lists!I$24-$AA10)-MOD((Lists!I$24-$AA10),$Z10))-$Z10))&gt;Lists!I$23)*(EDATE($G10,(((Lists!I$24-$AA10)-MOD((Lists!I$24-$AA10),$Z10))-$Z10))&lt;=Lists!I$21)*(EDATE($G10,(((Lists!I$24-$AA10)-MOD((Lists!I$24-$AA10),$Z10))-$Z10))&lt;=$AB10)))))</f>
        <v>0</v>
      </c>
      <c r="Q10" s="53" t="n">
        <f aca="false">IF(OR(N($E10)=0,$G10=""),0,$I10*IF($F10="Weekly",((Lists!J$21-MOD(Lists!J$21-$G10,7))&gt;=$G10)*((Lists!J$21-MOD(Lists!J$21-$G10,7))&lt;=$AB10),IF($F10="One-off",($G10&gt;Lists!J$23)*($G10&lt;=Lists!J$21),IF($F10="",0,(((Lists!J$24-$AA10)-MOD((Lists!J$24-$AA10),$Z10))&gt;=0)*(EDATE($G10,((Lists!J$24-$AA10)-MOD((Lists!J$24-$AA10),$Z10)))&gt;Lists!J$23)*(EDATE($G10,((Lists!J$24-$AA10)-MOD((Lists!J$24-$AA10),$Z10)))&lt;=Lists!J$21)*(EDATE($G10,((Lists!J$24-$AA10)-MOD((Lists!J$24-$AA10),$Z10)))&lt;=$AB10)+((((Lists!J$24-$AA10)-MOD((Lists!J$24-$AA10),$Z10))-$Z10)&gt;=0)*(EDATE($G10,(((Lists!J$24-$AA10)-MOD((Lists!J$24-$AA10),$Z10))-$Z10))&gt;Lists!J$23)*(EDATE($G10,(((Lists!J$24-$AA10)-MOD((Lists!J$24-$AA10),$Z10))-$Z10))&lt;=Lists!J$21)*(EDATE($G10,(((Lists!J$24-$AA10)-MOD((Lists!J$24-$AA10),$Z10))-$Z10))&lt;=$AB10)))))</f>
        <v>0</v>
      </c>
      <c r="R10" s="53" t="n">
        <f aca="false">IF(OR(N($E10)=0,$G10=""),0,$I10*IF($F10="Weekly",((Lists!K$21-MOD(Lists!K$21-$G10,7))&gt;=$G10)*((Lists!K$21-MOD(Lists!K$21-$G10,7))&lt;=$AB10),IF($F10="One-off",($G10&gt;Lists!K$23)*($G10&lt;=Lists!K$21),IF($F10="",0,(((Lists!K$24-$AA10)-MOD((Lists!K$24-$AA10),$Z10))&gt;=0)*(EDATE($G10,((Lists!K$24-$AA10)-MOD((Lists!K$24-$AA10),$Z10)))&gt;Lists!K$23)*(EDATE($G10,((Lists!K$24-$AA10)-MOD((Lists!K$24-$AA10),$Z10)))&lt;=Lists!K$21)*(EDATE($G10,((Lists!K$24-$AA10)-MOD((Lists!K$24-$AA10),$Z10)))&lt;=$AB10)+((((Lists!K$24-$AA10)-MOD((Lists!K$24-$AA10),$Z10))-$Z10)&gt;=0)*(EDATE($G10,(((Lists!K$24-$AA10)-MOD((Lists!K$24-$AA10),$Z10))-$Z10))&gt;Lists!K$23)*(EDATE($G10,(((Lists!K$24-$AA10)-MOD((Lists!K$24-$AA10),$Z10))-$Z10))&lt;=Lists!K$21)*(EDATE($G10,(((Lists!K$24-$AA10)-MOD((Lists!K$24-$AA10),$Z10))-$Z10))&lt;=$AB10)))))</f>
        <v>0</v>
      </c>
      <c r="S10" s="53" t="n">
        <f aca="false">IF(OR(N($E10)=0,$G10=""),0,$I10*IF($F10="Weekly",((Lists!L$21-MOD(Lists!L$21-$G10,7))&gt;=$G10)*((Lists!L$21-MOD(Lists!L$21-$G10,7))&lt;=$AB10),IF($F10="One-off",($G10&gt;Lists!L$23)*($G10&lt;=Lists!L$21),IF($F10="",0,(((Lists!L$24-$AA10)-MOD((Lists!L$24-$AA10),$Z10))&gt;=0)*(EDATE($G10,((Lists!L$24-$AA10)-MOD((Lists!L$24-$AA10),$Z10)))&gt;Lists!L$23)*(EDATE($G10,((Lists!L$24-$AA10)-MOD((Lists!L$24-$AA10),$Z10)))&lt;=Lists!L$21)*(EDATE($G10,((Lists!L$24-$AA10)-MOD((Lists!L$24-$AA10),$Z10)))&lt;=$AB10)+((((Lists!L$24-$AA10)-MOD((Lists!L$24-$AA10),$Z10))-$Z10)&gt;=0)*(EDATE($G10,(((Lists!L$24-$AA10)-MOD((Lists!L$24-$AA10),$Z10))-$Z10))&gt;Lists!L$23)*(EDATE($G10,(((Lists!L$24-$AA10)-MOD((Lists!L$24-$AA10),$Z10))-$Z10))&lt;=Lists!L$21)*(EDATE($G10,(((Lists!L$24-$AA10)-MOD((Lists!L$24-$AA10),$Z10))-$Z10))&lt;=$AB10)))))</f>
        <v>3500</v>
      </c>
      <c r="T10" s="53" t="n">
        <f aca="false">IF(OR(N($E10)=0,$G10=""),0,$I10*IF($F10="Weekly",((Lists!M$21-MOD(Lists!M$21-$G10,7))&gt;=$G10)*((Lists!M$21-MOD(Lists!M$21-$G10,7))&lt;=$AB10),IF($F10="One-off",($G10&gt;Lists!M$23)*($G10&lt;=Lists!M$21),IF($F10="",0,(((Lists!M$24-$AA10)-MOD((Lists!M$24-$AA10),$Z10))&gt;=0)*(EDATE($G10,((Lists!M$24-$AA10)-MOD((Lists!M$24-$AA10),$Z10)))&gt;Lists!M$23)*(EDATE($G10,((Lists!M$24-$AA10)-MOD((Lists!M$24-$AA10),$Z10)))&lt;=Lists!M$21)*(EDATE($G10,((Lists!M$24-$AA10)-MOD((Lists!M$24-$AA10),$Z10)))&lt;=$AB10)+((((Lists!M$24-$AA10)-MOD((Lists!M$24-$AA10),$Z10))-$Z10)&gt;=0)*(EDATE($G10,(((Lists!M$24-$AA10)-MOD((Lists!M$24-$AA10),$Z10))-$Z10))&gt;Lists!M$23)*(EDATE($G10,(((Lists!M$24-$AA10)-MOD((Lists!M$24-$AA10),$Z10))-$Z10))&lt;=Lists!M$21)*(EDATE($G10,(((Lists!M$24-$AA10)-MOD((Lists!M$24-$AA10),$Z10))-$Z10))&lt;=$AB10)))))</f>
        <v>0</v>
      </c>
      <c r="U10" s="53" t="n">
        <f aca="false">IF(OR(N($E10)=0,$G10=""),0,$I10*IF($F10="Weekly",((Lists!N$21-MOD(Lists!N$21-$G10,7))&gt;=$G10)*((Lists!N$21-MOD(Lists!N$21-$G10,7))&lt;=$AB10),IF($F10="One-off",($G10&gt;Lists!N$23)*($G10&lt;=Lists!N$21),IF($F10="",0,(((Lists!N$24-$AA10)-MOD((Lists!N$24-$AA10),$Z10))&gt;=0)*(EDATE($G10,((Lists!N$24-$AA10)-MOD((Lists!N$24-$AA10),$Z10)))&gt;Lists!N$23)*(EDATE($G10,((Lists!N$24-$AA10)-MOD((Lists!N$24-$AA10),$Z10)))&lt;=Lists!N$21)*(EDATE($G10,((Lists!N$24-$AA10)-MOD((Lists!N$24-$AA10),$Z10)))&lt;=$AB10)+((((Lists!N$24-$AA10)-MOD((Lists!N$24-$AA10),$Z10))-$Z10)&gt;=0)*(EDATE($G10,(((Lists!N$24-$AA10)-MOD((Lists!N$24-$AA10),$Z10))-$Z10))&gt;Lists!N$23)*(EDATE($G10,(((Lists!N$24-$AA10)-MOD((Lists!N$24-$AA10),$Z10))-$Z10))&lt;=Lists!N$21)*(EDATE($G10,(((Lists!N$24-$AA10)-MOD((Lists!N$24-$AA10),$Z10))-$Z10))&lt;=$AB10)))))</f>
        <v>0</v>
      </c>
      <c r="V10" s="53" t="n">
        <f aca="false">IF(OR(N($E10)=0,$G10=""),0,$I10*IF($F10="Weekly",((Lists!O$21-MOD(Lists!O$21-$G10,7))&gt;=$G10)*((Lists!O$21-MOD(Lists!O$21-$G10,7))&lt;=$AB10),IF($F10="One-off",($G10&gt;Lists!O$23)*($G10&lt;=Lists!O$21),IF($F10="",0,(((Lists!O$24-$AA10)-MOD((Lists!O$24-$AA10),$Z10))&gt;=0)*(EDATE($G10,((Lists!O$24-$AA10)-MOD((Lists!O$24-$AA10),$Z10)))&gt;Lists!O$23)*(EDATE($G10,((Lists!O$24-$AA10)-MOD((Lists!O$24-$AA10),$Z10)))&lt;=Lists!O$21)*(EDATE($G10,((Lists!O$24-$AA10)-MOD((Lists!O$24-$AA10),$Z10)))&lt;=$AB10)+((((Lists!O$24-$AA10)-MOD((Lists!O$24-$AA10),$Z10))-$Z10)&gt;=0)*(EDATE($G10,(((Lists!O$24-$AA10)-MOD((Lists!O$24-$AA10),$Z10))-$Z10))&gt;Lists!O$23)*(EDATE($G10,(((Lists!O$24-$AA10)-MOD((Lists!O$24-$AA10),$Z10))-$Z10))&lt;=Lists!O$21)*(EDATE($G10,(((Lists!O$24-$AA10)-MOD((Lists!O$24-$AA10),$Z10))-$Z10))&lt;=$AB10)))))</f>
        <v>0</v>
      </c>
      <c r="W10" s="46" t="n">
        <f aca="false">SUM(J10:V10)</f>
        <v>10500</v>
      </c>
      <c r="X10" s="2"/>
      <c r="Y10" s="104" t="n">
        <f aca="false">IF(AND(Setup!$D$16="Yes",D10&lt;&gt;"No"),1+Setup!$D$17,1)</f>
        <v>1</v>
      </c>
      <c r="Z10" s="94" t="n">
        <f aca="false">IF(F10="Quarterly",3,IF(F10="Annually",12,1))</f>
        <v>1</v>
      </c>
      <c r="AA10" s="94" t="n">
        <f aca="false">IF(G10="",0,YEAR(G10)*12+MONTH(G10))</f>
        <v>24323</v>
      </c>
      <c r="AB10" s="93" t="n">
        <f aca="false">IF(H10="",2958465,H10)</f>
        <v>2958465</v>
      </c>
      <c r="AC10" s="95" t="str">
        <f aca="false">IF(C10="","Other overheads",C10)</f>
        <v>Premises (rent, rates, service charge)</v>
      </c>
    </row>
    <row r="11" customFormat="false" ht="15" hidden="false" customHeight="false" outlineLevel="0" collapsed="false">
      <c r="A11" s="87" t="n">
        <v>3</v>
      </c>
      <c r="B11" s="55" t="s">
        <v>499</v>
      </c>
      <c r="C11" s="55" t="s">
        <v>500</v>
      </c>
      <c r="D11" s="58" t="s">
        <v>186</v>
      </c>
      <c r="E11" s="88" t="n">
        <v>6000</v>
      </c>
      <c r="F11" s="58" t="s">
        <v>498</v>
      </c>
      <c r="G11" s="90" t="n">
        <v>46346</v>
      </c>
      <c r="H11" s="90"/>
      <c r="I11" s="92" t="n">
        <f aca="false">N(E11)*Y11</f>
        <v>7200</v>
      </c>
      <c r="J11" s="53" t="n">
        <f aca="false">IF(OR(N($E11)=0,$G11=""),0,$I11*IF($F11="Weekly",((Lists!C$21-MOD(Lists!C$21-$G11,7))&gt;=$G11)*((Lists!C$21-MOD(Lists!C$21-$G11,7))&lt;=$AB11),IF($F11="One-off",($G11&gt;Lists!C$23)*($G11&lt;=Lists!C$21),IF($F11="",0,(((Lists!C$24-$AA11)-MOD((Lists!C$24-$AA11),$Z11))&gt;=0)*(EDATE($G11,((Lists!C$24-$AA11)-MOD((Lists!C$24-$AA11),$Z11)))&gt;Lists!C$23)*(EDATE($G11,((Lists!C$24-$AA11)-MOD((Lists!C$24-$AA11),$Z11)))&lt;=Lists!C$21)*(EDATE($G11,((Lists!C$24-$AA11)-MOD((Lists!C$24-$AA11),$Z11)))&lt;=$AB11)+((((Lists!C$24-$AA11)-MOD((Lists!C$24-$AA11),$Z11))-$Z11)&gt;=0)*(EDATE($G11,(((Lists!C$24-$AA11)-MOD((Lists!C$24-$AA11),$Z11))-$Z11))&gt;Lists!C$23)*(EDATE($G11,(((Lists!C$24-$AA11)-MOD((Lists!C$24-$AA11),$Z11))-$Z11))&lt;=Lists!C$21)*(EDATE($G11,(((Lists!C$24-$AA11)-MOD((Lists!C$24-$AA11),$Z11))-$Z11))&lt;=$AB11)))))</f>
        <v>0</v>
      </c>
      <c r="K11" s="53" t="n">
        <f aca="false">IF(OR(N($E11)=0,$G11=""),0,$I11*IF($F11="Weekly",((Lists!D$21-MOD(Lists!D$21-$G11,7))&gt;=$G11)*((Lists!D$21-MOD(Lists!D$21-$G11,7))&lt;=$AB11),IF($F11="One-off",($G11&gt;Lists!D$23)*($G11&lt;=Lists!D$21),IF($F11="",0,(((Lists!D$24-$AA11)-MOD((Lists!D$24-$AA11),$Z11))&gt;=0)*(EDATE($G11,((Lists!D$24-$AA11)-MOD((Lists!D$24-$AA11),$Z11)))&gt;Lists!D$23)*(EDATE($G11,((Lists!D$24-$AA11)-MOD((Lists!D$24-$AA11),$Z11)))&lt;=Lists!D$21)*(EDATE($G11,((Lists!D$24-$AA11)-MOD((Lists!D$24-$AA11),$Z11)))&lt;=$AB11)+((((Lists!D$24-$AA11)-MOD((Lists!D$24-$AA11),$Z11))-$Z11)&gt;=0)*(EDATE($G11,(((Lists!D$24-$AA11)-MOD((Lists!D$24-$AA11),$Z11))-$Z11))&gt;Lists!D$23)*(EDATE($G11,(((Lists!D$24-$AA11)-MOD((Lists!D$24-$AA11),$Z11))-$Z11))&lt;=Lists!D$21)*(EDATE($G11,(((Lists!D$24-$AA11)-MOD((Lists!D$24-$AA11),$Z11))-$Z11))&lt;=$AB11)))))</f>
        <v>7200</v>
      </c>
      <c r="L11" s="53" t="n">
        <f aca="false">IF(OR(N($E11)=0,$G11=""),0,$I11*IF($F11="Weekly",((Lists!E$21-MOD(Lists!E$21-$G11,7))&gt;=$G11)*((Lists!E$21-MOD(Lists!E$21-$G11,7))&lt;=$AB11),IF($F11="One-off",($G11&gt;Lists!E$23)*($G11&lt;=Lists!E$21),IF($F11="",0,(((Lists!E$24-$AA11)-MOD((Lists!E$24-$AA11),$Z11))&gt;=0)*(EDATE($G11,((Lists!E$24-$AA11)-MOD((Lists!E$24-$AA11),$Z11)))&gt;Lists!E$23)*(EDATE($G11,((Lists!E$24-$AA11)-MOD((Lists!E$24-$AA11),$Z11)))&lt;=Lists!E$21)*(EDATE($G11,((Lists!E$24-$AA11)-MOD((Lists!E$24-$AA11),$Z11)))&lt;=$AB11)+((((Lists!E$24-$AA11)-MOD((Lists!E$24-$AA11),$Z11))-$Z11)&gt;=0)*(EDATE($G11,(((Lists!E$24-$AA11)-MOD((Lists!E$24-$AA11),$Z11))-$Z11))&gt;Lists!E$23)*(EDATE($G11,(((Lists!E$24-$AA11)-MOD((Lists!E$24-$AA11),$Z11))-$Z11))&lt;=Lists!E$21)*(EDATE($G11,(((Lists!E$24-$AA11)-MOD((Lists!E$24-$AA11),$Z11))-$Z11))&lt;=$AB11)))))</f>
        <v>0</v>
      </c>
      <c r="M11" s="53" t="n">
        <f aca="false">IF(OR(N($E11)=0,$G11=""),0,$I11*IF($F11="Weekly",((Lists!F$21-MOD(Lists!F$21-$G11,7))&gt;=$G11)*((Lists!F$21-MOD(Lists!F$21-$G11,7))&lt;=$AB11),IF($F11="One-off",($G11&gt;Lists!F$23)*($G11&lt;=Lists!F$21),IF($F11="",0,(((Lists!F$24-$AA11)-MOD((Lists!F$24-$AA11),$Z11))&gt;=0)*(EDATE($G11,((Lists!F$24-$AA11)-MOD((Lists!F$24-$AA11),$Z11)))&gt;Lists!F$23)*(EDATE($G11,((Lists!F$24-$AA11)-MOD((Lists!F$24-$AA11),$Z11)))&lt;=Lists!F$21)*(EDATE($G11,((Lists!F$24-$AA11)-MOD((Lists!F$24-$AA11),$Z11)))&lt;=$AB11)+((((Lists!F$24-$AA11)-MOD((Lists!F$24-$AA11),$Z11))-$Z11)&gt;=0)*(EDATE($G11,(((Lists!F$24-$AA11)-MOD((Lists!F$24-$AA11),$Z11))-$Z11))&gt;Lists!F$23)*(EDATE($G11,(((Lists!F$24-$AA11)-MOD((Lists!F$24-$AA11),$Z11))-$Z11))&lt;=Lists!F$21)*(EDATE($G11,(((Lists!F$24-$AA11)-MOD((Lists!F$24-$AA11),$Z11))-$Z11))&lt;=$AB11)))))</f>
        <v>0</v>
      </c>
      <c r="N11" s="53" t="n">
        <f aca="false">IF(OR(N($E11)=0,$G11=""),0,$I11*IF($F11="Weekly",((Lists!G$21-MOD(Lists!G$21-$G11,7))&gt;=$G11)*((Lists!G$21-MOD(Lists!G$21-$G11,7))&lt;=$AB11),IF($F11="One-off",($G11&gt;Lists!G$23)*($G11&lt;=Lists!G$21),IF($F11="",0,(((Lists!G$24-$AA11)-MOD((Lists!G$24-$AA11),$Z11))&gt;=0)*(EDATE($G11,((Lists!G$24-$AA11)-MOD((Lists!G$24-$AA11),$Z11)))&gt;Lists!G$23)*(EDATE($G11,((Lists!G$24-$AA11)-MOD((Lists!G$24-$AA11),$Z11)))&lt;=Lists!G$21)*(EDATE($G11,((Lists!G$24-$AA11)-MOD((Lists!G$24-$AA11),$Z11)))&lt;=$AB11)+((((Lists!G$24-$AA11)-MOD((Lists!G$24-$AA11),$Z11))-$Z11)&gt;=0)*(EDATE($G11,(((Lists!G$24-$AA11)-MOD((Lists!G$24-$AA11),$Z11))-$Z11))&gt;Lists!G$23)*(EDATE($G11,(((Lists!G$24-$AA11)-MOD((Lists!G$24-$AA11),$Z11))-$Z11))&lt;=Lists!G$21)*(EDATE($G11,(((Lists!G$24-$AA11)-MOD((Lists!G$24-$AA11),$Z11))-$Z11))&lt;=$AB11)))))</f>
        <v>0</v>
      </c>
      <c r="O11" s="53" t="n">
        <f aca="false">IF(OR(N($E11)=0,$G11=""),0,$I11*IF($F11="Weekly",((Lists!H$21-MOD(Lists!H$21-$G11,7))&gt;=$G11)*((Lists!H$21-MOD(Lists!H$21-$G11,7))&lt;=$AB11),IF($F11="One-off",($G11&gt;Lists!H$23)*($G11&lt;=Lists!H$21),IF($F11="",0,(((Lists!H$24-$AA11)-MOD((Lists!H$24-$AA11),$Z11))&gt;=0)*(EDATE($G11,((Lists!H$24-$AA11)-MOD((Lists!H$24-$AA11),$Z11)))&gt;Lists!H$23)*(EDATE($G11,((Lists!H$24-$AA11)-MOD((Lists!H$24-$AA11),$Z11)))&lt;=Lists!H$21)*(EDATE($G11,((Lists!H$24-$AA11)-MOD((Lists!H$24-$AA11),$Z11)))&lt;=$AB11)+((((Lists!H$24-$AA11)-MOD((Lists!H$24-$AA11),$Z11))-$Z11)&gt;=0)*(EDATE($G11,(((Lists!H$24-$AA11)-MOD((Lists!H$24-$AA11),$Z11))-$Z11))&gt;Lists!H$23)*(EDATE($G11,(((Lists!H$24-$AA11)-MOD((Lists!H$24-$AA11),$Z11))-$Z11))&lt;=Lists!H$21)*(EDATE($G11,(((Lists!H$24-$AA11)-MOD((Lists!H$24-$AA11),$Z11))-$Z11))&lt;=$AB11)))))</f>
        <v>0</v>
      </c>
      <c r="P11" s="53" t="n">
        <f aca="false">IF(OR(N($E11)=0,$G11=""),0,$I11*IF($F11="Weekly",((Lists!I$21-MOD(Lists!I$21-$G11,7))&gt;=$G11)*((Lists!I$21-MOD(Lists!I$21-$G11,7))&lt;=$AB11),IF($F11="One-off",($G11&gt;Lists!I$23)*($G11&lt;=Lists!I$21),IF($F11="",0,(((Lists!I$24-$AA11)-MOD((Lists!I$24-$AA11),$Z11))&gt;=0)*(EDATE($G11,((Lists!I$24-$AA11)-MOD((Lists!I$24-$AA11),$Z11)))&gt;Lists!I$23)*(EDATE($G11,((Lists!I$24-$AA11)-MOD((Lists!I$24-$AA11),$Z11)))&lt;=Lists!I$21)*(EDATE($G11,((Lists!I$24-$AA11)-MOD((Lists!I$24-$AA11),$Z11)))&lt;=$AB11)+((((Lists!I$24-$AA11)-MOD((Lists!I$24-$AA11),$Z11))-$Z11)&gt;=0)*(EDATE($G11,(((Lists!I$24-$AA11)-MOD((Lists!I$24-$AA11),$Z11))-$Z11))&gt;Lists!I$23)*(EDATE($G11,(((Lists!I$24-$AA11)-MOD((Lists!I$24-$AA11),$Z11))-$Z11))&lt;=Lists!I$21)*(EDATE($G11,(((Lists!I$24-$AA11)-MOD((Lists!I$24-$AA11),$Z11))-$Z11))&lt;=$AB11)))))</f>
        <v>7200</v>
      </c>
      <c r="Q11" s="53" t="n">
        <f aca="false">IF(OR(N($E11)=0,$G11=""),0,$I11*IF($F11="Weekly",((Lists!J$21-MOD(Lists!J$21-$G11,7))&gt;=$G11)*((Lists!J$21-MOD(Lists!J$21-$G11,7))&lt;=$AB11),IF($F11="One-off",($G11&gt;Lists!J$23)*($G11&lt;=Lists!J$21),IF($F11="",0,(((Lists!J$24-$AA11)-MOD((Lists!J$24-$AA11),$Z11))&gt;=0)*(EDATE($G11,((Lists!J$24-$AA11)-MOD((Lists!J$24-$AA11),$Z11)))&gt;Lists!J$23)*(EDATE($G11,((Lists!J$24-$AA11)-MOD((Lists!J$24-$AA11),$Z11)))&lt;=Lists!J$21)*(EDATE($G11,((Lists!J$24-$AA11)-MOD((Lists!J$24-$AA11),$Z11)))&lt;=$AB11)+((((Lists!J$24-$AA11)-MOD((Lists!J$24-$AA11),$Z11))-$Z11)&gt;=0)*(EDATE($G11,(((Lists!J$24-$AA11)-MOD((Lists!J$24-$AA11),$Z11))-$Z11))&gt;Lists!J$23)*(EDATE($G11,(((Lists!J$24-$AA11)-MOD((Lists!J$24-$AA11),$Z11))-$Z11))&lt;=Lists!J$21)*(EDATE($G11,(((Lists!J$24-$AA11)-MOD((Lists!J$24-$AA11),$Z11))-$Z11))&lt;=$AB11)))))</f>
        <v>0</v>
      </c>
      <c r="R11" s="53" t="n">
        <f aca="false">IF(OR(N($E11)=0,$G11=""),0,$I11*IF($F11="Weekly",((Lists!K$21-MOD(Lists!K$21-$G11,7))&gt;=$G11)*((Lists!K$21-MOD(Lists!K$21-$G11,7))&lt;=$AB11),IF($F11="One-off",($G11&gt;Lists!K$23)*($G11&lt;=Lists!K$21),IF($F11="",0,(((Lists!K$24-$AA11)-MOD((Lists!K$24-$AA11),$Z11))&gt;=0)*(EDATE($G11,((Lists!K$24-$AA11)-MOD((Lists!K$24-$AA11),$Z11)))&gt;Lists!K$23)*(EDATE($G11,((Lists!K$24-$AA11)-MOD((Lists!K$24-$AA11),$Z11)))&lt;=Lists!K$21)*(EDATE($G11,((Lists!K$24-$AA11)-MOD((Lists!K$24-$AA11),$Z11)))&lt;=$AB11)+((((Lists!K$24-$AA11)-MOD((Lists!K$24-$AA11),$Z11))-$Z11)&gt;=0)*(EDATE($G11,(((Lists!K$24-$AA11)-MOD((Lists!K$24-$AA11),$Z11))-$Z11))&gt;Lists!K$23)*(EDATE($G11,(((Lists!K$24-$AA11)-MOD((Lists!K$24-$AA11),$Z11))-$Z11))&lt;=Lists!K$21)*(EDATE($G11,(((Lists!K$24-$AA11)-MOD((Lists!K$24-$AA11),$Z11))-$Z11))&lt;=$AB11)))))</f>
        <v>0</v>
      </c>
      <c r="S11" s="53" t="n">
        <f aca="false">IF(OR(N($E11)=0,$G11=""),0,$I11*IF($F11="Weekly",((Lists!L$21-MOD(Lists!L$21-$G11,7))&gt;=$G11)*((Lists!L$21-MOD(Lists!L$21-$G11,7))&lt;=$AB11),IF($F11="One-off",($G11&gt;Lists!L$23)*($G11&lt;=Lists!L$21),IF($F11="",0,(((Lists!L$24-$AA11)-MOD((Lists!L$24-$AA11),$Z11))&gt;=0)*(EDATE($G11,((Lists!L$24-$AA11)-MOD((Lists!L$24-$AA11),$Z11)))&gt;Lists!L$23)*(EDATE($G11,((Lists!L$24-$AA11)-MOD((Lists!L$24-$AA11),$Z11)))&lt;=Lists!L$21)*(EDATE($G11,((Lists!L$24-$AA11)-MOD((Lists!L$24-$AA11),$Z11)))&lt;=$AB11)+((((Lists!L$24-$AA11)-MOD((Lists!L$24-$AA11),$Z11))-$Z11)&gt;=0)*(EDATE($G11,(((Lists!L$24-$AA11)-MOD((Lists!L$24-$AA11),$Z11))-$Z11))&gt;Lists!L$23)*(EDATE($G11,(((Lists!L$24-$AA11)-MOD((Lists!L$24-$AA11),$Z11))-$Z11))&lt;=Lists!L$21)*(EDATE($G11,(((Lists!L$24-$AA11)-MOD((Lists!L$24-$AA11),$Z11))-$Z11))&lt;=$AB11)))))</f>
        <v>0</v>
      </c>
      <c r="T11" s="53" t="n">
        <f aca="false">IF(OR(N($E11)=0,$G11=""),0,$I11*IF($F11="Weekly",((Lists!M$21-MOD(Lists!M$21-$G11,7))&gt;=$G11)*((Lists!M$21-MOD(Lists!M$21-$G11,7))&lt;=$AB11),IF($F11="One-off",($G11&gt;Lists!M$23)*($G11&lt;=Lists!M$21),IF($F11="",0,(((Lists!M$24-$AA11)-MOD((Lists!M$24-$AA11),$Z11))&gt;=0)*(EDATE($G11,((Lists!M$24-$AA11)-MOD((Lists!M$24-$AA11),$Z11)))&gt;Lists!M$23)*(EDATE($G11,((Lists!M$24-$AA11)-MOD((Lists!M$24-$AA11),$Z11)))&lt;=Lists!M$21)*(EDATE($G11,((Lists!M$24-$AA11)-MOD((Lists!M$24-$AA11),$Z11)))&lt;=$AB11)+((((Lists!M$24-$AA11)-MOD((Lists!M$24-$AA11),$Z11))-$Z11)&gt;=0)*(EDATE($G11,(((Lists!M$24-$AA11)-MOD((Lists!M$24-$AA11),$Z11))-$Z11))&gt;Lists!M$23)*(EDATE($G11,(((Lists!M$24-$AA11)-MOD((Lists!M$24-$AA11),$Z11))-$Z11))&lt;=Lists!M$21)*(EDATE($G11,(((Lists!M$24-$AA11)-MOD((Lists!M$24-$AA11),$Z11))-$Z11))&lt;=$AB11)))))</f>
        <v>7200</v>
      </c>
      <c r="U11" s="53" t="n">
        <f aca="false">IF(OR(N($E11)=0,$G11=""),0,$I11*IF($F11="Weekly",((Lists!N$21-MOD(Lists!N$21-$G11,7))&gt;=$G11)*((Lists!N$21-MOD(Lists!N$21-$G11,7))&lt;=$AB11),IF($F11="One-off",($G11&gt;Lists!N$23)*($G11&lt;=Lists!N$21),IF($F11="",0,(((Lists!N$24-$AA11)-MOD((Lists!N$24-$AA11),$Z11))&gt;=0)*(EDATE($G11,((Lists!N$24-$AA11)-MOD((Lists!N$24-$AA11),$Z11)))&gt;Lists!N$23)*(EDATE($G11,((Lists!N$24-$AA11)-MOD((Lists!N$24-$AA11),$Z11)))&lt;=Lists!N$21)*(EDATE($G11,((Lists!N$24-$AA11)-MOD((Lists!N$24-$AA11),$Z11)))&lt;=$AB11)+((((Lists!N$24-$AA11)-MOD((Lists!N$24-$AA11),$Z11))-$Z11)&gt;=0)*(EDATE($G11,(((Lists!N$24-$AA11)-MOD((Lists!N$24-$AA11),$Z11))-$Z11))&gt;Lists!N$23)*(EDATE($G11,(((Lists!N$24-$AA11)-MOD((Lists!N$24-$AA11),$Z11))-$Z11))&lt;=Lists!N$21)*(EDATE($G11,(((Lists!N$24-$AA11)-MOD((Lists!N$24-$AA11),$Z11))-$Z11))&lt;=$AB11)))))</f>
        <v>0</v>
      </c>
      <c r="V11" s="53" t="n">
        <f aca="false">IF(OR(N($E11)=0,$G11=""),0,$I11*IF($F11="Weekly",((Lists!O$21-MOD(Lists!O$21-$G11,7))&gt;=$G11)*((Lists!O$21-MOD(Lists!O$21-$G11,7))&lt;=$AB11),IF($F11="One-off",($G11&gt;Lists!O$23)*($G11&lt;=Lists!O$21),IF($F11="",0,(((Lists!O$24-$AA11)-MOD((Lists!O$24-$AA11),$Z11))&gt;=0)*(EDATE($G11,((Lists!O$24-$AA11)-MOD((Lists!O$24-$AA11),$Z11)))&gt;Lists!O$23)*(EDATE($G11,((Lists!O$24-$AA11)-MOD((Lists!O$24-$AA11),$Z11)))&lt;=Lists!O$21)*(EDATE($G11,((Lists!O$24-$AA11)-MOD((Lists!O$24-$AA11),$Z11)))&lt;=$AB11)+((((Lists!O$24-$AA11)-MOD((Lists!O$24-$AA11),$Z11))-$Z11)&gt;=0)*(EDATE($G11,(((Lists!O$24-$AA11)-MOD((Lists!O$24-$AA11),$Z11))-$Z11))&gt;Lists!O$23)*(EDATE($G11,(((Lists!O$24-$AA11)-MOD((Lists!O$24-$AA11),$Z11))-$Z11))&lt;=Lists!O$21)*(EDATE($G11,(((Lists!O$24-$AA11)-MOD((Lists!O$24-$AA11),$Z11))-$Z11))&lt;=$AB11)))))</f>
        <v>0</v>
      </c>
      <c r="W11" s="46" t="n">
        <f aca="false">SUM(J11:V11)</f>
        <v>21600</v>
      </c>
      <c r="X11" s="2"/>
      <c r="Y11" s="104" t="n">
        <f aca="false">IF(AND(Setup!$D$16="Yes",D11&lt;&gt;"No"),1+Setup!$D$17,1)</f>
        <v>1.2</v>
      </c>
      <c r="Z11" s="94" t="n">
        <f aca="false">IF(F11="Quarterly",3,IF(F11="Annually",12,1))</f>
        <v>1</v>
      </c>
      <c r="AA11" s="94" t="n">
        <f aca="false">IF(G11="",0,YEAR(G11)*12+MONTH(G11))</f>
        <v>24323</v>
      </c>
      <c r="AB11" s="93" t="n">
        <f aca="false">IF(H11="",2958465,H11)</f>
        <v>2958465</v>
      </c>
      <c r="AC11" s="95" t="str">
        <f aca="false">IF(C11="","Other overheads",C11)</f>
        <v>Utilities (gas, electric, water)</v>
      </c>
    </row>
    <row r="12" customFormat="false" ht="15" hidden="false" customHeight="false" outlineLevel="0" collapsed="false">
      <c r="A12" s="87" t="n">
        <v>4</v>
      </c>
      <c r="B12" s="55" t="s">
        <v>501</v>
      </c>
      <c r="C12" s="55" t="s">
        <v>501</v>
      </c>
      <c r="D12" s="58" t="s">
        <v>497</v>
      </c>
      <c r="E12" s="88" t="n">
        <v>2500</v>
      </c>
      <c r="F12" s="58" t="s">
        <v>498</v>
      </c>
      <c r="G12" s="90" t="n">
        <v>46327</v>
      </c>
      <c r="H12" s="90"/>
      <c r="I12" s="92" t="n">
        <f aca="false">N(E12)*Y12</f>
        <v>2500</v>
      </c>
      <c r="J12" s="53" t="n">
        <f aca="false">IF(OR(N($E12)=0,$G12=""),0,$I12*IF($F12="Weekly",((Lists!C$21-MOD(Lists!C$21-$G12,7))&gt;=$G12)*((Lists!C$21-MOD(Lists!C$21-$G12,7))&lt;=$AB12),IF($F12="One-off",($G12&gt;Lists!C$23)*($G12&lt;=Lists!C$21),IF($F12="",0,(((Lists!C$24-$AA12)-MOD((Lists!C$24-$AA12),$Z12))&gt;=0)*(EDATE($G12,((Lists!C$24-$AA12)-MOD((Lists!C$24-$AA12),$Z12)))&gt;Lists!C$23)*(EDATE($G12,((Lists!C$24-$AA12)-MOD((Lists!C$24-$AA12),$Z12)))&lt;=Lists!C$21)*(EDATE($G12,((Lists!C$24-$AA12)-MOD((Lists!C$24-$AA12),$Z12)))&lt;=$AB12)+((((Lists!C$24-$AA12)-MOD((Lists!C$24-$AA12),$Z12))-$Z12)&gt;=0)*(EDATE($G12,(((Lists!C$24-$AA12)-MOD((Lists!C$24-$AA12),$Z12))-$Z12))&gt;Lists!C$23)*(EDATE($G12,(((Lists!C$24-$AA12)-MOD((Lists!C$24-$AA12),$Z12))-$Z12))&lt;=Lists!C$21)*(EDATE($G12,(((Lists!C$24-$AA12)-MOD((Lists!C$24-$AA12),$Z12))-$Z12))&lt;=$AB12)))))</f>
        <v>0</v>
      </c>
      <c r="K12" s="53" t="n">
        <f aca="false">IF(OR(N($E12)=0,$G12=""),0,$I12*IF($F12="Weekly",((Lists!D$21-MOD(Lists!D$21-$G12,7))&gt;=$G12)*((Lists!D$21-MOD(Lists!D$21-$G12,7))&lt;=$AB12),IF($F12="One-off",($G12&gt;Lists!D$23)*($G12&lt;=Lists!D$21),IF($F12="",0,(((Lists!D$24-$AA12)-MOD((Lists!D$24-$AA12),$Z12))&gt;=0)*(EDATE($G12,((Lists!D$24-$AA12)-MOD((Lists!D$24-$AA12),$Z12)))&gt;Lists!D$23)*(EDATE($G12,((Lists!D$24-$AA12)-MOD((Lists!D$24-$AA12),$Z12)))&lt;=Lists!D$21)*(EDATE($G12,((Lists!D$24-$AA12)-MOD((Lists!D$24-$AA12),$Z12)))&lt;=$AB12)+((((Lists!D$24-$AA12)-MOD((Lists!D$24-$AA12),$Z12))-$Z12)&gt;=0)*(EDATE($G12,(((Lists!D$24-$AA12)-MOD((Lists!D$24-$AA12),$Z12))-$Z12))&gt;Lists!D$23)*(EDATE($G12,(((Lists!D$24-$AA12)-MOD((Lists!D$24-$AA12),$Z12))-$Z12))&lt;=Lists!D$21)*(EDATE($G12,(((Lists!D$24-$AA12)-MOD((Lists!D$24-$AA12),$Z12))-$Z12))&lt;=$AB12)))))</f>
        <v>0</v>
      </c>
      <c r="L12" s="53" t="n">
        <f aca="false">IF(OR(N($E12)=0,$G12=""),0,$I12*IF($F12="Weekly",((Lists!E$21-MOD(Lists!E$21-$G12,7))&gt;=$G12)*((Lists!E$21-MOD(Lists!E$21-$G12,7))&lt;=$AB12),IF($F12="One-off",($G12&gt;Lists!E$23)*($G12&lt;=Lists!E$21),IF($F12="",0,(((Lists!E$24-$AA12)-MOD((Lists!E$24-$AA12),$Z12))&gt;=0)*(EDATE($G12,((Lists!E$24-$AA12)-MOD((Lists!E$24-$AA12),$Z12)))&gt;Lists!E$23)*(EDATE($G12,((Lists!E$24-$AA12)-MOD((Lists!E$24-$AA12),$Z12)))&lt;=Lists!E$21)*(EDATE($G12,((Lists!E$24-$AA12)-MOD((Lists!E$24-$AA12),$Z12)))&lt;=$AB12)+((((Lists!E$24-$AA12)-MOD((Lists!E$24-$AA12),$Z12))-$Z12)&gt;=0)*(EDATE($G12,(((Lists!E$24-$AA12)-MOD((Lists!E$24-$AA12),$Z12))-$Z12))&gt;Lists!E$23)*(EDATE($G12,(((Lists!E$24-$AA12)-MOD((Lists!E$24-$AA12),$Z12))-$Z12))&lt;=Lists!E$21)*(EDATE($G12,(((Lists!E$24-$AA12)-MOD((Lists!E$24-$AA12),$Z12))-$Z12))&lt;=$AB12)))))</f>
        <v>0</v>
      </c>
      <c r="M12" s="53" t="n">
        <f aca="false">IF(OR(N($E12)=0,$G12=""),0,$I12*IF($F12="Weekly",((Lists!F$21-MOD(Lists!F$21-$G12,7))&gt;=$G12)*((Lists!F$21-MOD(Lists!F$21-$G12,7))&lt;=$AB12),IF($F12="One-off",($G12&gt;Lists!F$23)*($G12&lt;=Lists!F$21),IF($F12="",0,(((Lists!F$24-$AA12)-MOD((Lists!F$24-$AA12),$Z12))&gt;=0)*(EDATE($G12,((Lists!F$24-$AA12)-MOD((Lists!F$24-$AA12),$Z12)))&gt;Lists!F$23)*(EDATE($G12,((Lists!F$24-$AA12)-MOD((Lists!F$24-$AA12),$Z12)))&lt;=Lists!F$21)*(EDATE($G12,((Lists!F$24-$AA12)-MOD((Lists!F$24-$AA12),$Z12)))&lt;=$AB12)+((((Lists!F$24-$AA12)-MOD((Lists!F$24-$AA12),$Z12))-$Z12)&gt;=0)*(EDATE($G12,(((Lists!F$24-$AA12)-MOD((Lists!F$24-$AA12),$Z12))-$Z12))&gt;Lists!F$23)*(EDATE($G12,(((Lists!F$24-$AA12)-MOD((Lists!F$24-$AA12),$Z12))-$Z12))&lt;=Lists!F$21)*(EDATE($G12,(((Lists!F$24-$AA12)-MOD((Lists!F$24-$AA12),$Z12))-$Z12))&lt;=$AB12)))))</f>
        <v>2500</v>
      </c>
      <c r="N12" s="53" t="n">
        <f aca="false">IF(OR(N($E12)=0,$G12=""),0,$I12*IF($F12="Weekly",((Lists!G$21-MOD(Lists!G$21-$G12,7))&gt;=$G12)*((Lists!G$21-MOD(Lists!G$21-$G12,7))&lt;=$AB12),IF($F12="One-off",($G12&gt;Lists!G$23)*($G12&lt;=Lists!G$21),IF($F12="",0,(((Lists!G$24-$AA12)-MOD((Lists!G$24-$AA12),$Z12))&gt;=0)*(EDATE($G12,((Lists!G$24-$AA12)-MOD((Lists!G$24-$AA12),$Z12)))&gt;Lists!G$23)*(EDATE($G12,((Lists!G$24-$AA12)-MOD((Lists!G$24-$AA12),$Z12)))&lt;=Lists!G$21)*(EDATE($G12,((Lists!G$24-$AA12)-MOD((Lists!G$24-$AA12),$Z12)))&lt;=$AB12)+((((Lists!G$24-$AA12)-MOD((Lists!G$24-$AA12),$Z12))-$Z12)&gt;=0)*(EDATE($G12,(((Lists!G$24-$AA12)-MOD((Lists!G$24-$AA12),$Z12))-$Z12))&gt;Lists!G$23)*(EDATE($G12,(((Lists!G$24-$AA12)-MOD((Lists!G$24-$AA12),$Z12))-$Z12))&lt;=Lists!G$21)*(EDATE($G12,(((Lists!G$24-$AA12)-MOD((Lists!G$24-$AA12),$Z12))-$Z12))&lt;=$AB12)))))</f>
        <v>0</v>
      </c>
      <c r="O12" s="53" t="n">
        <f aca="false">IF(OR(N($E12)=0,$G12=""),0,$I12*IF($F12="Weekly",((Lists!H$21-MOD(Lists!H$21-$G12,7))&gt;=$G12)*((Lists!H$21-MOD(Lists!H$21-$G12,7))&lt;=$AB12),IF($F12="One-off",($G12&gt;Lists!H$23)*($G12&lt;=Lists!H$21),IF($F12="",0,(((Lists!H$24-$AA12)-MOD((Lists!H$24-$AA12),$Z12))&gt;=0)*(EDATE($G12,((Lists!H$24-$AA12)-MOD((Lists!H$24-$AA12),$Z12)))&gt;Lists!H$23)*(EDATE($G12,((Lists!H$24-$AA12)-MOD((Lists!H$24-$AA12),$Z12)))&lt;=Lists!H$21)*(EDATE($G12,((Lists!H$24-$AA12)-MOD((Lists!H$24-$AA12),$Z12)))&lt;=$AB12)+((((Lists!H$24-$AA12)-MOD((Lists!H$24-$AA12),$Z12))-$Z12)&gt;=0)*(EDATE($G12,(((Lists!H$24-$AA12)-MOD((Lists!H$24-$AA12),$Z12))-$Z12))&gt;Lists!H$23)*(EDATE($G12,(((Lists!H$24-$AA12)-MOD((Lists!H$24-$AA12),$Z12))-$Z12))&lt;=Lists!H$21)*(EDATE($G12,(((Lists!H$24-$AA12)-MOD((Lists!H$24-$AA12),$Z12))-$Z12))&lt;=$AB12)))))</f>
        <v>0</v>
      </c>
      <c r="P12" s="53" t="n">
        <f aca="false">IF(OR(N($E12)=0,$G12=""),0,$I12*IF($F12="Weekly",((Lists!I$21-MOD(Lists!I$21-$G12,7))&gt;=$G12)*((Lists!I$21-MOD(Lists!I$21-$G12,7))&lt;=$AB12),IF($F12="One-off",($G12&gt;Lists!I$23)*($G12&lt;=Lists!I$21),IF($F12="",0,(((Lists!I$24-$AA12)-MOD((Lists!I$24-$AA12),$Z12))&gt;=0)*(EDATE($G12,((Lists!I$24-$AA12)-MOD((Lists!I$24-$AA12),$Z12)))&gt;Lists!I$23)*(EDATE($G12,((Lists!I$24-$AA12)-MOD((Lists!I$24-$AA12),$Z12)))&lt;=Lists!I$21)*(EDATE($G12,((Lists!I$24-$AA12)-MOD((Lists!I$24-$AA12),$Z12)))&lt;=$AB12)+((((Lists!I$24-$AA12)-MOD((Lists!I$24-$AA12),$Z12))-$Z12)&gt;=0)*(EDATE($G12,(((Lists!I$24-$AA12)-MOD((Lists!I$24-$AA12),$Z12))-$Z12))&gt;Lists!I$23)*(EDATE($G12,(((Lists!I$24-$AA12)-MOD((Lists!I$24-$AA12),$Z12))-$Z12))&lt;=Lists!I$21)*(EDATE($G12,(((Lists!I$24-$AA12)-MOD((Lists!I$24-$AA12),$Z12))-$Z12))&lt;=$AB12)))))</f>
        <v>0</v>
      </c>
      <c r="Q12" s="53" t="n">
        <f aca="false">IF(OR(N($E12)=0,$G12=""),0,$I12*IF($F12="Weekly",((Lists!J$21-MOD(Lists!J$21-$G12,7))&gt;=$G12)*((Lists!J$21-MOD(Lists!J$21-$G12,7))&lt;=$AB12),IF($F12="One-off",($G12&gt;Lists!J$23)*($G12&lt;=Lists!J$21),IF($F12="",0,(((Lists!J$24-$AA12)-MOD((Lists!J$24-$AA12),$Z12))&gt;=0)*(EDATE($G12,((Lists!J$24-$AA12)-MOD((Lists!J$24-$AA12),$Z12)))&gt;Lists!J$23)*(EDATE($G12,((Lists!J$24-$AA12)-MOD((Lists!J$24-$AA12),$Z12)))&lt;=Lists!J$21)*(EDATE($G12,((Lists!J$24-$AA12)-MOD((Lists!J$24-$AA12),$Z12)))&lt;=$AB12)+((((Lists!J$24-$AA12)-MOD((Lists!J$24-$AA12),$Z12))-$Z12)&gt;=0)*(EDATE($G12,(((Lists!J$24-$AA12)-MOD((Lists!J$24-$AA12),$Z12))-$Z12))&gt;Lists!J$23)*(EDATE($G12,(((Lists!J$24-$AA12)-MOD((Lists!J$24-$AA12),$Z12))-$Z12))&lt;=Lists!J$21)*(EDATE($G12,(((Lists!J$24-$AA12)-MOD((Lists!J$24-$AA12),$Z12))-$Z12))&lt;=$AB12)))))</f>
        <v>2500</v>
      </c>
      <c r="R12" s="53" t="n">
        <f aca="false">IF(OR(N($E12)=0,$G12=""),0,$I12*IF($F12="Weekly",((Lists!K$21-MOD(Lists!K$21-$G12,7))&gt;=$G12)*((Lists!K$21-MOD(Lists!K$21-$G12,7))&lt;=$AB12),IF($F12="One-off",($G12&gt;Lists!K$23)*($G12&lt;=Lists!K$21),IF($F12="",0,(((Lists!K$24-$AA12)-MOD((Lists!K$24-$AA12),$Z12))&gt;=0)*(EDATE($G12,((Lists!K$24-$AA12)-MOD((Lists!K$24-$AA12),$Z12)))&gt;Lists!K$23)*(EDATE($G12,((Lists!K$24-$AA12)-MOD((Lists!K$24-$AA12),$Z12)))&lt;=Lists!K$21)*(EDATE($G12,((Lists!K$24-$AA12)-MOD((Lists!K$24-$AA12),$Z12)))&lt;=$AB12)+((((Lists!K$24-$AA12)-MOD((Lists!K$24-$AA12),$Z12))-$Z12)&gt;=0)*(EDATE($G12,(((Lists!K$24-$AA12)-MOD((Lists!K$24-$AA12),$Z12))-$Z12))&gt;Lists!K$23)*(EDATE($G12,(((Lists!K$24-$AA12)-MOD((Lists!K$24-$AA12),$Z12))-$Z12))&lt;=Lists!K$21)*(EDATE($G12,(((Lists!K$24-$AA12)-MOD((Lists!K$24-$AA12),$Z12))-$Z12))&lt;=$AB12)))))</f>
        <v>0</v>
      </c>
      <c r="S12" s="53" t="n">
        <f aca="false">IF(OR(N($E12)=0,$G12=""),0,$I12*IF($F12="Weekly",((Lists!L$21-MOD(Lists!L$21-$G12,7))&gt;=$G12)*((Lists!L$21-MOD(Lists!L$21-$G12,7))&lt;=$AB12),IF($F12="One-off",($G12&gt;Lists!L$23)*($G12&lt;=Lists!L$21),IF($F12="",0,(((Lists!L$24-$AA12)-MOD((Lists!L$24-$AA12),$Z12))&gt;=0)*(EDATE($G12,((Lists!L$24-$AA12)-MOD((Lists!L$24-$AA12),$Z12)))&gt;Lists!L$23)*(EDATE($G12,((Lists!L$24-$AA12)-MOD((Lists!L$24-$AA12),$Z12)))&lt;=Lists!L$21)*(EDATE($G12,((Lists!L$24-$AA12)-MOD((Lists!L$24-$AA12),$Z12)))&lt;=$AB12)+((((Lists!L$24-$AA12)-MOD((Lists!L$24-$AA12),$Z12))-$Z12)&gt;=0)*(EDATE($G12,(((Lists!L$24-$AA12)-MOD((Lists!L$24-$AA12),$Z12))-$Z12))&gt;Lists!L$23)*(EDATE($G12,(((Lists!L$24-$AA12)-MOD((Lists!L$24-$AA12),$Z12))-$Z12))&lt;=Lists!L$21)*(EDATE($G12,(((Lists!L$24-$AA12)-MOD((Lists!L$24-$AA12),$Z12))-$Z12))&lt;=$AB12)))))</f>
        <v>0</v>
      </c>
      <c r="T12" s="53" t="n">
        <f aca="false">IF(OR(N($E12)=0,$G12=""),0,$I12*IF($F12="Weekly",((Lists!M$21-MOD(Lists!M$21-$G12,7))&gt;=$G12)*((Lists!M$21-MOD(Lists!M$21-$G12,7))&lt;=$AB12),IF($F12="One-off",($G12&gt;Lists!M$23)*($G12&lt;=Lists!M$21),IF($F12="",0,(((Lists!M$24-$AA12)-MOD((Lists!M$24-$AA12),$Z12))&gt;=0)*(EDATE($G12,((Lists!M$24-$AA12)-MOD((Lists!M$24-$AA12),$Z12)))&gt;Lists!M$23)*(EDATE($G12,((Lists!M$24-$AA12)-MOD((Lists!M$24-$AA12),$Z12)))&lt;=Lists!M$21)*(EDATE($G12,((Lists!M$24-$AA12)-MOD((Lists!M$24-$AA12),$Z12)))&lt;=$AB12)+((((Lists!M$24-$AA12)-MOD((Lists!M$24-$AA12),$Z12))-$Z12)&gt;=0)*(EDATE($G12,(((Lists!M$24-$AA12)-MOD((Lists!M$24-$AA12),$Z12))-$Z12))&gt;Lists!M$23)*(EDATE($G12,(((Lists!M$24-$AA12)-MOD((Lists!M$24-$AA12),$Z12))-$Z12))&lt;=Lists!M$21)*(EDATE($G12,(((Lists!M$24-$AA12)-MOD((Lists!M$24-$AA12),$Z12))-$Z12))&lt;=$AB12)))))</f>
        <v>0</v>
      </c>
      <c r="U12" s="53" t="n">
        <f aca="false">IF(OR(N($E12)=0,$G12=""),0,$I12*IF($F12="Weekly",((Lists!N$21-MOD(Lists!N$21-$G12,7))&gt;=$G12)*((Lists!N$21-MOD(Lists!N$21-$G12,7))&lt;=$AB12),IF($F12="One-off",($G12&gt;Lists!N$23)*($G12&lt;=Lists!N$21),IF($F12="",0,(((Lists!N$24-$AA12)-MOD((Lists!N$24-$AA12),$Z12))&gt;=0)*(EDATE($G12,((Lists!N$24-$AA12)-MOD((Lists!N$24-$AA12),$Z12)))&gt;Lists!N$23)*(EDATE($G12,((Lists!N$24-$AA12)-MOD((Lists!N$24-$AA12),$Z12)))&lt;=Lists!N$21)*(EDATE($G12,((Lists!N$24-$AA12)-MOD((Lists!N$24-$AA12),$Z12)))&lt;=$AB12)+((((Lists!N$24-$AA12)-MOD((Lists!N$24-$AA12),$Z12))-$Z12)&gt;=0)*(EDATE($G12,(((Lists!N$24-$AA12)-MOD((Lists!N$24-$AA12),$Z12))-$Z12))&gt;Lists!N$23)*(EDATE($G12,(((Lists!N$24-$AA12)-MOD((Lists!N$24-$AA12),$Z12))-$Z12))&lt;=Lists!N$21)*(EDATE($G12,(((Lists!N$24-$AA12)-MOD((Lists!N$24-$AA12),$Z12))-$Z12))&lt;=$AB12)))))</f>
        <v>0</v>
      </c>
      <c r="V12" s="53" t="n">
        <f aca="false">IF(OR(N($E12)=0,$G12=""),0,$I12*IF($F12="Weekly",((Lists!O$21-MOD(Lists!O$21-$G12,7))&gt;=$G12)*((Lists!O$21-MOD(Lists!O$21-$G12,7))&lt;=$AB12),IF($F12="One-off",($G12&gt;Lists!O$23)*($G12&lt;=Lists!O$21),IF($F12="",0,(((Lists!O$24-$AA12)-MOD((Lists!O$24-$AA12),$Z12))&gt;=0)*(EDATE($G12,((Lists!O$24-$AA12)-MOD((Lists!O$24-$AA12),$Z12)))&gt;Lists!O$23)*(EDATE($G12,((Lists!O$24-$AA12)-MOD((Lists!O$24-$AA12),$Z12)))&lt;=Lists!O$21)*(EDATE($G12,((Lists!O$24-$AA12)-MOD((Lists!O$24-$AA12),$Z12)))&lt;=$AB12)+((((Lists!O$24-$AA12)-MOD((Lists!O$24-$AA12),$Z12))-$Z12)&gt;=0)*(EDATE($G12,(((Lists!O$24-$AA12)-MOD((Lists!O$24-$AA12),$Z12))-$Z12))&gt;Lists!O$23)*(EDATE($G12,(((Lists!O$24-$AA12)-MOD((Lists!O$24-$AA12),$Z12))-$Z12))&lt;=Lists!O$21)*(EDATE($G12,(((Lists!O$24-$AA12)-MOD((Lists!O$24-$AA12),$Z12))-$Z12))&lt;=$AB12)))))</f>
        <v>2500</v>
      </c>
      <c r="W12" s="46" t="n">
        <f aca="false">SUM(J12:V12)</f>
        <v>7500</v>
      </c>
      <c r="X12" s="2"/>
      <c r="Y12" s="104" t="n">
        <f aca="false">IF(AND(Setup!$D$16="Yes",D12&lt;&gt;"No"),1+Setup!$D$17,1)</f>
        <v>1</v>
      </c>
      <c r="Z12" s="94" t="n">
        <f aca="false">IF(F12="Quarterly",3,IF(F12="Annually",12,1))</f>
        <v>1</v>
      </c>
      <c r="AA12" s="94" t="n">
        <f aca="false">IF(G12="",0,YEAR(G12)*12+MONTH(G12))</f>
        <v>24323</v>
      </c>
      <c r="AB12" s="93" t="n">
        <f aca="false">IF(H12="",2958465,H12)</f>
        <v>2958465</v>
      </c>
      <c r="AC12" s="95" t="str">
        <f aca="false">IF(C12="","Other overheads",C12)</f>
        <v>Insurance</v>
      </c>
    </row>
    <row r="13" customFormat="false" ht="15" hidden="false" customHeight="false" outlineLevel="0" collapsed="false">
      <c r="A13" s="87" t="n">
        <v>5</v>
      </c>
      <c r="B13" s="55" t="s">
        <v>502</v>
      </c>
      <c r="C13" s="55" t="s">
        <v>503</v>
      </c>
      <c r="D13" s="58" t="s">
        <v>186</v>
      </c>
      <c r="E13" s="88" t="n">
        <v>1500</v>
      </c>
      <c r="F13" s="58" t="s">
        <v>498</v>
      </c>
      <c r="G13" s="90" t="n">
        <v>46336</v>
      </c>
      <c r="H13" s="90"/>
      <c r="I13" s="92" t="n">
        <f aca="false">N(E13)*Y13</f>
        <v>1800</v>
      </c>
      <c r="J13" s="53" t="n">
        <f aca="false">IF(OR(N($E13)=0,$G13=""),0,$I13*IF($F13="Weekly",((Lists!C$21-MOD(Lists!C$21-$G13,7))&gt;=$G13)*((Lists!C$21-MOD(Lists!C$21-$G13,7))&lt;=$AB13),IF($F13="One-off",($G13&gt;Lists!C$23)*($G13&lt;=Lists!C$21),IF($F13="",0,(((Lists!C$24-$AA13)-MOD((Lists!C$24-$AA13),$Z13))&gt;=0)*(EDATE($G13,((Lists!C$24-$AA13)-MOD((Lists!C$24-$AA13),$Z13)))&gt;Lists!C$23)*(EDATE($G13,((Lists!C$24-$AA13)-MOD((Lists!C$24-$AA13),$Z13)))&lt;=Lists!C$21)*(EDATE($G13,((Lists!C$24-$AA13)-MOD((Lists!C$24-$AA13),$Z13)))&lt;=$AB13)+((((Lists!C$24-$AA13)-MOD((Lists!C$24-$AA13),$Z13))-$Z13)&gt;=0)*(EDATE($G13,(((Lists!C$24-$AA13)-MOD((Lists!C$24-$AA13),$Z13))-$Z13))&gt;Lists!C$23)*(EDATE($G13,(((Lists!C$24-$AA13)-MOD((Lists!C$24-$AA13),$Z13))-$Z13))&lt;=Lists!C$21)*(EDATE($G13,(((Lists!C$24-$AA13)-MOD((Lists!C$24-$AA13),$Z13))-$Z13))&lt;=$AB13)))))</f>
        <v>1800</v>
      </c>
      <c r="K13" s="53" t="n">
        <f aca="false">IF(OR(N($E13)=0,$G13=""),0,$I13*IF($F13="Weekly",((Lists!D$21-MOD(Lists!D$21-$G13,7))&gt;=$G13)*((Lists!D$21-MOD(Lists!D$21-$G13,7))&lt;=$AB13),IF($F13="One-off",($G13&gt;Lists!D$23)*($G13&lt;=Lists!D$21),IF($F13="",0,(((Lists!D$24-$AA13)-MOD((Lists!D$24-$AA13),$Z13))&gt;=0)*(EDATE($G13,((Lists!D$24-$AA13)-MOD((Lists!D$24-$AA13),$Z13)))&gt;Lists!D$23)*(EDATE($G13,((Lists!D$24-$AA13)-MOD((Lists!D$24-$AA13),$Z13)))&lt;=Lists!D$21)*(EDATE($G13,((Lists!D$24-$AA13)-MOD((Lists!D$24-$AA13),$Z13)))&lt;=$AB13)+((((Lists!D$24-$AA13)-MOD((Lists!D$24-$AA13),$Z13))-$Z13)&gt;=0)*(EDATE($G13,(((Lists!D$24-$AA13)-MOD((Lists!D$24-$AA13),$Z13))-$Z13))&gt;Lists!D$23)*(EDATE($G13,(((Lists!D$24-$AA13)-MOD((Lists!D$24-$AA13),$Z13))-$Z13))&lt;=Lists!D$21)*(EDATE($G13,(((Lists!D$24-$AA13)-MOD((Lists!D$24-$AA13),$Z13))-$Z13))&lt;=$AB13)))))</f>
        <v>0</v>
      </c>
      <c r="L13" s="53" t="n">
        <f aca="false">IF(OR(N($E13)=0,$G13=""),0,$I13*IF($F13="Weekly",((Lists!E$21-MOD(Lists!E$21-$G13,7))&gt;=$G13)*((Lists!E$21-MOD(Lists!E$21-$G13,7))&lt;=$AB13),IF($F13="One-off",($G13&gt;Lists!E$23)*($G13&lt;=Lists!E$21),IF($F13="",0,(((Lists!E$24-$AA13)-MOD((Lists!E$24-$AA13),$Z13))&gt;=0)*(EDATE($G13,((Lists!E$24-$AA13)-MOD((Lists!E$24-$AA13),$Z13)))&gt;Lists!E$23)*(EDATE($G13,((Lists!E$24-$AA13)-MOD((Lists!E$24-$AA13),$Z13)))&lt;=Lists!E$21)*(EDATE($G13,((Lists!E$24-$AA13)-MOD((Lists!E$24-$AA13),$Z13)))&lt;=$AB13)+((((Lists!E$24-$AA13)-MOD((Lists!E$24-$AA13),$Z13))-$Z13)&gt;=0)*(EDATE($G13,(((Lists!E$24-$AA13)-MOD((Lists!E$24-$AA13),$Z13))-$Z13))&gt;Lists!E$23)*(EDATE($G13,(((Lists!E$24-$AA13)-MOD((Lists!E$24-$AA13),$Z13))-$Z13))&lt;=Lists!E$21)*(EDATE($G13,(((Lists!E$24-$AA13)-MOD((Lists!E$24-$AA13),$Z13))-$Z13))&lt;=$AB13)))))</f>
        <v>0</v>
      </c>
      <c r="M13" s="53" t="n">
        <f aca="false">IF(OR(N($E13)=0,$G13=""),0,$I13*IF($F13="Weekly",((Lists!F$21-MOD(Lists!F$21-$G13,7))&gt;=$G13)*((Lists!F$21-MOD(Lists!F$21-$G13,7))&lt;=$AB13),IF($F13="One-off",($G13&gt;Lists!F$23)*($G13&lt;=Lists!F$21),IF($F13="",0,(((Lists!F$24-$AA13)-MOD((Lists!F$24-$AA13),$Z13))&gt;=0)*(EDATE($G13,((Lists!F$24-$AA13)-MOD((Lists!F$24-$AA13),$Z13)))&gt;Lists!F$23)*(EDATE($G13,((Lists!F$24-$AA13)-MOD((Lists!F$24-$AA13),$Z13)))&lt;=Lists!F$21)*(EDATE($G13,((Lists!F$24-$AA13)-MOD((Lists!F$24-$AA13),$Z13)))&lt;=$AB13)+((((Lists!F$24-$AA13)-MOD((Lists!F$24-$AA13),$Z13))-$Z13)&gt;=0)*(EDATE($G13,(((Lists!F$24-$AA13)-MOD((Lists!F$24-$AA13),$Z13))-$Z13))&gt;Lists!F$23)*(EDATE($G13,(((Lists!F$24-$AA13)-MOD((Lists!F$24-$AA13),$Z13))-$Z13))&lt;=Lists!F$21)*(EDATE($G13,(((Lists!F$24-$AA13)-MOD((Lists!F$24-$AA13),$Z13))-$Z13))&lt;=$AB13)))))</f>
        <v>0</v>
      </c>
      <c r="N13" s="53" t="n">
        <f aca="false">IF(OR(N($E13)=0,$G13=""),0,$I13*IF($F13="Weekly",((Lists!G$21-MOD(Lists!G$21-$G13,7))&gt;=$G13)*((Lists!G$21-MOD(Lists!G$21-$G13,7))&lt;=$AB13),IF($F13="One-off",($G13&gt;Lists!G$23)*($G13&lt;=Lists!G$21),IF($F13="",0,(((Lists!G$24-$AA13)-MOD((Lists!G$24-$AA13),$Z13))&gt;=0)*(EDATE($G13,((Lists!G$24-$AA13)-MOD((Lists!G$24-$AA13),$Z13)))&gt;Lists!G$23)*(EDATE($G13,((Lists!G$24-$AA13)-MOD((Lists!G$24-$AA13),$Z13)))&lt;=Lists!G$21)*(EDATE($G13,((Lists!G$24-$AA13)-MOD((Lists!G$24-$AA13),$Z13)))&lt;=$AB13)+((((Lists!G$24-$AA13)-MOD((Lists!G$24-$AA13),$Z13))-$Z13)&gt;=0)*(EDATE($G13,(((Lists!G$24-$AA13)-MOD((Lists!G$24-$AA13),$Z13))-$Z13))&gt;Lists!G$23)*(EDATE($G13,(((Lists!G$24-$AA13)-MOD((Lists!G$24-$AA13),$Z13))-$Z13))&lt;=Lists!G$21)*(EDATE($G13,(((Lists!G$24-$AA13)-MOD((Lists!G$24-$AA13),$Z13))-$Z13))&lt;=$AB13)))))</f>
        <v>1800</v>
      </c>
      <c r="O13" s="53" t="n">
        <f aca="false">IF(OR(N($E13)=0,$G13=""),0,$I13*IF($F13="Weekly",((Lists!H$21-MOD(Lists!H$21-$G13,7))&gt;=$G13)*((Lists!H$21-MOD(Lists!H$21-$G13,7))&lt;=$AB13),IF($F13="One-off",($G13&gt;Lists!H$23)*($G13&lt;=Lists!H$21),IF($F13="",0,(((Lists!H$24-$AA13)-MOD((Lists!H$24-$AA13),$Z13))&gt;=0)*(EDATE($G13,((Lists!H$24-$AA13)-MOD((Lists!H$24-$AA13),$Z13)))&gt;Lists!H$23)*(EDATE($G13,((Lists!H$24-$AA13)-MOD((Lists!H$24-$AA13),$Z13)))&lt;=Lists!H$21)*(EDATE($G13,((Lists!H$24-$AA13)-MOD((Lists!H$24-$AA13),$Z13)))&lt;=$AB13)+((((Lists!H$24-$AA13)-MOD((Lists!H$24-$AA13),$Z13))-$Z13)&gt;=0)*(EDATE($G13,(((Lists!H$24-$AA13)-MOD((Lists!H$24-$AA13),$Z13))-$Z13))&gt;Lists!H$23)*(EDATE($G13,(((Lists!H$24-$AA13)-MOD((Lists!H$24-$AA13),$Z13))-$Z13))&lt;=Lists!H$21)*(EDATE($G13,(((Lists!H$24-$AA13)-MOD((Lists!H$24-$AA13),$Z13))-$Z13))&lt;=$AB13)))))</f>
        <v>0</v>
      </c>
      <c r="P13" s="53" t="n">
        <f aca="false">IF(OR(N($E13)=0,$G13=""),0,$I13*IF($F13="Weekly",((Lists!I$21-MOD(Lists!I$21-$G13,7))&gt;=$G13)*((Lists!I$21-MOD(Lists!I$21-$G13,7))&lt;=$AB13),IF($F13="One-off",($G13&gt;Lists!I$23)*($G13&lt;=Lists!I$21),IF($F13="",0,(((Lists!I$24-$AA13)-MOD((Lists!I$24-$AA13),$Z13))&gt;=0)*(EDATE($G13,((Lists!I$24-$AA13)-MOD((Lists!I$24-$AA13),$Z13)))&gt;Lists!I$23)*(EDATE($G13,((Lists!I$24-$AA13)-MOD((Lists!I$24-$AA13),$Z13)))&lt;=Lists!I$21)*(EDATE($G13,((Lists!I$24-$AA13)-MOD((Lists!I$24-$AA13),$Z13)))&lt;=$AB13)+((((Lists!I$24-$AA13)-MOD((Lists!I$24-$AA13),$Z13))-$Z13)&gt;=0)*(EDATE($G13,(((Lists!I$24-$AA13)-MOD((Lists!I$24-$AA13),$Z13))-$Z13))&gt;Lists!I$23)*(EDATE($G13,(((Lists!I$24-$AA13)-MOD((Lists!I$24-$AA13),$Z13))-$Z13))&lt;=Lists!I$21)*(EDATE($G13,(((Lists!I$24-$AA13)-MOD((Lists!I$24-$AA13),$Z13))-$Z13))&lt;=$AB13)))))</f>
        <v>0</v>
      </c>
      <c r="Q13" s="53" t="n">
        <f aca="false">IF(OR(N($E13)=0,$G13=""),0,$I13*IF($F13="Weekly",((Lists!J$21-MOD(Lists!J$21-$G13,7))&gt;=$G13)*((Lists!J$21-MOD(Lists!J$21-$G13,7))&lt;=$AB13),IF($F13="One-off",($G13&gt;Lists!J$23)*($G13&lt;=Lists!J$21),IF($F13="",0,(((Lists!J$24-$AA13)-MOD((Lists!J$24-$AA13),$Z13))&gt;=0)*(EDATE($G13,((Lists!J$24-$AA13)-MOD((Lists!J$24-$AA13),$Z13)))&gt;Lists!J$23)*(EDATE($G13,((Lists!J$24-$AA13)-MOD((Lists!J$24-$AA13),$Z13)))&lt;=Lists!J$21)*(EDATE($G13,((Lists!J$24-$AA13)-MOD((Lists!J$24-$AA13),$Z13)))&lt;=$AB13)+((((Lists!J$24-$AA13)-MOD((Lists!J$24-$AA13),$Z13))-$Z13)&gt;=0)*(EDATE($G13,(((Lists!J$24-$AA13)-MOD((Lists!J$24-$AA13),$Z13))-$Z13))&gt;Lists!J$23)*(EDATE($G13,(((Lists!J$24-$AA13)-MOD((Lists!J$24-$AA13),$Z13))-$Z13))&lt;=Lists!J$21)*(EDATE($G13,(((Lists!J$24-$AA13)-MOD((Lists!J$24-$AA13),$Z13))-$Z13))&lt;=$AB13)))))</f>
        <v>0</v>
      </c>
      <c r="R13" s="53" t="n">
        <f aca="false">IF(OR(N($E13)=0,$G13=""),0,$I13*IF($F13="Weekly",((Lists!K$21-MOD(Lists!K$21-$G13,7))&gt;=$G13)*((Lists!K$21-MOD(Lists!K$21-$G13,7))&lt;=$AB13),IF($F13="One-off",($G13&gt;Lists!K$23)*($G13&lt;=Lists!K$21),IF($F13="",0,(((Lists!K$24-$AA13)-MOD((Lists!K$24-$AA13),$Z13))&gt;=0)*(EDATE($G13,((Lists!K$24-$AA13)-MOD((Lists!K$24-$AA13),$Z13)))&gt;Lists!K$23)*(EDATE($G13,((Lists!K$24-$AA13)-MOD((Lists!K$24-$AA13),$Z13)))&lt;=Lists!K$21)*(EDATE($G13,((Lists!K$24-$AA13)-MOD((Lists!K$24-$AA13),$Z13)))&lt;=$AB13)+((((Lists!K$24-$AA13)-MOD((Lists!K$24-$AA13),$Z13))-$Z13)&gt;=0)*(EDATE($G13,(((Lists!K$24-$AA13)-MOD((Lists!K$24-$AA13),$Z13))-$Z13))&gt;Lists!K$23)*(EDATE($G13,(((Lists!K$24-$AA13)-MOD((Lists!K$24-$AA13),$Z13))-$Z13))&lt;=Lists!K$21)*(EDATE($G13,(((Lists!K$24-$AA13)-MOD((Lists!K$24-$AA13),$Z13))-$Z13))&lt;=$AB13)))))</f>
        <v>0</v>
      </c>
      <c r="S13" s="53" t="n">
        <f aca="false">IF(OR(N($E13)=0,$G13=""),0,$I13*IF($F13="Weekly",((Lists!L$21-MOD(Lists!L$21-$G13,7))&gt;=$G13)*((Lists!L$21-MOD(Lists!L$21-$G13,7))&lt;=$AB13),IF($F13="One-off",($G13&gt;Lists!L$23)*($G13&lt;=Lists!L$21),IF($F13="",0,(((Lists!L$24-$AA13)-MOD((Lists!L$24-$AA13),$Z13))&gt;=0)*(EDATE($G13,((Lists!L$24-$AA13)-MOD((Lists!L$24-$AA13),$Z13)))&gt;Lists!L$23)*(EDATE($G13,((Lists!L$24-$AA13)-MOD((Lists!L$24-$AA13),$Z13)))&lt;=Lists!L$21)*(EDATE($G13,((Lists!L$24-$AA13)-MOD((Lists!L$24-$AA13),$Z13)))&lt;=$AB13)+((((Lists!L$24-$AA13)-MOD((Lists!L$24-$AA13),$Z13))-$Z13)&gt;=0)*(EDATE($G13,(((Lists!L$24-$AA13)-MOD((Lists!L$24-$AA13),$Z13))-$Z13))&gt;Lists!L$23)*(EDATE($G13,(((Lists!L$24-$AA13)-MOD((Lists!L$24-$AA13),$Z13))-$Z13))&lt;=Lists!L$21)*(EDATE($G13,(((Lists!L$24-$AA13)-MOD((Lists!L$24-$AA13),$Z13))-$Z13))&lt;=$AB13)))))</f>
        <v>1800</v>
      </c>
      <c r="T13" s="53" t="n">
        <f aca="false">IF(OR(N($E13)=0,$G13=""),0,$I13*IF($F13="Weekly",((Lists!M$21-MOD(Lists!M$21-$G13,7))&gt;=$G13)*((Lists!M$21-MOD(Lists!M$21-$G13,7))&lt;=$AB13),IF($F13="One-off",($G13&gt;Lists!M$23)*($G13&lt;=Lists!M$21),IF($F13="",0,(((Lists!M$24-$AA13)-MOD((Lists!M$24-$AA13),$Z13))&gt;=0)*(EDATE($G13,((Lists!M$24-$AA13)-MOD((Lists!M$24-$AA13),$Z13)))&gt;Lists!M$23)*(EDATE($G13,((Lists!M$24-$AA13)-MOD((Lists!M$24-$AA13),$Z13)))&lt;=Lists!M$21)*(EDATE($G13,((Lists!M$24-$AA13)-MOD((Lists!M$24-$AA13),$Z13)))&lt;=$AB13)+((((Lists!M$24-$AA13)-MOD((Lists!M$24-$AA13),$Z13))-$Z13)&gt;=0)*(EDATE($G13,(((Lists!M$24-$AA13)-MOD((Lists!M$24-$AA13),$Z13))-$Z13))&gt;Lists!M$23)*(EDATE($G13,(((Lists!M$24-$AA13)-MOD((Lists!M$24-$AA13),$Z13))-$Z13))&lt;=Lists!M$21)*(EDATE($G13,(((Lists!M$24-$AA13)-MOD((Lists!M$24-$AA13),$Z13))-$Z13))&lt;=$AB13)))))</f>
        <v>0</v>
      </c>
      <c r="U13" s="53" t="n">
        <f aca="false">IF(OR(N($E13)=0,$G13=""),0,$I13*IF($F13="Weekly",((Lists!N$21-MOD(Lists!N$21-$G13,7))&gt;=$G13)*((Lists!N$21-MOD(Lists!N$21-$G13,7))&lt;=$AB13),IF($F13="One-off",($G13&gt;Lists!N$23)*($G13&lt;=Lists!N$21),IF($F13="",0,(((Lists!N$24-$AA13)-MOD((Lists!N$24-$AA13),$Z13))&gt;=0)*(EDATE($G13,((Lists!N$24-$AA13)-MOD((Lists!N$24-$AA13),$Z13)))&gt;Lists!N$23)*(EDATE($G13,((Lists!N$24-$AA13)-MOD((Lists!N$24-$AA13),$Z13)))&lt;=Lists!N$21)*(EDATE($G13,((Lists!N$24-$AA13)-MOD((Lists!N$24-$AA13),$Z13)))&lt;=$AB13)+((((Lists!N$24-$AA13)-MOD((Lists!N$24-$AA13),$Z13))-$Z13)&gt;=0)*(EDATE($G13,(((Lists!N$24-$AA13)-MOD((Lists!N$24-$AA13),$Z13))-$Z13))&gt;Lists!N$23)*(EDATE($G13,(((Lists!N$24-$AA13)-MOD((Lists!N$24-$AA13),$Z13))-$Z13))&lt;=Lists!N$21)*(EDATE($G13,(((Lists!N$24-$AA13)-MOD((Lists!N$24-$AA13),$Z13))-$Z13))&lt;=$AB13)))))</f>
        <v>0</v>
      </c>
      <c r="V13" s="53" t="n">
        <f aca="false">IF(OR(N($E13)=0,$G13=""),0,$I13*IF($F13="Weekly",((Lists!O$21-MOD(Lists!O$21-$G13,7))&gt;=$G13)*((Lists!O$21-MOD(Lists!O$21-$G13,7))&lt;=$AB13),IF($F13="One-off",($G13&gt;Lists!O$23)*($G13&lt;=Lists!O$21),IF($F13="",0,(((Lists!O$24-$AA13)-MOD((Lists!O$24-$AA13),$Z13))&gt;=0)*(EDATE($G13,((Lists!O$24-$AA13)-MOD((Lists!O$24-$AA13),$Z13)))&gt;Lists!O$23)*(EDATE($G13,((Lists!O$24-$AA13)-MOD((Lists!O$24-$AA13),$Z13)))&lt;=Lists!O$21)*(EDATE($G13,((Lists!O$24-$AA13)-MOD((Lists!O$24-$AA13),$Z13)))&lt;=$AB13)+((((Lists!O$24-$AA13)-MOD((Lists!O$24-$AA13),$Z13))-$Z13)&gt;=0)*(EDATE($G13,(((Lists!O$24-$AA13)-MOD((Lists!O$24-$AA13),$Z13))-$Z13))&gt;Lists!O$23)*(EDATE($G13,(((Lists!O$24-$AA13)-MOD((Lists!O$24-$AA13),$Z13))-$Z13))&lt;=Lists!O$21)*(EDATE($G13,(((Lists!O$24-$AA13)-MOD((Lists!O$24-$AA13),$Z13))-$Z13))&lt;=$AB13)))))</f>
        <v>0</v>
      </c>
      <c r="W13" s="46" t="n">
        <f aca="false">SUM(J13:V13)</f>
        <v>5400</v>
      </c>
      <c r="X13" s="2"/>
      <c r="Y13" s="104" t="n">
        <f aca="false">IF(AND(Setup!$D$16="Yes",D13&lt;&gt;"No"),1+Setup!$D$17,1)</f>
        <v>1.2</v>
      </c>
      <c r="Z13" s="94" t="n">
        <f aca="false">IF(F13="Quarterly",3,IF(F13="Annually",12,1))</f>
        <v>1</v>
      </c>
      <c r="AA13" s="94" t="n">
        <f aca="false">IF(G13="",0,YEAR(G13)*12+MONTH(G13))</f>
        <v>24323</v>
      </c>
      <c r="AB13" s="93" t="n">
        <f aca="false">IF(H13="",2958465,H13)</f>
        <v>2958465</v>
      </c>
      <c r="AC13" s="95" t="str">
        <f aca="false">IF(C13="","Other overheads",C13)</f>
        <v>IT &amp; software</v>
      </c>
    </row>
    <row r="14" customFormat="false" ht="15" hidden="false" customHeight="false" outlineLevel="0" collapsed="false">
      <c r="A14" s="87" t="n">
        <v>6</v>
      </c>
      <c r="B14" s="55" t="s">
        <v>504</v>
      </c>
      <c r="C14" s="55" t="s">
        <v>505</v>
      </c>
      <c r="D14" s="58" t="s">
        <v>186</v>
      </c>
      <c r="E14" s="88" t="n">
        <v>600</v>
      </c>
      <c r="F14" s="58" t="s">
        <v>498</v>
      </c>
      <c r="G14" s="90" t="n">
        <v>46344</v>
      </c>
      <c r="H14" s="90"/>
      <c r="I14" s="92" t="n">
        <f aca="false">N(E14)*Y14</f>
        <v>720</v>
      </c>
      <c r="J14" s="53" t="n">
        <f aca="false">IF(OR(N($E14)=0,$G14=""),0,$I14*IF($F14="Weekly",((Lists!C$21-MOD(Lists!C$21-$G14,7))&gt;=$G14)*((Lists!C$21-MOD(Lists!C$21-$G14,7))&lt;=$AB14),IF($F14="One-off",($G14&gt;Lists!C$23)*($G14&lt;=Lists!C$21),IF($F14="",0,(((Lists!C$24-$AA14)-MOD((Lists!C$24-$AA14),$Z14))&gt;=0)*(EDATE($G14,((Lists!C$24-$AA14)-MOD((Lists!C$24-$AA14),$Z14)))&gt;Lists!C$23)*(EDATE($G14,((Lists!C$24-$AA14)-MOD((Lists!C$24-$AA14),$Z14)))&lt;=Lists!C$21)*(EDATE($G14,((Lists!C$24-$AA14)-MOD((Lists!C$24-$AA14),$Z14)))&lt;=$AB14)+((((Lists!C$24-$AA14)-MOD((Lists!C$24-$AA14),$Z14))-$Z14)&gt;=0)*(EDATE($G14,(((Lists!C$24-$AA14)-MOD((Lists!C$24-$AA14),$Z14))-$Z14))&gt;Lists!C$23)*(EDATE($G14,(((Lists!C$24-$AA14)-MOD((Lists!C$24-$AA14),$Z14))-$Z14))&lt;=Lists!C$21)*(EDATE($G14,(((Lists!C$24-$AA14)-MOD((Lists!C$24-$AA14),$Z14))-$Z14))&lt;=$AB14)))))</f>
        <v>0</v>
      </c>
      <c r="K14" s="53" t="n">
        <f aca="false">IF(OR(N($E14)=0,$G14=""),0,$I14*IF($F14="Weekly",((Lists!D$21-MOD(Lists!D$21-$G14,7))&gt;=$G14)*((Lists!D$21-MOD(Lists!D$21-$G14,7))&lt;=$AB14),IF($F14="One-off",($G14&gt;Lists!D$23)*($G14&lt;=Lists!D$21),IF($F14="",0,(((Lists!D$24-$AA14)-MOD((Lists!D$24-$AA14),$Z14))&gt;=0)*(EDATE($G14,((Lists!D$24-$AA14)-MOD((Lists!D$24-$AA14),$Z14)))&gt;Lists!D$23)*(EDATE($G14,((Lists!D$24-$AA14)-MOD((Lists!D$24-$AA14),$Z14)))&lt;=Lists!D$21)*(EDATE($G14,((Lists!D$24-$AA14)-MOD((Lists!D$24-$AA14),$Z14)))&lt;=$AB14)+((((Lists!D$24-$AA14)-MOD((Lists!D$24-$AA14),$Z14))-$Z14)&gt;=0)*(EDATE($G14,(((Lists!D$24-$AA14)-MOD((Lists!D$24-$AA14),$Z14))-$Z14))&gt;Lists!D$23)*(EDATE($G14,(((Lists!D$24-$AA14)-MOD((Lists!D$24-$AA14),$Z14))-$Z14))&lt;=Lists!D$21)*(EDATE($G14,(((Lists!D$24-$AA14)-MOD((Lists!D$24-$AA14),$Z14))-$Z14))&lt;=$AB14)))))</f>
        <v>720</v>
      </c>
      <c r="L14" s="53" t="n">
        <f aca="false">IF(OR(N($E14)=0,$G14=""),0,$I14*IF($F14="Weekly",((Lists!E$21-MOD(Lists!E$21-$G14,7))&gt;=$G14)*((Lists!E$21-MOD(Lists!E$21-$G14,7))&lt;=$AB14),IF($F14="One-off",($G14&gt;Lists!E$23)*($G14&lt;=Lists!E$21),IF($F14="",0,(((Lists!E$24-$AA14)-MOD((Lists!E$24-$AA14),$Z14))&gt;=0)*(EDATE($G14,((Lists!E$24-$AA14)-MOD((Lists!E$24-$AA14),$Z14)))&gt;Lists!E$23)*(EDATE($G14,((Lists!E$24-$AA14)-MOD((Lists!E$24-$AA14),$Z14)))&lt;=Lists!E$21)*(EDATE($G14,((Lists!E$24-$AA14)-MOD((Lists!E$24-$AA14),$Z14)))&lt;=$AB14)+((((Lists!E$24-$AA14)-MOD((Lists!E$24-$AA14),$Z14))-$Z14)&gt;=0)*(EDATE($G14,(((Lists!E$24-$AA14)-MOD((Lists!E$24-$AA14),$Z14))-$Z14))&gt;Lists!E$23)*(EDATE($G14,(((Lists!E$24-$AA14)-MOD((Lists!E$24-$AA14),$Z14))-$Z14))&lt;=Lists!E$21)*(EDATE($G14,(((Lists!E$24-$AA14)-MOD((Lists!E$24-$AA14),$Z14))-$Z14))&lt;=$AB14)))))</f>
        <v>0</v>
      </c>
      <c r="M14" s="53" t="n">
        <f aca="false">IF(OR(N($E14)=0,$G14=""),0,$I14*IF($F14="Weekly",((Lists!F$21-MOD(Lists!F$21-$G14,7))&gt;=$G14)*((Lists!F$21-MOD(Lists!F$21-$G14,7))&lt;=$AB14),IF($F14="One-off",($G14&gt;Lists!F$23)*($G14&lt;=Lists!F$21),IF($F14="",0,(((Lists!F$24-$AA14)-MOD((Lists!F$24-$AA14),$Z14))&gt;=0)*(EDATE($G14,((Lists!F$24-$AA14)-MOD((Lists!F$24-$AA14),$Z14)))&gt;Lists!F$23)*(EDATE($G14,((Lists!F$24-$AA14)-MOD((Lists!F$24-$AA14),$Z14)))&lt;=Lists!F$21)*(EDATE($G14,((Lists!F$24-$AA14)-MOD((Lists!F$24-$AA14),$Z14)))&lt;=$AB14)+((((Lists!F$24-$AA14)-MOD((Lists!F$24-$AA14),$Z14))-$Z14)&gt;=0)*(EDATE($G14,(((Lists!F$24-$AA14)-MOD((Lists!F$24-$AA14),$Z14))-$Z14))&gt;Lists!F$23)*(EDATE($G14,(((Lists!F$24-$AA14)-MOD((Lists!F$24-$AA14),$Z14))-$Z14))&lt;=Lists!F$21)*(EDATE($G14,(((Lists!F$24-$AA14)-MOD((Lists!F$24-$AA14),$Z14))-$Z14))&lt;=$AB14)))))</f>
        <v>0</v>
      </c>
      <c r="N14" s="53" t="n">
        <f aca="false">IF(OR(N($E14)=0,$G14=""),0,$I14*IF($F14="Weekly",((Lists!G$21-MOD(Lists!G$21-$G14,7))&gt;=$G14)*((Lists!G$21-MOD(Lists!G$21-$G14,7))&lt;=$AB14),IF($F14="One-off",($G14&gt;Lists!G$23)*($G14&lt;=Lists!G$21),IF($F14="",0,(((Lists!G$24-$AA14)-MOD((Lists!G$24-$AA14),$Z14))&gt;=0)*(EDATE($G14,((Lists!G$24-$AA14)-MOD((Lists!G$24-$AA14),$Z14)))&gt;Lists!G$23)*(EDATE($G14,((Lists!G$24-$AA14)-MOD((Lists!G$24-$AA14),$Z14)))&lt;=Lists!G$21)*(EDATE($G14,((Lists!G$24-$AA14)-MOD((Lists!G$24-$AA14),$Z14)))&lt;=$AB14)+((((Lists!G$24-$AA14)-MOD((Lists!G$24-$AA14),$Z14))-$Z14)&gt;=0)*(EDATE($G14,(((Lists!G$24-$AA14)-MOD((Lists!G$24-$AA14),$Z14))-$Z14))&gt;Lists!G$23)*(EDATE($G14,(((Lists!G$24-$AA14)-MOD((Lists!G$24-$AA14),$Z14))-$Z14))&lt;=Lists!G$21)*(EDATE($G14,(((Lists!G$24-$AA14)-MOD((Lists!G$24-$AA14),$Z14))-$Z14))&lt;=$AB14)))))</f>
        <v>0</v>
      </c>
      <c r="O14" s="53" t="n">
        <f aca="false">IF(OR(N($E14)=0,$G14=""),0,$I14*IF($F14="Weekly",((Lists!H$21-MOD(Lists!H$21-$G14,7))&gt;=$G14)*((Lists!H$21-MOD(Lists!H$21-$G14,7))&lt;=$AB14),IF($F14="One-off",($G14&gt;Lists!H$23)*($G14&lt;=Lists!H$21),IF($F14="",0,(((Lists!H$24-$AA14)-MOD((Lists!H$24-$AA14),$Z14))&gt;=0)*(EDATE($G14,((Lists!H$24-$AA14)-MOD((Lists!H$24-$AA14),$Z14)))&gt;Lists!H$23)*(EDATE($G14,((Lists!H$24-$AA14)-MOD((Lists!H$24-$AA14),$Z14)))&lt;=Lists!H$21)*(EDATE($G14,((Lists!H$24-$AA14)-MOD((Lists!H$24-$AA14),$Z14)))&lt;=$AB14)+((((Lists!H$24-$AA14)-MOD((Lists!H$24-$AA14),$Z14))-$Z14)&gt;=0)*(EDATE($G14,(((Lists!H$24-$AA14)-MOD((Lists!H$24-$AA14),$Z14))-$Z14))&gt;Lists!H$23)*(EDATE($G14,(((Lists!H$24-$AA14)-MOD((Lists!H$24-$AA14),$Z14))-$Z14))&lt;=Lists!H$21)*(EDATE($G14,(((Lists!H$24-$AA14)-MOD((Lists!H$24-$AA14),$Z14))-$Z14))&lt;=$AB14)))))</f>
        <v>720</v>
      </c>
      <c r="P14" s="53" t="n">
        <f aca="false">IF(OR(N($E14)=0,$G14=""),0,$I14*IF($F14="Weekly",((Lists!I$21-MOD(Lists!I$21-$G14,7))&gt;=$G14)*((Lists!I$21-MOD(Lists!I$21-$G14,7))&lt;=$AB14),IF($F14="One-off",($G14&gt;Lists!I$23)*($G14&lt;=Lists!I$21),IF($F14="",0,(((Lists!I$24-$AA14)-MOD((Lists!I$24-$AA14),$Z14))&gt;=0)*(EDATE($G14,((Lists!I$24-$AA14)-MOD((Lists!I$24-$AA14),$Z14)))&gt;Lists!I$23)*(EDATE($G14,((Lists!I$24-$AA14)-MOD((Lists!I$24-$AA14),$Z14)))&lt;=Lists!I$21)*(EDATE($G14,((Lists!I$24-$AA14)-MOD((Lists!I$24-$AA14),$Z14)))&lt;=$AB14)+((((Lists!I$24-$AA14)-MOD((Lists!I$24-$AA14),$Z14))-$Z14)&gt;=0)*(EDATE($G14,(((Lists!I$24-$AA14)-MOD((Lists!I$24-$AA14),$Z14))-$Z14))&gt;Lists!I$23)*(EDATE($G14,(((Lists!I$24-$AA14)-MOD((Lists!I$24-$AA14),$Z14))-$Z14))&lt;=Lists!I$21)*(EDATE($G14,(((Lists!I$24-$AA14)-MOD((Lists!I$24-$AA14),$Z14))-$Z14))&lt;=$AB14)))))</f>
        <v>0</v>
      </c>
      <c r="Q14" s="53" t="n">
        <f aca="false">IF(OR(N($E14)=0,$G14=""),0,$I14*IF($F14="Weekly",((Lists!J$21-MOD(Lists!J$21-$G14,7))&gt;=$G14)*((Lists!J$21-MOD(Lists!J$21-$G14,7))&lt;=$AB14),IF($F14="One-off",($G14&gt;Lists!J$23)*($G14&lt;=Lists!J$21),IF($F14="",0,(((Lists!J$24-$AA14)-MOD((Lists!J$24-$AA14),$Z14))&gt;=0)*(EDATE($G14,((Lists!J$24-$AA14)-MOD((Lists!J$24-$AA14),$Z14)))&gt;Lists!J$23)*(EDATE($G14,((Lists!J$24-$AA14)-MOD((Lists!J$24-$AA14),$Z14)))&lt;=Lists!J$21)*(EDATE($G14,((Lists!J$24-$AA14)-MOD((Lists!J$24-$AA14),$Z14)))&lt;=$AB14)+((((Lists!J$24-$AA14)-MOD((Lists!J$24-$AA14),$Z14))-$Z14)&gt;=0)*(EDATE($G14,(((Lists!J$24-$AA14)-MOD((Lists!J$24-$AA14),$Z14))-$Z14))&gt;Lists!J$23)*(EDATE($G14,(((Lists!J$24-$AA14)-MOD((Lists!J$24-$AA14),$Z14))-$Z14))&lt;=Lists!J$21)*(EDATE($G14,(((Lists!J$24-$AA14)-MOD((Lists!J$24-$AA14),$Z14))-$Z14))&lt;=$AB14)))))</f>
        <v>0</v>
      </c>
      <c r="R14" s="53" t="n">
        <f aca="false">IF(OR(N($E14)=0,$G14=""),0,$I14*IF($F14="Weekly",((Lists!K$21-MOD(Lists!K$21-$G14,7))&gt;=$G14)*((Lists!K$21-MOD(Lists!K$21-$G14,7))&lt;=$AB14),IF($F14="One-off",($G14&gt;Lists!K$23)*($G14&lt;=Lists!K$21),IF($F14="",0,(((Lists!K$24-$AA14)-MOD((Lists!K$24-$AA14),$Z14))&gt;=0)*(EDATE($G14,((Lists!K$24-$AA14)-MOD((Lists!K$24-$AA14),$Z14)))&gt;Lists!K$23)*(EDATE($G14,((Lists!K$24-$AA14)-MOD((Lists!K$24-$AA14),$Z14)))&lt;=Lists!K$21)*(EDATE($G14,((Lists!K$24-$AA14)-MOD((Lists!K$24-$AA14),$Z14)))&lt;=$AB14)+((((Lists!K$24-$AA14)-MOD((Lists!K$24-$AA14),$Z14))-$Z14)&gt;=0)*(EDATE($G14,(((Lists!K$24-$AA14)-MOD((Lists!K$24-$AA14),$Z14))-$Z14))&gt;Lists!K$23)*(EDATE($G14,(((Lists!K$24-$AA14)-MOD((Lists!K$24-$AA14),$Z14))-$Z14))&lt;=Lists!K$21)*(EDATE($G14,(((Lists!K$24-$AA14)-MOD((Lists!K$24-$AA14),$Z14))-$Z14))&lt;=$AB14)))))</f>
        <v>0</v>
      </c>
      <c r="S14" s="53" t="n">
        <f aca="false">IF(OR(N($E14)=0,$G14=""),0,$I14*IF($F14="Weekly",((Lists!L$21-MOD(Lists!L$21-$G14,7))&gt;=$G14)*((Lists!L$21-MOD(Lists!L$21-$G14,7))&lt;=$AB14),IF($F14="One-off",($G14&gt;Lists!L$23)*($G14&lt;=Lists!L$21),IF($F14="",0,(((Lists!L$24-$AA14)-MOD((Lists!L$24-$AA14),$Z14))&gt;=0)*(EDATE($G14,((Lists!L$24-$AA14)-MOD((Lists!L$24-$AA14),$Z14)))&gt;Lists!L$23)*(EDATE($G14,((Lists!L$24-$AA14)-MOD((Lists!L$24-$AA14),$Z14)))&lt;=Lists!L$21)*(EDATE($G14,((Lists!L$24-$AA14)-MOD((Lists!L$24-$AA14),$Z14)))&lt;=$AB14)+((((Lists!L$24-$AA14)-MOD((Lists!L$24-$AA14),$Z14))-$Z14)&gt;=0)*(EDATE($G14,(((Lists!L$24-$AA14)-MOD((Lists!L$24-$AA14),$Z14))-$Z14))&gt;Lists!L$23)*(EDATE($G14,(((Lists!L$24-$AA14)-MOD((Lists!L$24-$AA14),$Z14))-$Z14))&lt;=Lists!L$21)*(EDATE($G14,(((Lists!L$24-$AA14)-MOD((Lists!L$24-$AA14),$Z14))-$Z14))&lt;=$AB14)))))</f>
        <v>0</v>
      </c>
      <c r="T14" s="53" t="n">
        <f aca="false">IF(OR(N($E14)=0,$G14=""),0,$I14*IF($F14="Weekly",((Lists!M$21-MOD(Lists!M$21-$G14,7))&gt;=$G14)*((Lists!M$21-MOD(Lists!M$21-$G14,7))&lt;=$AB14),IF($F14="One-off",($G14&gt;Lists!M$23)*($G14&lt;=Lists!M$21),IF($F14="",0,(((Lists!M$24-$AA14)-MOD((Lists!M$24-$AA14),$Z14))&gt;=0)*(EDATE($G14,((Lists!M$24-$AA14)-MOD((Lists!M$24-$AA14),$Z14)))&gt;Lists!M$23)*(EDATE($G14,((Lists!M$24-$AA14)-MOD((Lists!M$24-$AA14),$Z14)))&lt;=Lists!M$21)*(EDATE($G14,((Lists!M$24-$AA14)-MOD((Lists!M$24-$AA14),$Z14)))&lt;=$AB14)+((((Lists!M$24-$AA14)-MOD((Lists!M$24-$AA14),$Z14))-$Z14)&gt;=0)*(EDATE($G14,(((Lists!M$24-$AA14)-MOD((Lists!M$24-$AA14),$Z14))-$Z14))&gt;Lists!M$23)*(EDATE($G14,(((Lists!M$24-$AA14)-MOD((Lists!M$24-$AA14),$Z14))-$Z14))&lt;=Lists!M$21)*(EDATE($G14,(((Lists!M$24-$AA14)-MOD((Lists!M$24-$AA14),$Z14))-$Z14))&lt;=$AB14)))))</f>
        <v>720</v>
      </c>
      <c r="U14" s="53" t="n">
        <f aca="false">IF(OR(N($E14)=0,$G14=""),0,$I14*IF($F14="Weekly",((Lists!N$21-MOD(Lists!N$21-$G14,7))&gt;=$G14)*((Lists!N$21-MOD(Lists!N$21-$G14,7))&lt;=$AB14),IF($F14="One-off",($G14&gt;Lists!N$23)*($G14&lt;=Lists!N$21),IF($F14="",0,(((Lists!N$24-$AA14)-MOD((Lists!N$24-$AA14),$Z14))&gt;=0)*(EDATE($G14,((Lists!N$24-$AA14)-MOD((Lists!N$24-$AA14),$Z14)))&gt;Lists!N$23)*(EDATE($G14,((Lists!N$24-$AA14)-MOD((Lists!N$24-$AA14),$Z14)))&lt;=Lists!N$21)*(EDATE($G14,((Lists!N$24-$AA14)-MOD((Lists!N$24-$AA14),$Z14)))&lt;=$AB14)+((((Lists!N$24-$AA14)-MOD((Lists!N$24-$AA14),$Z14))-$Z14)&gt;=0)*(EDATE($G14,(((Lists!N$24-$AA14)-MOD((Lists!N$24-$AA14),$Z14))-$Z14))&gt;Lists!N$23)*(EDATE($G14,(((Lists!N$24-$AA14)-MOD((Lists!N$24-$AA14),$Z14))-$Z14))&lt;=Lists!N$21)*(EDATE($G14,(((Lists!N$24-$AA14)-MOD((Lists!N$24-$AA14),$Z14))-$Z14))&lt;=$AB14)))))</f>
        <v>0</v>
      </c>
      <c r="V14" s="53" t="n">
        <f aca="false">IF(OR(N($E14)=0,$G14=""),0,$I14*IF($F14="Weekly",((Lists!O$21-MOD(Lists!O$21-$G14,7))&gt;=$G14)*((Lists!O$21-MOD(Lists!O$21-$G14,7))&lt;=$AB14),IF($F14="One-off",($G14&gt;Lists!O$23)*($G14&lt;=Lists!O$21),IF($F14="",0,(((Lists!O$24-$AA14)-MOD((Lists!O$24-$AA14),$Z14))&gt;=0)*(EDATE($G14,((Lists!O$24-$AA14)-MOD((Lists!O$24-$AA14),$Z14)))&gt;Lists!O$23)*(EDATE($G14,((Lists!O$24-$AA14)-MOD((Lists!O$24-$AA14),$Z14)))&lt;=Lists!O$21)*(EDATE($G14,((Lists!O$24-$AA14)-MOD((Lists!O$24-$AA14),$Z14)))&lt;=$AB14)+((((Lists!O$24-$AA14)-MOD((Lists!O$24-$AA14),$Z14))-$Z14)&gt;=0)*(EDATE($G14,(((Lists!O$24-$AA14)-MOD((Lists!O$24-$AA14),$Z14))-$Z14))&gt;Lists!O$23)*(EDATE($G14,(((Lists!O$24-$AA14)-MOD((Lists!O$24-$AA14),$Z14))-$Z14))&lt;=Lists!O$21)*(EDATE($G14,(((Lists!O$24-$AA14)-MOD((Lists!O$24-$AA14),$Z14))-$Z14))&lt;=$AB14)))))</f>
        <v>0</v>
      </c>
      <c r="W14" s="46" t="n">
        <f aca="false">SUM(J14:V14)</f>
        <v>2160</v>
      </c>
      <c r="X14" s="2"/>
      <c r="Y14" s="104" t="n">
        <f aca="false">IF(AND(Setup!$D$16="Yes",D14&lt;&gt;"No"),1+Setup!$D$17,1)</f>
        <v>1.2</v>
      </c>
      <c r="Z14" s="94" t="n">
        <f aca="false">IF(F14="Quarterly",3,IF(F14="Annually",12,1))</f>
        <v>1</v>
      </c>
      <c r="AA14" s="94" t="n">
        <f aca="false">IF(G14="",0,YEAR(G14)*12+MONTH(G14))</f>
        <v>24323</v>
      </c>
      <c r="AB14" s="93" t="n">
        <f aca="false">IF(H14="",2958465,H14)</f>
        <v>2958465</v>
      </c>
      <c r="AC14" s="95" t="str">
        <f aca="false">IF(C14="","Other overheads",C14)</f>
        <v>Telephone &amp; internet</v>
      </c>
    </row>
    <row r="15" customFormat="false" ht="15" hidden="false" customHeight="false" outlineLevel="0" collapsed="false">
      <c r="A15" s="87" t="n">
        <v>7</v>
      </c>
      <c r="B15" s="55" t="s">
        <v>506</v>
      </c>
      <c r="C15" s="55" t="s">
        <v>507</v>
      </c>
      <c r="D15" s="58" t="s">
        <v>186</v>
      </c>
      <c r="E15" s="88" t="n">
        <v>1500</v>
      </c>
      <c r="F15" s="58" t="s">
        <v>498</v>
      </c>
      <c r="G15" s="90" t="n">
        <v>46356</v>
      </c>
      <c r="H15" s="90"/>
      <c r="I15" s="92" t="n">
        <f aca="false">N(E15)*Y15</f>
        <v>1800</v>
      </c>
      <c r="J15" s="53" t="n">
        <f aca="false">IF(OR(N($E15)=0,$G15=""),0,$I15*IF($F15="Weekly",((Lists!C$21-MOD(Lists!C$21-$G15,7))&gt;=$G15)*((Lists!C$21-MOD(Lists!C$21-$G15,7))&lt;=$AB15),IF($F15="One-off",($G15&gt;Lists!C$23)*($G15&lt;=Lists!C$21),IF($F15="",0,(((Lists!C$24-$AA15)-MOD((Lists!C$24-$AA15),$Z15))&gt;=0)*(EDATE($G15,((Lists!C$24-$AA15)-MOD((Lists!C$24-$AA15),$Z15)))&gt;Lists!C$23)*(EDATE($G15,((Lists!C$24-$AA15)-MOD((Lists!C$24-$AA15),$Z15)))&lt;=Lists!C$21)*(EDATE($G15,((Lists!C$24-$AA15)-MOD((Lists!C$24-$AA15),$Z15)))&lt;=$AB15)+((((Lists!C$24-$AA15)-MOD((Lists!C$24-$AA15),$Z15))-$Z15)&gt;=0)*(EDATE($G15,(((Lists!C$24-$AA15)-MOD((Lists!C$24-$AA15),$Z15))-$Z15))&gt;Lists!C$23)*(EDATE($G15,(((Lists!C$24-$AA15)-MOD((Lists!C$24-$AA15),$Z15))-$Z15))&lt;=Lists!C$21)*(EDATE($G15,(((Lists!C$24-$AA15)-MOD((Lists!C$24-$AA15),$Z15))-$Z15))&lt;=$AB15)))))</f>
        <v>0</v>
      </c>
      <c r="K15" s="53" t="n">
        <f aca="false">IF(OR(N($E15)=0,$G15=""),0,$I15*IF($F15="Weekly",((Lists!D$21-MOD(Lists!D$21-$G15,7))&gt;=$G15)*((Lists!D$21-MOD(Lists!D$21-$G15,7))&lt;=$AB15),IF($F15="One-off",($G15&gt;Lists!D$23)*($G15&lt;=Lists!D$21),IF($F15="",0,(((Lists!D$24-$AA15)-MOD((Lists!D$24-$AA15),$Z15))&gt;=0)*(EDATE($G15,((Lists!D$24-$AA15)-MOD((Lists!D$24-$AA15),$Z15)))&gt;Lists!D$23)*(EDATE($G15,((Lists!D$24-$AA15)-MOD((Lists!D$24-$AA15),$Z15)))&lt;=Lists!D$21)*(EDATE($G15,((Lists!D$24-$AA15)-MOD((Lists!D$24-$AA15),$Z15)))&lt;=$AB15)+((((Lists!D$24-$AA15)-MOD((Lists!D$24-$AA15),$Z15))-$Z15)&gt;=0)*(EDATE($G15,(((Lists!D$24-$AA15)-MOD((Lists!D$24-$AA15),$Z15))-$Z15))&gt;Lists!D$23)*(EDATE($G15,(((Lists!D$24-$AA15)-MOD((Lists!D$24-$AA15),$Z15))-$Z15))&lt;=Lists!D$21)*(EDATE($G15,(((Lists!D$24-$AA15)-MOD((Lists!D$24-$AA15),$Z15))-$Z15))&lt;=$AB15)))))</f>
        <v>0</v>
      </c>
      <c r="L15" s="53" t="n">
        <f aca="false">IF(OR(N($E15)=0,$G15=""),0,$I15*IF($F15="Weekly",((Lists!E$21-MOD(Lists!E$21-$G15,7))&gt;=$G15)*((Lists!E$21-MOD(Lists!E$21-$G15,7))&lt;=$AB15),IF($F15="One-off",($G15&gt;Lists!E$23)*($G15&lt;=Lists!E$21),IF($F15="",0,(((Lists!E$24-$AA15)-MOD((Lists!E$24-$AA15),$Z15))&gt;=0)*(EDATE($G15,((Lists!E$24-$AA15)-MOD((Lists!E$24-$AA15),$Z15)))&gt;Lists!E$23)*(EDATE($G15,((Lists!E$24-$AA15)-MOD((Lists!E$24-$AA15),$Z15)))&lt;=Lists!E$21)*(EDATE($G15,((Lists!E$24-$AA15)-MOD((Lists!E$24-$AA15),$Z15)))&lt;=$AB15)+((((Lists!E$24-$AA15)-MOD((Lists!E$24-$AA15),$Z15))-$Z15)&gt;=0)*(EDATE($G15,(((Lists!E$24-$AA15)-MOD((Lists!E$24-$AA15),$Z15))-$Z15))&gt;Lists!E$23)*(EDATE($G15,(((Lists!E$24-$AA15)-MOD((Lists!E$24-$AA15),$Z15))-$Z15))&lt;=Lists!E$21)*(EDATE($G15,(((Lists!E$24-$AA15)-MOD((Lists!E$24-$AA15),$Z15))-$Z15))&lt;=$AB15)))))</f>
        <v>0</v>
      </c>
      <c r="M15" s="53" t="n">
        <f aca="false">IF(OR(N($E15)=0,$G15=""),0,$I15*IF($F15="Weekly",((Lists!F$21-MOD(Lists!F$21-$G15,7))&gt;=$G15)*((Lists!F$21-MOD(Lists!F$21-$G15,7))&lt;=$AB15),IF($F15="One-off",($G15&gt;Lists!F$23)*($G15&lt;=Lists!F$21),IF($F15="",0,(((Lists!F$24-$AA15)-MOD((Lists!F$24-$AA15),$Z15))&gt;=0)*(EDATE($G15,((Lists!F$24-$AA15)-MOD((Lists!F$24-$AA15),$Z15)))&gt;Lists!F$23)*(EDATE($G15,((Lists!F$24-$AA15)-MOD((Lists!F$24-$AA15),$Z15)))&lt;=Lists!F$21)*(EDATE($G15,((Lists!F$24-$AA15)-MOD((Lists!F$24-$AA15),$Z15)))&lt;=$AB15)+((((Lists!F$24-$AA15)-MOD((Lists!F$24-$AA15),$Z15))-$Z15)&gt;=0)*(EDATE($G15,(((Lists!F$24-$AA15)-MOD((Lists!F$24-$AA15),$Z15))-$Z15))&gt;Lists!F$23)*(EDATE($G15,(((Lists!F$24-$AA15)-MOD((Lists!F$24-$AA15),$Z15))-$Z15))&lt;=Lists!F$21)*(EDATE($G15,(((Lists!F$24-$AA15)-MOD((Lists!F$24-$AA15),$Z15))-$Z15))&lt;=$AB15)))))</f>
        <v>1800</v>
      </c>
      <c r="N15" s="53" t="n">
        <f aca="false">IF(OR(N($E15)=0,$G15=""),0,$I15*IF($F15="Weekly",((Lists!G$21-MOD(Lists!G$21-$G15,7))&gt;=$G15)*((Lists!G$21-MOD(Lists!G$21-$G15,7))&lt;=$AB15),IF($F15="One-off",($G15&gt;Lists!G$23)*($G15&lt;=Lists!G$21),IF($F15="",0,(((Lists!G$24-$AA15)-MOD((Lists!G$24-$AA15),$Z15))&gt;=0)*(EDATE($G15,((Lists!G$24-$AA15)-MOD((Lists!G$24-$AA15),$Z15)))&gt;Lists!G$23)*(EDATE($G15,((Lists!G$24-$AA15)-MOD((Lists!G$24-$AA15),$Z15)))&lt;=Lists!G$21)*(EDATE($G15,((Lists!G$24-$AA15)-MOD((Lists!G$24-$AA15),$Z15)))&lt;=$AB15)+((((Lists!G$24-$AA15)-MOD((Lists!G$24-$AA15),$Z15))-$Z15)&gt;=0)*(EDATE($G15,(((Lists!G$24-$AA15)-MOD((Lists!G$24-$AA15),$Z15))-$Z15))&gt;Lists!G$23)*(EDATE($G15,(((Lists!G$24-$AA15)-MOD((Lists!G$24-$AA15),$Z15))-$Z15))&lt;=Lists!G$21)*(EDATE($G15,(((Lists!G$24-$AA15)-MOD((Lists!G$24-$AA15),$Z15))-$Z15))&lt;=$AB15)))))</f>
        <v>0</v>
      </c>
      <c r="O15" s="53" t="n">
        <f aca="false">IF(OR(N($E15)=0,$G15=""),0,$I15*IF($F15="Weekly",((Lists!H$21-MOD(Lists!H$21-$G15,7))&gt;=$G15)*((Lists!H$21-MOD(Lists!H$21-$G15,7))&lt;=$AB15),IF($F15="One-off",($G15&gt;Lists!H$23)*($G15&lt;=Lists!H$21),IF($F15="",0,(((Lists!H$24-$AA15)-MOD((Lists!H$24-$AA15),$Z15))&gt;=0)*(EDATE($G15,((Lists!H$24-$AA15)-MOD((Lists!H$24-$AA15),$Z15)))&gt;Lists!H$23)*(EDATE($G15,((Lists!H$24-$AA15)-MOD((Lists!H$24-$AA15),$Z15)))&lt;=Lists!H$21)*(EDATE($G15,((Lists!H$24-$AA15)-MOD((Lists!H$24-$AA15),$Z15)))&lt;=$AB15)+((((Lists!H$24-$AA15)-MOD((Lists!H$24-$AA15),$Z15))-$Z15)&gt;=0)*(EDATE($G15,(((Lists!H$24-$AA15)-MOD((Lists!H$24-$AA15),$Z15))-$Z15))&gt;Lists!H$23)*(EDATE($G15,(((Lists!H$24-$AA15)-MOD((Lists!H$24-$AA15),$Z15))-$Z15))&lt;=Lists!H$21)*(EDATE($G15,(((Lists!H$24-$AA15)-MOD((Lists!H$24-$AA15),$Z15))-$Z15))&lt;=$AB15)))))</f>
        <v>0</v>
      </c>
      <c r="P15" s="53" t="n">
        <f aca="false">IF(OR(N($E15)=0,$G15=""),0,$I15*IF($F15="Weekly",((Lists!I$21-MOD(Lists!I$21-$G15,7))&gt;=$G15)*((Lists!I$21-MOD(Lists!I$21-$G15,7))&lt;=$AB15),IF($F15="One-off",($G15&gt;Lists!I$23)*($G15&lt;=Lists!I$21),IF($F15="",0,(((Lists!I$24-$AA15)-MOD((Lists!I$24-$AA15),$Z15))&gt;=0)*(EDATE($G15,((Lists!I$24-$AA15)-MOD((Lists!I$24-$AA15),$Z15)))&gt;Lists!I$23)*(EDATE($G15,((Lists!I$24-$AA15)-MOD((Lists!I$24-$AA15),$Z15)))&lt;=Lists!I$21)*(EDATE($G15,((Lists!I$24-$AA15)-MOD((Lists!I$24-$AA15),$Z15)))&lt;=$AB15)+((((Lists!I$24-$AA15)-MOD((Lists!I$24-$AA15),$Z15))-$Z15)&gt;=0)*(EDATE($G15,(((Lists!I$24-$AA15)-MOD((Lists!I$24-$AA15),$Z15))-$Z15))&gt;Lists!I$23)*(EDATE($G15,(((Lists!I$24-$AA15)-MOD((Lists!I$24-$AA15),$Z15))-$Z15))&lt;=Lists!I$21)*(EDATE($G15,(((Lists!I$24-$AA15)-MOD((Lists!I$24-$AA15),$Z15))-$Z15))&lt;=$AB15)))))</f>
        <v>0</v>
      </c>
      <c r="Q15" s="53" t="n">
        <f aca="false">IF(OR(N($E15)=0,$G15=""),0,$I15*IF($F15="Weekly",((Lists!J$21-MOD(Lists!J$21-$G15,7))&gt;=$G15)*((Lists!J$21-MOD(Lists!J$21-$G15,7))&lt;=$AB15),IF($F15="One-off",($G15&gt;Lists!J$23)*($G15&lt;=Lists!J$21),IF($F15="",0,(((Lists!J$24-$AA15)-MOD((Lists!J$24-$AA15),$Z15))&gt;=0)*(EDATE($G15,((Lists!J$24-$AA15)-MOD((Lists!J$24-$AA15),$Z15)))&gt;Lists!J$23)*(EDATE($G15,((Lists!J$24-$AA15)-MOD((Lists!J$24-$AA15),$Z15)))&lt;=Lists!J$21)*(EDATE($G15,((Lists!J$24-$AA15)-MOD((Lists!J$24-$AA15),$Z15)))&lt;=$AB15)+((((Lists!J$24-$AA15)-MOD((Lists!J$24-$AA15),$Z15))-$Z15)&gt;=0)*(EDATE($G15,(((Lists!J$24-$AA15)-MOD((Lists!J$24-$AA15),$Z15))-$Z15))&gt;Lists!J$23)*(EDATE($G15,(((Lists!J$24-$AA15)-MOD((Lists!J$24-$AA15),$Z15))-$Z15))&lt;=Lists!J$21)*(EDATE($G15,(((Lists!J$24-$AA15)-MOD((Lists!J$24-$AA15),$Z15))-$Z15))&lt;=$AB15)))))</f>
        <v>1800</v>
      </c>
      <c r="R15" s="53" t="n">
        <f aca="false">IF(OR(N($E15)=0,$G15=""),0,$I15*IF($F15="Weekly",((Lists!K$21-MOD(Lists!K$21-$G15,7))&gt;=$G15)*((Lists!K$21-MOD(Lists!K$21-$G15,7))&lt;=$AB15),IF($F15="One-off",($G15&gt;Lists!K$23)*($G15&lt;=Lists!K$21),IF($F15="",0,(((Lists!K$24-$AA15)-MOD((Lists!K$24-$AA15),$Z15))&gt;=0)*(EDATE($G15,((Lists!K$24-$AA15)-MOD((Lists!K$24-$AA15),$Z15)))&gt;Lists!K$23)*(EDATE($G15,((Lists!K$24-$AA15)-MOD((Lists!K$24-$AA15),$Z15)))&lt;=Lists!K$21)*(EDATE($G15,((Lists!K$24-$AA15)-MOD((Lists!K$24-$AA15),$Z15)))&lt;=$AB15)+((((Lists!K$24-$AA15)-MOD((Lists!K$24-$AA15),$Z15))-$Z15)&gt;=0)*(EDATE($G15,(((Lists!K$24-$AA15)-MOD((Lists!K$24-$AA15),$Z15))-$Z15))&gt;Lists!K$23)*(EDATE($G15,(((Lists!K$24-$AA15)-MOD((Lists!K$24-$AA15),$Z15))-$Z15))&lt;=Lists!K$21)*(EDATE($G15,(((Lists!K$24-$AA15)-MOD((Lists!K$24-$AA15),$Z15))-$Z15))&lt;=$AB15)))))</f>
        <v>0</v>
      </c>
      <c r="S15" s="53" t="n">
        <f aca="false">IF(OR(N($E15)=0,$G15=""),0,$I15*IF($F15="Weekly",((Lists!L$21-MOD(Lists!L$21-$G15,7))&gt;=$G15)*((Lists!L$21-MOD(Lists!L$21-$G15,7))&lt;=$AB15),IF($F15="One-off",($G15&gt;Lists!L$23)*($G15&lt;=Lists!L$21),IF($F15="",0,(((Lists!L$24-$AA15)-MOD((Lists!L$24-$AA15),$Z15))&gt;=0)*(EDATE($G15,((Lists!L$24-$AA15)-MOD((Lists!L$24-$AA15),$Z15)))&gt;Lists!L$23)*(EDATE($G15,((Lists!L$24-$AA15)-MOD((Lists!L$24-$AA15),$Z15)))&lt;=Lists!L$21)*(EDATE($G15,((Lists!L$24-$AA15)-MOD((Lists!L$24-$AA15),$Z15)))&lt;=$AB15)+((((Lists!L$24-$AA15)-MOD((Lists!L$24-$AA15),$Z15))-$Z15)&gt;=0)*(EDATE($G15,(((Lists!L$24-$AA15)-MOD((Lists!L$24-$AA15),$Z15))-$Z15))&gt;Lists!L$23)*(EDATE($G15,(((Lists!L$24-$AA15)-MOD((Lists!L$24-$AA15),$Z15))-$Z15))&lt;=Lists!L$21)*(EDATE($G15,(((Lists!L$24-$AA15)-MOD((Lists!L$24-$AA15),$Z15))-$Z15))&lt;=$AB15)))))</f>
        <v>0</v>
      </c>
      <c r="T15" s="53" t="n">
        <f aca="false">IF(OR(N($E15)=0,$G15=""),0,$I15*IF($F15="Weekly",((Lists!M$21-MOD(Lists!M$21-$G15,7))&gt;=$G15)*((Lists!M$21-MOD(Lists!M$21-$G15,7))&lt;=$AB15),IF($F15="One-off",($G15&gt;Lists!M$23)*($G15&lt;=Lists!M$21),IF($F15="",0,(((Lists!M$24-$AA15)-MOD((Lists!M$24-$AA15),$Z15))&gt;=0)*(EDATE($G15,((Lists!M$24-$AA15)-MOD((Lists!M$24-$AA15),$Z15)))&gt;Lists!M$23)*(EDATE($G15,((Lists!M$24-$AA15)-MOD((Lists!M$24-$AA15),$Z15)))&lt;=Lists!M$21)*(EDATE($G15,((Lists!M$24-$AA15)-MOD((Lists!M$24-$AA15),$Z15)))&lt;=$AB15)+((((Lists!M$24-$AA15)-MOD((Lists!M$24-$AA15),$Z15))-$Z15)&gt;=0)*(EDATE($G15,(((Lists!M$24-$AA15)-MOD((Lists!M$24-$AA15),$Z15))-$Z15))&gt;Lists!M$23)*(EDATE($G15,(((Lists!M$24-$AA15)-MOD((Lists!M$24-$AA15),$Z15))-$Z15))&lt;=Lists!M$21)*(EDATE($G15,(((Lists!M$24-$AA15)-MOD((Lists!M$24-$AA15),$Z15))-$Z15))&lt;=$AB15)))))</f>
        <v>0</v>
      </c>
      <c r="U15" s="53" t="n">
        <f aca="false">IF(OR(N($E15)=0,$G15=""),0,$I15*IF($F15="Weekly",((Lists!N$21-MOD(Lists!N$21-$G15,7))&gt;=$G15)*((Lists!N$21-MOD(Lists!N$21-$G15,7))&lt;=$AB15),IF($F15="One-off",($G15&gt;Lists!N$23)*($G15&lt;=Lists!N$21),IF($F15="",0,(((Lists!N$24-$AA15)-MOD((Lists!N$24-$AA15),$Z15))&gt;=0)*(EDATE($G15,((Lists!N$24-$AA15)-MOD((Lists!N$24-$AA15),$Z15)))&gt;Lists!N$23)*(EDATE($G15,((Lists!N$24-$AA15)-MOD((Lists!N$24-$AA15),$Z15)))&lt;=Lists!N$21)*(EDATE($G15,((Lists!N$24-$AA15)-MOD((Lists!N$24-$AA15),$Z15)))&lt;=$AB15)+((((Lists!N$24-$AA15)-MOD((Lists!N$24-$AA15),$Z15))-$Z15)&gt;=0)*(EDATE($G15,(((Lists!N$24-$AA15)-MOD((Lists!N$24-$AA15),$Z15))-$Z15))&gt;Lists!N$23)*(EDATE($G15,(((Lists!N$24-$AA15)-MOD((Lists!N$24-$AA15),$Z15))-$Z15))&lt;=Lists!N$21)*(EDATE($G15,(((Lists!N$24-$AA15)-MOD((Lists!N$24-$AA15),$Z15))-$Z15))&lt;=$AB15)))))</f>
        <v>0</v>
      </c>
      <c r="V15" s="53" t="n">
        <f aca="false">IF(OR(N($E15)=0,$G15=""),0,$I15*IF($F15="Weekly",((Lists!O$21-MOD(Lists!O$21-$G15,7))&gt;=$G15)*((Lists!O$21-MOD(Lists!O$21-$G15,7))&lt;=$AB15),IF($F15="One-off",($G15&gt;Lists!O$23)*($G15&lt;=Lists!O$21),IF($F15="",0,(((Lists!O$24-$AA15)-MOD((Lists!O$24-$AA15),$Z15))&gt;=0)*(EDATE($G15,((Lists!O$24-$AA15)-MOD((Lists!O$24-$AA15),$Z15)))&gt;Lists!O$23)*(EDATE($G15,((Lists!O$24-$AA15)-MOD((Lists!O$24-$AA15),$Z15)))&lt;=Lists!O$21)*(EDATE($G15,((Lists!O$24-$AA15)-MOD((Lists!O$24-$AA15),$Z15)))&lt;=$AB15)+((((Lists!O$24-$AA15)-MOD((Lists!O$24-$AA15),$Z15))-$Z15)&gt;=0)*(EDATE($G15,(((Lists!O$24-$AA15)-MOD((Lists!O$24-$AA15),$Z15))-$Z15))&gt;Lists!O$23)*(EDATE($G15,(((Lists!O$24-$AA15)-MOD((Lists!O$24-$AA15),$Z15))-$Z15))&lt;=Lists!O$21)*(EDATE($G15,(((Lists!O$24-$AA15)-MOD((Lists!O$24-$AA15),$Z15))-$Z15))&lt;=$AB15)))))</f>
        <v>1800</v>
      </c>
      <c r="W15" s="46" t="n">
        <f aca="false">SUM(J15:V15)</f>
        <v>5400</v>
      </c>
      <c r="X15" s="2"/>
      <c r="Y15" s="104" t="n">
        <f aca="false">IF(AND(Setup!$D$16="Yes",D15&lt;&gt;"No"),1+Setup!$D$17,1)</f>
        <v>1.2</v>
      </c>
      <c r="Z15" s="94" t="n">
        <f aca="false">IF(F15="Quarterly",3,IF(F15="Annually",12,1))</f>
        <v>1</v>
      </c>
      <c r="AA15" s="94" t="n">
        <f aca="false">IF(G15="",0,YEAR(G15)*12+MONTH(G15))</f>
        <v>24323</v>
      </c>
      <c r="AB15" s="93" t="n">
        <f aca="false">IF(H15="",2958465,H15)</f>
        <v>2958465</v>
      </c>
      <c r="AC15" s="95" t="str">
        <f aca="false">IF(C15="","Other overheads",C15)</f>
        <v>Marketing &amp; advertising</v>
      </c>
    </row>
    <row r="16" customFormat="false" ht="15" hidden="false" customHeight="false" outlineLevel="0" collapsed="false">
      <c r="A16" s="87" t="n">
        <v>8</v>
      </c>
      <c r="B16" s="55" t="s">
        <v>508</v>
      </c>
      <c r="C16" s="55" t="s">
        <v>509</v>
      </c>
      <c r="D16" s="58" t="s">
        <v>186</v>
      </c>
      <c r="E16" s="88" t="n">
        <v>2000</v>
      </c>
      <c r="F16" s="58" t="s">
        <v>498</v>
      </c>
      <c r="G16" s="90" t="n">
        <v>46354</v>
      </c>
      <c r="H16" s="90"/>
      <c r="I16" s="92" t="n">
        <f aca="false">N(E16)*Y16</f>
        <v>2400</v>
      </c>
      <c r="J16" s="53" t="n">
        <f aca="false">IF(OR(N($E16)=0,$G16=""),0,$I16*IF($F16="Weekly",((Lists!C$21-MOD(Lists!C$21-$G16,7))&gt;=$G16)*((Lists!C$21-MOD(Lists!C$21-$G16,7))&lt;=$AB16),IF($F16="One-off",($G16&gt;Lists!C$23)*($G16&lt;=Lists!C$21),IF($F16="",0,(((Lists!C$24-$AA16)-MOD((Lists!C$24-$AA16),$Z16))&gt;=0)*(EDATE($G16,((Lists!C$24-$AA16)-MOD((Lists!C$24-$AA16),$Z16)))&gt;Lists!C$23)*(EDATE($G16,((Lists!C$24-$AA16)-MOD((Lists!C$24-$AA16),$Z16)))&lt;=Lists!C$21)*(EDATE($G16,((Lists!C$24-$AA16)-MOD((Lists!C$24-$AA16),$Z16)))&lt;=$AB16)+((((Lists!C$24-$AA16)-MOD((Lists!C$24-$AA16),$Z16))-$Z16)&gt;=0)*(EDATE($G16,(((Lists!C$24-$AA16)-MOD((Lists!C$24-$AA16),$Z16))-$Z16))&gt;Lists!C$23)*(EDATE($G16,(((Lists!C$24-$AA16)-MOD((Lists!C$24-$AA16),$Z16))-$Z16))&lt;=Lists!C$21)*(EDATE($G16,(((Lists!C$24-$AA16)-MOD((Lists!C$24-$AA16),$Z16))-$Z16))&lt;=$AB16)))))</f>
        <v>0</v>
      </c>
      <c r="K16" s="53" t="n">
        <f aca="false">IF(OR(N($E16)=0,$G16=""),0,$I16*IF($F16="Weekly",((Lists!D$21-MOD(Lists!D$21-$G16,7))&gt;=$G16)*((Lists!D$21-MOD(Lists!D$21-$G16,7))&lt;=$AB16),IF($F16="One-off",($G16&gt;Lists!D$23)*($G16&lt;=Lists!D$21),IF($F16="",0,(((Lists!D$24-$AA16)-MOD((Lists!D$24-$AA16),$Z16))&gt;=0)*(EDATE($G16,((Lists!D$24-$AA16)-MOD((Lists!D$24-$AA16),$Z16)))&gt;Lists!D$23)*(EDATE($G16,((Lists!D$24-$AA16)-MOD((Lists!D$24-$AA16),$Z16)))&lt;=Lists!D$21)*(EDATE($G16,((Lists!D$24-$AA16)-MOD((Lists!D$24-$AA16),$Z16)))&lt;=$AB16)+((((Lists!D$24-$AA16)-MOD((Lists!D$24-$AA16),$Z16))-$Z16)&gt;=0)*(EDATE($G16,(((Lists!D$24-$AA16)-MOD((Lists!D$24-$AA16),$Z16))-$Z16))&gt;Lists!D$23)*(EDATE($G16,(((Lists!D$24-$AA16)-MOD((Lists!D$24-$AA16),$Z16))-$Z16))&lt;=Lists!D$21)*(EDATE($G16,(((Lists!D$24-$AA16)-MOD((Lists!D$24-$AA16),$Z16))-$Z16))&lt;=$AB16)))))</f>
        <v>0</v>
      </c>
      <c r="L16" s="53" t="n">
        <f aca="false">IF(OR(N($E16)=0,$G16=""),0,$I16*IF($F16="Weekly",((Lists!E$21-MOD(Lists!E$21-$G16,7))&gt;=$G16)*((Lists!E$21-MOD(Lists!E$21-$G16,7))&lt;=$AB16),IF($F16="One-off",($G16&gt;Lists!E$23)*($G16&lt;=Lists!E$21),IF($F16="",0,(((Lists!E$24-$AA16)-MOD((Lists!E$24-$AA16),$Z16))&gt;=0)*(EDATE($G16,((Lists!E$24-$AA16)-MOD((Lists!E$24-$AA16),$Z16)))&gt;Lists!E$23)*(EDATE($G16,((Lists!E$24-$AA16)-MOD((Lists!E$24-$AA16),$Z16)))&lt;=Lists!E$21)*(EDATE($G16,((Lists!E$24-$AA16)-MOD((Lists!E$24-$AA16),$Z16)))&lt;=$AB16)+((((Lists!E$24-$AA16)-MOD((Lists!E$24-$AA16),$Z16))-$Z16)&gt;=0)*(EDATE($G16,(((Lists!E$24-$AA16)-MOD((Lists!E$24-$AA16),$Z16))-$Z16))&gt;Lists!E$23)*(EDATE($G16,(((Lists!E$24-$AA16)-MOD((Lists!E$24-$AA16),$Z16))-$Z16))&lt;=Lists!E$21)*(EDATE($G16,(((Lists!E$24-$AA16)-MOD((Lists!E$24-$AA16),$Z16))-$Z16))&lt;=$AB16)))))</f>
        <v>0</v>
      </c>
      <c r="M16" s="53" t="n">
        <f aca="false">IF(OR(N($E16)=0,$G16=""),0,$I16*IF($F16="Weekly",((Lists!F$21-MOD(Lists!F$21-$G16,7))&gt;=$G16)*((Lists!F$21-MOD(Lists!F$21-$G16,7))&lt;=$AB16),IF($F16="One-off",($G16&gt;Lists!F$23)*($G16&lt;=Lists!F$21),IF($F16="",0,(((Lists!F$24-$AA16)-MOD((Lists!F$24-$AA16),$Z16))&gt;=0)*(EDATE($G16,((Lists!F$24-$AA16)-MOD((Lists!F$24-$AA16),$Z16)))&gt;Lists!F$23)*(EDATE($G16,((Lists!F$24-$AA16)-MOD((Lists!F$24-$AA16),$Z16)))&lt;=Lists!F$21)*(EDATE($G16,((Lists!F$24-$AA16)-MOD((Lists!F$24-$AA16),$Z16)))&lt;=$AB16)+((((Lists!F$24-$AA16)-MOD((Lists!F$24-$AA16),$Z16))-$Z16)&gt;=0)*(EDATE($G16,(((Lists!F$24-$AA16)-MOD((Lists!F$24-$AA16),$Z16))-$Z16))&gt;Lists!F$23)*(EDATE($G16,(((Lists!F$24-$AA16)-MOD((Lists!F$24-$AA16),$Z16))-$Z16))&lt;=Lists!F$21)*(EDATE($G16,(((Lists!F$24-$AA16)-MOD((Lists!F$24-$AA16),$Z16))-$Z16))&lt;=$AB16)))))</f>
        <v>2400</v>
      </c>
      <c r="N16" s="53" t="n">
        <f aca="false">IF(OR(N($E16)=0,$G16=""),0,$I16*IF($F16="Weekly",((Lists!G$21-MOD(Lists!G$21-$G16,7))&gt;=$G16)*((Lists!G$21-MOD(Lists!G$21-$G16,7))&lt;=$AB16),IF($F16="One-off",($G16&gt;Lists!G$23)*($G16&lt;=Lists!G$21),IF($F16="",0,(((Lists!G$24-$AA16)-MOD((Lists!G$24-$AA16),$Z16))&gt;=0)*(EDATE($G16,((Lists!G$24-$AA16)-MOD((Lists!G$24-$AA16),$Z16)))&gt;Lists!G$23)*(EDATE($G16,((Lists!G$24-$AA16)-MOD((Lists!G$24-$AA16),$Z16)))&lt;=Lists!G$21)*(EDATE($G16,((Lists!G$24-$AA16)-MOD((Lists!G$24-$AA16),$Z16)))&lt;=$AB16)+((((Lists!G$24-$AA16)-MOD((Lists!G$24-$AA16),$Z16))-$Z16)&gt;=0)*(EDATE($G16,(((Lists!G$24-$AA16)-MOD((Lists!G$24-$AA16),$Z16))-$Z16))&gt;Lists!G$23)*(EDATE($G16,(((Lists!G$24-$AA16)-MOD((Lists!G$24-$AA16),$Z16))-$Z16))&lt;=Lists!G$21)*(EDATE($G16,(((Lists!G$24-$AA16)-MOD((Lists!G$24-$AA16),$Z16))-$Z16))&lt;=$AB16)))))</f>
        <v>0</v>
      </c>
      <c r="O16" s="53" t="n">
        <f aca="false">IF(OR(N($E16)=0,$G16=""),0,$I16*IF($F16="Weekly",((Lists!H$21-MOD(Lists!H$21-$G16,7))&gt;=$G16)*((Lists!H$21-MOD(Lists!H$21-$G16,7))&lt;=$AB16),IF($F16="One-off",($G16&gt;Lists!H$23)*($G16&lt;=Lists!H$21),IF($F16="",0,(((Lists!H$24-$AA16)-MOD((Lists!H$24-$AA16),$Z16))&gt;=0)*(EDATE($G16,((Lists!H$24-$AA16)-MOD((Lists!H$24-$AA16),$Z16)))&gt;Lists!H$23)*(EDATE($G16,((Lists!H$24-$AA16)-MOD((Lists!H$24-$AA16),$Z16)))&lt;=Lists!H$21)*(EDATE($G16,((Lists!H$24-$AA16)-MOD((Lists!H$24-$AA16),$Z16)))&lt;=$AB16)+((((Lists!H$24-$AA16)-MOD((Lists!H$24-$AA16),$Z16))-$Z16)&gt;=0)*(EDATE($G16,(((Lists!H$24-$AA16)-MOD((Lists!H$24-$AA16),$Z16))-$Z16))&gt;Lists!H$23)*(EDATE($G16,(((Lists!H$24-$AA16)-MOD((Lists!H$24-$AA16),$Z16))-$Z16))&lt;=Lists!H$21)*(EDATE($G16,(((Lists!H$24-$AA16)-MOD((Lists!H$24-$AA16),$Z16))-$Z16))&lt;=$AB16)))))</f>
        <v>0</v>
      </c>
      <c r="P16" s="53" t="n">
        <f aca="false">IF(OR(N($E16)=0,$G16=""),0,$I16*IF($F16="Weekly",((Lists!I$21-MOD(Lists!I$21-$G16,7))&gt;=$G16)*((Lists!I$21-MOD(Lists!I$21-$G16,7))&lt;=$AB16),IF($F16="One-off",($G16&gt;Lists!I$23)*($G16&lt;=Lists!I$21),IF($F16="",0,(((Lists!I$24-$AA16)-MOD((Lists!I$24-$AA16),$Z16))&gt;=0)*(EDATE($G16,((Lists!I$24-$AA16)-MOD((Lists!I$24-$AA16),$Z16)))&gt;Lists!I$23)*(EDATE($G16,((Lists!I$24-$AA16)-MOD((Lists!I$24-$AA16),$Z16)))&lt;=Lists!I$21)*(EDATE($G16,((Lists!I$24-$AA16)-MOD((Lists!I$24-$AA16),$Z16)))&lt;=$AB16)+((((Lists!I$24-$AA16)-MOD((Lists!I$24-$AA16),$Z16))-$Z16)&gt;=0)*(EDATE($G16,(((Lists!I$24-$AA16)-MOD((Lists!I$24-$AA16),$Z16))-$Z16))&gt;Lists!I$23)*(EDATE($G16,(((Lists!I$24-$AA16)-MOD((Lists!I$24-$AA16),$Z16))-$Z16))&lt;=Lists!I$21)*(EDATE($G16,(((Lists!I$24-$AA16)-MOD((Lists!I$24-$AA16),$Z16))-$Z16))&lt;=$AB16)))))</f>
        <v>0</v>
      </c>
      <c r="Q16" s="53" t="n">
        <f aca="false">IF(OR(N($E16)=0,$G16=""),0,$I16*IF($F16="Weekly",((Lists!J$21-MOD(Lists!J$21-$G16,7))&gt;=$G16)*((Lists!J$21-MOD(Lists!J$21-$G16,7))&lt;=$AB16),IF($F16="One-off",($G16&gt;Lists!J$23)*($G16&lt;=Lists!J$21),IF($F16="",0,(((Lists!J$24-$AA16)-MOD((Lists!J$24-$AA16),$Z16))&gt;=0)*(EDATE($G16,((Lists!J$24-$AA16)-MOD((Lists!J$24-$AA16),$Z16)))&gt;Lists!J$23)*(EDATE($G16,((Lists!J$24-$AA16)-MOD((Lists!J$24-$AA16),$Z16)))&lt;=Lists!J$21)*(EDATE($G16,((Lists!J$24-$AA16)-MOD((Lists!J$24-$AA16),$Z16)))&lt;=$AB16)+((((Lists!J$24-$AA16)-MOD((Lists!J$24-$AA16),$Z16))-$Z16)&gt;=0)*(EDATE($G16,(((Lists!J$24-$AA16)-MOD((Lists!J$24-$AA16),$Z16))-$Z16))&gt;Lists!J$23)*(EDATE($G16,(((Lists!J$24-$AA16)-MOD((Lists!J$24-$AA16),$Z16))-$Z16))&lt;=Lists!J$21)*(EDATE($G16,(((Lists!J$24-$AA16)-MOD((Lists!J$24-$AA16),$Z16))-$Z16))&lt;=$AB16)))))</f>
        <v>2400</v>
      </c>
      <c r="R16" s="53" t="n">
        <f aca="false">IF(OR(N($E16)=0,$G16=""),0,$I16*IF($F16="Weekly",((Lists!K$21-MOD(Lists!K$21-$G16,7))&gt;=$G16)*((Lists!K$21-MOD(Lists!K$21-$G16,7))&lt;=$AB16),IF($F16="One-off",($G16&gt;Lists!K$23)*($G16&lt;=Lists!K$21),IF($F16="",0,(((Lists!K$24-$AA16)-MOD((Lists!K$24-$AA16),$Z16))&gt;=0)*(EDATE($G16,((Lists!K$24-$AA16)-MOD((Lists!K$24-$AA16),$Z16)))&gt;Lists!K$23)*(EDATE($G16,((Lists!K$24-$AA16)-MOD((Lists!K$24-$AA16),$Z16)))&lt;=Lists!K$21)*(EDATE($G16,((Lists!K$24-$AA16)-MOD((Lists!K$24-$AA16),$Z16)))&lt;=$AB16)+((((Lists!K$24-$AA16)-MOD((Lists!K$24-$AA16),$Z16))-$Z16)&gt;=0)*(EDATE($G16,(((Lists!K$24-$AA16)-MOD((Lists!K$24-$AA16),$Z16))-$Z16))&gt;Lists!K$23)*(EDATE($G16,(((Lists!K$24-$AA16)-MOD((Lists!K$24-$AA16),$Z16))-$Z16))&lt;=Lists!K$21)*(EDATE($G16,(((Lists!K$24-$AA16)-MOD((Lists!K$24-$AA16),$Z16))-$Z16))&lt;=$AB16)))))</f>
        <v>0</v>
      </c>
      <c r="S16" s="53" t="n">
        <f aca="false">IF(OR(N($E16)=0,$G16=""),0,$I16*IF($F16="Weekly",((Lists!L$21-MOD(Lists!L$21-$G16,7))&gt;=$G16)*((Lists!L$21-MOD(Lists!L$21-$G16,7))&lt;=$AB16),IF($F16="One-off",($G16&gt;Lists!L$23)*($G16&lt;=Lists!L$21),IF($F16="",0,(((Lists!L$24-$AA16)-MOD((Lists!L$24-$AA16),$Z16))&gt;=0)*(EDATE($G16,((Lists!L$24-$AA16)-MOD((Lists!L$24-$AA16),$Z16)))&gt;Lists!L$23)*(EDATE($G16,((Lists!L$24-$AA16)-MOD((Lists!L$24-$AA16),$Z16)))&lt;=Lists!L$21)*(EDATE($G16,((Lists!L$24-$AA16)-MOD((Lists!L$24-$AA16),$Z16)))&lt;=$AB16)+((((Lists!L$24-$AA16)-MOD((Lists!L$24-$AA16),$Z16))-$Z16)&gt;=0)*(EDATE($G16,(((Lists!L$24-$AA16)-MOD((Lists!L$24-$AA16),$Z16))-$Z16))&gt;Lists!L$23)*(EDATE($G16,(((Lists!L$24-$AA16)-MOD((Lists!L$24-$AA16),$Z16))-$Z16))&lt;=Lists!L$21)*(EDATE($G16,(((Lists!L$24-$AA16)-MOD((Lists!L$24-$AA16),$Z16))-$Z16))&lt;=$AB16)))))</f>
        <v>0</v>
      </c>
      <c r="T16" s="53" t="n">
        <f aca="false">IF(OR(N($E16)=0,$G16=""),0,$I16*IF($F16="Weekly",((Lists!M$21-MOD(Lists!M$21-$G16,7))&gt;=$G16)*((Lists!M$21-MOD(Lists!M$21-$G16,7))&lt;=$AB16),IF($F16="One-off",($G16&gt;Lists!M$23)*($G16&lt;=Lists!M$21),IF($F16="",0,(((Lists!M$24-$AA16)-MOD((Lists!M$24-$AA16),$Z16))&gt;=0)*(EDATE($G16,((Lists!M$24-$AA16)-MOD((Lists!M$24-$AA16),$Z16)))&gt;Lists!M$23)*(EDATE($G16,((Lists!M$24-$AA16)-MOD((Lists!M$24-$AA16),$Z16)))&lt;=Lists!M$21)*(EDATE($G16,((Lists!M$24-$AA16)-MOD((Lists!M$24-$AA16),$Z16)))&lt;=$AB16)+((((Lists!M$24-$AA16)-MOD((Lists!M$24-$AA16),$Z16))-$Z16)&gt;=0)*(EDATE($G16,(((Lists!M$24-$AA16)-MOD((Lists!M$24-$AA16),$Z16))-$Z16))&gt;Lists!M$23)*(EDATE($G16,(((Lists!M$24-$AA16)-MOD((Lists!M$24-$AA16),$Z16))-$Z16))&lt;=Lists!M$21)*(EDATE($G16,(((Lists!M$24-$AA16)-MOD((Lists!M$24-$AA16),$Z16))-$Z16))&lt;=$AB16)))))</f>
        <v>0</v>
      </c>
      <c r="U16" s="53" t="n">
        <f aca="false">IF(OR(N($E16)=0,$G16=""),0,$I16*IF($F16="Weekly",((Lists!N$21-MOD(Lists!N$21-$G16,7))&gt;=$G16)*((Lists!N$21-MOD(Lists!N$21-$G16,7))&lt;=$AB16),IF($F16="One-off",($G16&gt;Lists!N$23)*($G16&lt;=Lists!N$21),IF($F16="",0,(((Lists!N$24-$AA16)-MOD((Lists!N$24-$AA16),$Z16))&gt;=0)*(EDATE($G16,((Lists!N$24-$AA16)-MOD((Lists!N$24-$AA16),$Z16)))&gt;Lists!N$23)*(EDATE($G16,((Lists!N$24-$AA16)-MOD((Lists!N$24-$AA16),$Z16)))&lt;=Lists!N$21)*(EDATE($G16,((Lists!N$24-$AA16)-MOD((Lists!N$24-$AA16),$Z16)))&lt;=$AB16)+((((Lists!N$24-$AA16)-MOD((Lists!N$24-$AA16),$Z16))-$Z16)&gt;=0)*(EDATE($G16,(((Lists!N$24-$AA16)-MOD((Lists!N$24-$AA16),$Z16))-$Z16))&gt;Lists!N$23)*(EDATE($G16,(((Lists!N$24-$AA16)-MOD((Lists!N$24-$AA16),$Z16))-$Z16))&lt;=Lists!N$21)*(EDATE($G16,(((Lists!N$24-$AA16)-MOD((Lists!N$24-$AA16),$Z16))-$Z16))&lt;=$AB16)))))</f>
        <v>2400</v>
      </c>
      <c r="V16" s="53" t="n">
        <f aca="false">IF(OR(N($E16)=0,$G16=""),0,$I16*IF($F16="Weekly",((Lists!O$21-MOD(Lists!O$21-$G16,7))&gt;=$G16)*((Lists!O$21-MOD(Lists!O$21-$G16,7))&lt;=$AB16),IF($F16="One-off",($G16&gt;Lists!O$23)*($G16&lt;=Lists!O$21),IF($F16="",0,(((Lists!O$24-$AA16)-MOD((Lists!O$24-$AA16),$Z16))&gt;=0)*(EDATE($G16,((Lists!O$24-$AA16)-MOD((Lists!O$24-$AA16),$Z16)))&gt;Lists!O$23)*(EDATE($G16,((Lists!O$24-$AA16)-MOD((Lists!O$24-$AA16),$Z16)))&lt;=Lists!O$21)*(EDATE($G16,((Lists!O$24-$AA16)-MOD((Lists!O$24-$AA16),$Z16)))&lt;=$AB16)+((((Lists!O$24-$AA16)-MOD((Lists!O$24-$AA16),$Z16))-$Z16)&gt;=0)*(EDATE($G16,(((Lists!O$24-$AA16)-MOD((Lists!O$24-$AA16),$Z16))-$Z16))&gt;Lists!O$23)*(EDATE($G16,(((Lists!O$24-$AA16)-MOD((Lists!O$24-$AA16),$Z16))-$Z16))&lt;=Lists!O$21)*(EDATE($G16,(((Lists!O$24-$AA16)-MOD((Lists!O$24-$AA16),$Z16))-$Z16))&lt;=$AB16)))))</f>
        <v>0</v>
      </c>
      <c r="W16" s="46" t="n">
        <f aca="false">SUM(J16:V16)</f>
        <v>7200</v>
      </c>
      <c r="X16" s="2"/>
      <c r="Y16" s="104" t="n">
        <f aca="false">IF(AND(Setup!$D$16="Yes",D16&lt;&gt;"No"),1+Setup!$D$17,1)</f>
        <v>1.2</v>
      </c>
      <c r="Z16" s="94" t="n">
        <f aca="false">IF(F16="Quarterly",3,IF(F16="Annually",12,1))</f>
        <v>1</v>
      </c>
      <c r="AA16" s="94" t="n">
        <f aca="false">IF(G16="",0,YEAR(G16)*12+MONTH(G16))</f>
        <v>24323</v>
      </c>
      <c r="AB16" s="93" t="n">
        <f aca="false">IF(H16="",2958465,H16)</f>
        <v>2958465</v>
      </c>
      <c r="AC16" s="95" t="str">
        <f aca="false">IF(C16="","Other overheads",C16)</f>
        <v>Professional fees</v>
      </c>
    </row>
    <row r="17" customFormat="false" ht="15" hidden="false" customHeight="false" outlineLevel="0" collapsed="false">
      <c r="A17" s="87" t="n">
        <v>9</v>
      </c>
      <c r="B17" s="55" t="s">
        <v>510</v>
      </c>
      <c r="C17" s="55" t="s">
        <v>511</v>
      </c>
      <c r="D17" s="58" t="s">
        <v>186</v>
      </c>
      <c r="E17" s="88" t="n">
        <v>1800</v>
      </c>
      <c r="F17" s="58" t="s">
        <v>498</v>
      </c>
      <c r="G17" s="90" t="n">
        <v>46338</v>
      </c>
      <c r="H17" s="90"/>
      <c r="I17" s="92" t="n">
        <f aca="false">N(E17)*Y17</f>
        <v>2160</v>
      </c>
      <c r="J17" s="53" t="n">
        <f aca="false">IF(OR(N($E17)=0,$G17=""),0,$I17*IF($F17="Weekly",((Lists!C$21-MOD(Lists!C$21-$G17,7))&gt;=$G17)*((Lists!C$21-MOD(Lists!C$21-$G17,7))&lt;=$AB17),IF($F17="One-off",($G17&gt;Lists!C$23)*($G17&lt;=Lists!C$21),IF($F17="",0,(((Lists!C$24-$AA17)-MOD((Lists!C$24-$AA17),$Z17))&gt;=0)*(EDATE($G17,((Lists!C$24-$AA17)-MOD((Lists!C$24-$AA17),$Z17)))&gt;Lists!C$23)*(EDATE($G17,((Lists!C$24-$AA17)-MOD((Lists!C$24-$AA17),$Z17)))&lt;=Lists!C$21)*(EDATE($G17,((Lists!C$24-$AA17)-MOD((Lists!C$24-$AA17),$Z17)))&lt;=$AB17)+((((Lists!C$24-$AA17)-MOD((Lists!C$24-$AA17),$Z17))-$Z17)&gt;=0)*(EDATE($G17,(((Lists!C$24-$AA17)-MOD((Lists!C$24-$AA17),$Z17))-$Z17))&gt;Lists!C$23)*(EDATE($G17,(((Lists!C$24-$AA17)-MOD((Lists!C$24-$AA17),$Z17))-$Z17))&lt;=Lists!C$21)*(EDATE($G17,(((Lists!C$24-$AA17)-MOD((Lists!C$24-$AA17),$Z17))-$Z17))&lt;=$AB17)))))</f>
        <v>2160</v>
      </c>
      <c r="K17" s="53" t="n">
        <f aca="false">IF(OR(N($E17)=0,$G17=""),0,$I17*IF($F17="Weekly",((Lists!D$21-MOD(Lists!D$21-$G17,7))&gt;=$G17)*((Lists!D$21-MOD(Lists!D$21-$G17,7))&lt;=$AB17),IF($F17="One-off",($G17&gt;Lists!D$23)*($G17&lt;=Lists!D$21),IF($F17="",0,(((Lists!D$24-$AA17)-MOD((Lists!D$24-$AA17),$Z17))&gt;=0)*(EDATE($G17,((Lists!D$24-$AA17)-MOD((Lists!D$24-$AA17),$Z17)))&gt;Lists!D$23)*(EDATE($G17,((Lists!D$24-$AA17)-MOD((Lists!D$24-$AA17),$Z17)))&lt;=Lists!D$21)*(EDATE($G17,((Lists!D$24-$AA17)-MOD((Lists!D$24-$AA17),$Z17)))&lt;=$AB17)+((((Lists!D$24-$AA17)-MOD((Lists!D$24-$AA17),$Z17))-$Z17)&gt;=0)*(EDATE($G17,(((Lists!D$24-$AA17)-MOD((Lists!D$24-$AA17),$Z17))-$Z17))&gt;Lists!D$23)*(EDATE($G17,(((Lists!D$24-$AA17)-MOD((Lists!D$24-$AA17),$Z17))-$Z17))&lt;=Lists!D$21)*(EDATE($G17,(((Lists!D$24-$AA17)-MOD((Lists!D$24-$AA17),$Z17))-$Z17))&lt;=$AB17)))))</f>
        <v>0</v>
      </c>
      <c r="L17" s="53" t="n">
        <f aca="false">IF(OR(N($E17)=0,$G17=""),0,$I17*IF($F17="Weekly",((Lists!E$21-MOD(Lists!E$21-$G17,7))&gt;=$G17)*((Lists!E$21-MOD(Lists!E$21-$G17,7))&lt;=$AB17),IF($F17="One-off",($G17&gt;Lists!E$23)*($G17&lt;=Lists!E$21),IF($F17="",0,(((Lists!E$24-$AA17)-MOD((Lists!E$24-$AA17),$Z17))&gt;=0)*(EDATE($G17,((Lists!E$24-$AA17)-MOD((Lists!E$24-$AA17),$Z17)))&gt;Lists!E$23)*(EDATE($G17,((Lists!E$24-$AA17)-MOD((Lists!E$24-$AA17),$Z17)))&lt;=Lists!E$21)*(EDATE($G17,((Lists!E$24-$AA17)-MOD((Lists!E$24-$AA17),$Z17)))&lt;=$AB17)+((((Lists!E$24-$AA17)-MOD((Lists!E$24-$AA17),$Z17))-$Z17)&gt;=0)*(EDATE($G17,(((Lists!E$24-$AA17)-MOD((Lists!E$24-$AA17),$Z17))-$Z17))&gt;Lists!E$23)*(EDATE($G17,(((Lists!E$24-$AA17)-MOD((Lists!E$24-$AA17),$Z17))-$Z17))&lt;=Lists!E$21)*(EDATE($G17,(((Lists!E$24-$AA17)-MOD((Lists!E$24-$AA17),$Z17))-$Z17))&lt;=$AB17)))))</f>
        <v>0</v>
      </c>
      <c r="M17" s="53" t="n">
        <f aca="false">IF(OR(N($E17)=0,$G17=""),0,$I17*IF($F17="Weekly",((Lists!F$21-MOD(Lists!F$21-$G17,7))&gt;=$G17)*((Lists!F$21-MOD(Lists!F$21-$G17,7))&lt;=$AB17),IF($F17="One-off",($G17&gt;Lists!F$23)*($G17&lt;=Lists!F$21),IF($F17="",0,(((Lists!F$24-$AA17)-MOD((Lists!F$24-$AA17),$Z17))&gt;=0)*(EDATE($G17,((Lists!F$24-$AA17)-MOD((Lists!F$24-$AA17),$Z17)))&gt;Lists!F$23)*(EDATE($G17,((Lists!F$24-$AA17)-MOD((Lists!F$24-$AA17),$Z17)))&lt;=Lists!F$21)*(EDATE($G17,((Lists!F$24-$AA17)-MOD((Lists!F$24-$AA17),$Z17)))&lt;=$AB17)+((((Lists!F$24-$AA17)-MOD((Lists!F$24-$AA17),$Z17))-$Z17)&gt;=0)*(EDATE($G17,(((Lists!F$24-$AA17)-MOD((Lists!F$24-$AA17),$Z17))-$Z17))&gt;Lists!F$23)*(EDATE($G17,(((Lists!F$24-$AA17)-MOD((Lists!F$24-$AA17),$Z17))-$Z17))&lt;=Lists!F$21)*(EDATE($G17,(((Lists!F$24-$AA17)-MOD((Lists!F$24-$AA17),$Z17))-$Z17))&lt;=$AB17)))))</f>
        <v>0</v>
      </c>
      <c r="N17" s="53" t="n">
        <f aca="false">IF(OR(N($E17)=0,$G17=""),0,$I17*IF($F17="Weekly",((Lists!G$21-MOD(Lists!G$21-$G17,7))&gt;=$G17)*((Lists!G$21-MOD(Lists!G$21-$G17,7))&lt;=$AB17),IF($F17="One-off",($G17&gt;Lists!G$23)*($G17&lt;=Lists!G$21),IF($F17="",0,(((Lists!G$24-$AA17)-MOD((Lists!G$24-$AA17),$Z17))&gt;=0)*(EDATE($G17,((Lists!G$24-$AA17)-MOD((Lists!G$24-$AA17),$Z17)))&gt;Lists!G$23)*(EDATE($G17,((Lists!G$24-$AA17)-MOD((Lists!G$24-$AA17),$Z17)))&lt;=Lists!G$21)*(EDATE($G17,((Lists!G$24-$AA17)-MOD((Lists!G$24-$AA17),$Z17)))&lt;=$AB17)+((((Lists!G$24-$AA17)-MOD((Lists!G$24-$AA17),$Z17))-$Z17)&gt;=0)*(EDATE($G17,(((Lists!G$24-$AA17)-MOD((Lists!G$24-$AA17),$Z17))-$Z17))&gt;Lists!G$23)*(EDATE($G17,(((Lists!G$24-$AA17)-MOD((Lists!G$24-$AA17),$Z17))-$Z17))&lt;=Lists!G$21)*(EDATE($G17,(((Lists!G$24-$AA17)-MOD((Lists!G$24-$AA17),$Z17))-$Z17))&lt;=$AB17)))))</f>
        <v>0</v>
      </c>
      <c r="O17" s="53" t="n">
        <f aca="false">IF(OR(N($E17)=0,$G17=""),0,$I17*IF($F17="Weekly",((Lists!H$21-MOD(Lists!H$21-$G17,7))&gt;=$G17)*((Lists!H$21-MOD(Lists!H$21-$G17,7))&lt;=$AB17),IF($F17="One-off",($G17&gt;Lists!H$23)*($G17&lt;=Lists!H$21),IF($F17="",0,(((Lists!H$24-$AA17)-MOD((Lists!H$24-$AA17),$Z17))&gt;=0)*(EDATE($G17,((Lists!H$24-$AA17)-MOD((Lists!H$24-$AA17),$Z17)))&gt;Lists!H$23)*(EDATE($G17,((Lists!H$24-$AA17)-MOD((Lists!H$24-$AA17),$Z17)))&lt;=Lists!H$21)*(EDATE($G17,((Lists!H$24-$AA17)-MOD((Lists!H$24-$AA17),$Z17)))&lt;=$AB17)+((((Lists!H$24-$AA17)-MOD((Lists!H$24-$AA17),$Z17))-$Z17)&gt;=0)*(EDATE($G17,(((Lists!H$24-$AA17)-MOD((Lists!H$24-$AA17),$Z17))-$Z17))&gt;Lists!H$23)*(EDATE($G17,(((Lists!H$24-$AA17)-MOD((Lists!H$24-$AA17),$Z17))-$Z17))&lt;=Lists!H$21)*(EDATE($G17,(((Lists!H$24-$AA17)-MOD((Lists!H$24-$AA17),$Z17))-$Z17))&lt;=$AB17)))))</f>
        <v>2160</v>
      </c>
      <c r="P17" s="53" t="n">
        <f aca="false">IF(OR(N($E17)=0,$G17=""),0,$I17*IF($F17="Weekly",((Lists!I$21-MOD(Lists!I$21-$G17,7))&gt;=$G17)*((Lists!I$21-MOD(Lists!I$21-$G17,7))&lt;=$AB17),IF($F17="One-off",($G17&gt;Lists!I$23)*($G17&lt;=Lists!I$21),IF($F17="",0,(((Lists!I$24-$AA17)-MOD((Lists!I$24-$AA17),$Z17))&gt;=0)*(EDATE($G17,((Lists!I$24-$AA17)-MOD((Lists!I$24-$AA17),$Z17)))&gt;Lists!I$23)*(EDATE($G17,((Lists!I$24-$AA17)-MOD((Lists!I$24-$AA17),$Z17)))&lt;=Lists!I$21)*(EDATE($G17,((Lists!I$24-$AA17)-MOD((Lists!I$24-$AA17),$Z17)))&lt;=$AB17)+((((Lists!I$24-$AA17)-MOD((Lists!I$24-$AA17),$Z17))-$Z17)&gt;=0)*(EDATE($G17,(((Lists!I$24-$AA17)-MOD((Lists!I$24-$AA17),$Z17))-$Z17))&gt;Lists!I$23)*(EDATE($G17,(((Lists!I$24-$AA17)-MOD((Lists!I$24-$AA17),$Z17))-$Z17))&lt;=Lists!I$21)*(EDATE($G17,(((Lists!I$24-$AA17)-MOD((Lists!I$24-$AA17),$Z17))-$Z17))&lt;=$AB17)))))</f>
        <v>0</v>
      </c>
      <c r="Q17" s="53" t="n">
        <f aca="false">IF(OR(N($E17)=0,$G17=""),0,$I17*IF($F17="Weekly",((Lists!J$21-MOD(Lists!J$21-$G17,7))&gt;=$G17)*((Lists!J$21-MOD(Lists!J$21-$G17,7))&lt;=$AB17),IF($F17="One-off",($G17&gt;Lists!J$23)*($G17&lt;=Lists!J$21),IF($F17="",0,(((Lists!J$24-$AA17)-MOD((Lists!J$24-$AA17),$Z17))&gt;=0)*(EDATE($G17,((Lists!J$24-$AA17)-MOD((Lists!J$24-$AA17),$Z17)))&gt;Lists!J$23)*(EDATE($G17,((Lists!J$24-$AA17)-MOD((Lists!J$24-$AA17),$Z17)))&lt;=Lists!J$21)*(EDATE($G17,((Lists!J$24-$AA17)-MOD((Lists!J$24-$AA17),$Z17)))&lt;=$AB17)+((((Lists!J$24-$AA17)-MOD((Lists!J$24-$AA17),$Z17))-$Z17)&gt;=0)*(EDATE($G17,(((Lists!J$24-$AA17)-MOD((Lists!J$24-$AA17),$Z17))-$Z17))&gt;Lists!J$23)*(EDATE($G17,(((Lists!J$24-$AA17)-MOD((Lists!J$24-$AA17),$Z17))-$Z17))&lt;=Lists!J$21)*(EDATE($G17,(((Lists!J$24-$AA17)-MOD((Lists!J$24-$AA17),$Z17))-$Z17))&lt;=$AB17)))))</f>
        <v>0</v>
      </c>
      <c r="R17" s="53" t="n">
        <f aca="false">IF(OR(N($E17)=0,$G17=""),0,$I17*IF($F17="Weekly",((Lists!K$21-MOD(Lists!K$21-$G17,7))&gt;=$G17)*((Lists!K$21-MOD(Lists!K$21-$G17,7))&lt;=$AB17),IF($F17="One-off",($G17&gt;Lists!K$23)*($G17&lt;=Lists!K$21),IF($F17="",0,(((Lists!K$24-$AA17)-MOD((Lists!K$24-$AA17),$Z17))&gt;=0)*(EDATE($G17,((Lists!K$24-$AA17)-MOD((Lists!K$24-$AA17),$Z17)))&gt;Lists!K$23)*(EDATE($G17,((Lists!K$24-$AA17)-MOD((Lists!K$24-$AA17),$Z17)))&lt;=Lists!K$21)*(EDATE($G17,((Lists!K$24-$AA17)-MOD((Lists!K$24-$AA17),$Z17)))&lt;=$AB17)+((((Lists!K$24-$AA17)-MOD((Lists!K$24-$AA17),$Z17))-$Z17)&gt;=0)*(EDATE($G17,(((Lists!K$24-$AA17)-MOD((Lists!K$24-$AA17),$Z17))-$Z17))&gt;Lists!K$23)*(EDATE($G17,(((Lists!K$24-$AA17)-MOD((Lists!K$24-$AA17),$Z17))-$Z17))&lt;=Lists!K$21)*(EDATE($G17,(((Lists!K$24-$AA17)-MOD((Lists!K$24-$AA17),$Z17))-$Z17))&lt;=$AB17)))))</f>
        <v>0</v>
      </c>
      <c r="S17" s="53" t="n">
        <f aca="false">IF(OR(N($E17)=0,$G17=""),0,$I17*IF($F17="Weekly",((Lists!L$21-MOD(Lists!L$21-$G17,7))&gt;=$G17)*((Lists!L$21-MOD(Lists!L$21-$G17,7))&lt;=$AB17),IF($F17="One-off",($G17&gt;Lists!L$23)*($G17&lt;=Lists!L$21),IF($F17="",0,(((Lists!L$24-$AA17)-MOD((Lists!L$24-$AA17),$Z17))&gt;=0)*(EDATE($G17,((Lists!L$24-$AA17)-MOD((Lists!L$24-$AA17),$Z17)))&gt;Lists!L$23)*(EDATE($G17,((Lists!L$24-$AA17)-MOD((Lists!L$24-$AA17),$Z17)))&lt;=Lists!L$21)*(EDATE($G17,((Lists!L$24-$AA17)-MOD((Lists!L$24-$AA17),$Z17)))&lt;=$AB17)+((((Lists!L$24-$AA17)-MOD((Lists!L$24-$AA17),$Z17))-$Z17)&gt;=0)*(EDATE($G17,(((Lists!L$24-$AA17)-MOD((Lists!L$24-$AA17),$Z17))-$Z17))&gt;Lists!L$23)*(EDATE($G17,(((Lists!L$24-$AA17)-MOD((Lists!L$24-$AA17),$Z17))-$Z17))&lt;=Lists!L$21)*(EDATE($G17,(((Lists!L$24-$AA17)-MOD((Lists!L$24-$AA17),$Z17))-$Z17))&lt;=$AB17)))))</f>
        <v>2160</v>
      </c>
      <c r="T17" s="53" t="n">
        <f aca="false">IF(OR(N($E17)=0,$G17=""),0,$I17*IF($F17="Weekly",((Lists!M$21-MOD(Lists!M$21-$G17,7))&gt;=$G17)*((Lists!M$21-MOD(Lists!M$21-$G17,7))&lt;=$AB17),IF($F17="One-off",($G17&gt;Lists!M$23)*($G17&lt;=Lists!M$21),IF($F17="",0,(((Lists!M$24-$AA17)-MOD((Lists!M$24-$AA17),$Z17))&gt;=0)*(EDATE($G17,((Lists!M$24-$AA17)-MOD((Lists!M$24-$AA17),$Z17)))&gt;Lists!M$23)*(EDATE($G17,((Lists!M$24-$AA17)-MOD((Lists!M$24-$AA17),$Z17)))&lt;=Lists!M$21)*(EDATE($G17,((Lists!M$24-$AA17)-MOD((Lists!M$24-$AA17),$Z17)))&lt;=$AB17)+((((Lists!M$24-$AA17)-MOD((Lists!M$24-$AA17),$Z17))-$Z17)&gt;=0)*(EDATE($G17,(((Lists!M$24-$AA17)-MOD((Lists!M$24-$AA17),$Z17))-$Z17))&gt;Lists!M$23)*(EDATE($G17,(((Lists!M$24-$AA17)-MOD((Lists!M$24-$AA17),$Z17))-$Z17))&lt;=Lists!M$21)*(EDATE($G17,(((Lists!M$24-$AA17)-MOD((Lists!M$24-$AA17),$Z17))-$Z17))&lt;=$AB17)))))</f>
        <v>0</v>
      </c>
      <c r="U17" s="53" t="n">
        <f aca="false">IF(OR(N($E17)=0,$G17=""),0,$I17*IF($F17="Weekly",((Lists!N$21-MOD(Lists!N$21-$G17,7))&gt;=$G17)*((Lists!N$21-MOD(Lists!N$21-$G17,7))&lt;=$AB17),IF($F17="One-off",($G17&gt;Lists!N$23)*($G17&lt;=Lists!N$21),IF($F17="",0,(((Lists!N$24-$AA17)-MOD((Lists!N$24-$AA17),$Z17))&gt;=0)*(EDATE($G17,((Lists!N$24-$AA17)-MOD((Lists!N$24-$AA17),$Z17)))&gt;Lists!N$23)*(EDATE($G17,((Lists!N$24-$AA17)-MOD((Lists!N$24-$AA17),$Z17)))&lt;=Lists!N$21)*(EDATE($G17,((Lists!N$24-$AA17)-MOD((Lists!N$24-$AA17),$Z17)))&lt;=$AB17)+((((Lists!N$24-$AA17)-MOD((Lists!N$24-$AA17),$Z17))-$Z17)&gt;=0)*(EDATE($G17,(((Lists!N$24-$AA17)-MOD((Lists!N$24-$AA17),$Z17))-$Z17))&gt;Lists!N$23)*(EDATE($G17,(((Lists!N$24-$AA17)-MOD((Lists!N$24-$AA17),$Z17))-$Z17))&lt;=Lists!N$21)*(EDATE($G17,(((Lists!N$24-$AA17)-MOD((Lists!N$24-$AA17),$Z17))-$Z17))&lt;=$AB17)))))</f>
        <v>0</v>
      </c>
      <c r="V17" s="53" t="n">
        <f aca="false">IF(OR(N($E17)=0,$G17=""),0,$I17*IF($F17="Weekly",((Lists!O$21-MOD(Lists!O$21-$G17,7))&gt;=$G17)*((Lists!O$21-MOD(Lists!O$21-$G17,7))&lt;=$AB17),IF($F17="One-off",($G17&gt;Lists!O$23)*($G17&lt;=Lists!O$21),IF($F17="",0,(((Lists!O$24-$AA17)-MOD((Lists!O$24-$AA17),$Z17))&gt;=0)*(EDATE($G17,((Lists!O$24-$AA17)-MOD((Lists!O$24-$AA17),$Z17)))&gt;Lists!O$23)*(EDATE($G17,((Lists!O$24-$AA17)-MOD((Lists!O$24-$AA17),$Z17)))&lt;=Lists!O$21)*(EDATE($G17,((Lists!O$24-$AA17)-MOD((Lists!O$24-$AA17),$Z17)))&lt;=$AB17)+((((Lists!O$24-$AA17)-MOD((Lists!O$24-$AA17),$Z17))-$Z17)&gt;=0)*(EDATE($G17,(((Lists!O$24-$AA17)-MOD((Lists!O$24-$AA17),$Z17))-$Z17))&gt;Lists!O$23)*(EDATE($G17,(((Lists!O$24-$AA17)-MOD((Lists!O$24-$AA17),$Z17))-$Z17))&lt;=Lists!O$21)*(EDATE($G17,(((Lists!O$24-$AA17)-MOD((Lists!O$24-$AA17),$Z17))-$Z17))&lt;=$AB17)))))</f>
        <v>0</v>
      </c>
      <c r="W17" s="46" t="n">
        <f aca="false">SUM(J17:V17)</f>
        <v>6480</v>
      </c>
      <c r="X17" s="2"/>
      <c r="Y17" s="104" t="n">
        <f aca="false">IF(AND(Setup!$D$16="Yes",D17&lt;&gt;"No"),1+Setup!$D$17,1)</f>
        <v>1.2</v>
      </c>
      <c r="Z17" s="94" t="n">
        <f aca="false">IF(F17="Quarterly",3,IF(F17="Annually",12,1))</f>
        <v>1</v>
      </c>
      <c r="AA17" s="94" t="n">
        <f aca="false">IF(G17="",0,YEAR(G17)*12+MONTH(G17))</f>
        <v>24323</v>
      </c>
      <c r="AB17" s="93" t="n">
        <f aca="false">IF(H17="",2958465,H17)</f>
        <v>2958465</v>
      </c>
      <c r="AC17" s="95" t="str">
        <f aca="false">IF(C17="","Other overheads",C17)</f>
        <v>Motor &amp; travel</v>
      </c>
    </row>
    <row r="18" customFormat="false" ht="15" hidden="false" customHeight="false" outlineLevel="0" collapsed="false">
      <c r="A18" s="87" t="n">
        <v>10</v>
      </c>
      <c r="B18" s="55" t="s">
        <v>512</v>
      </c>
      <c r="C18" s="55" t="s">
        <v>513</v>
      </c>
      <c r="D18" s="58" t="s">
        <v>497</v>
      </c>
      <c r="E18" s="88" t="n">
        <v>400</v>
      </c>
      <c r="F18" s="58" t="s">
        <v>498</v>
      </c>
      <c r="G18" s="90" t="n">
        <v>46328</v>
      </c>
      <c r="H18" s="90"/>
      <c r="I18" s="92" t="n">
        <f aca="false">N(E18)*Y18</f>
        <v>400</v>
      </c>
      <c r="J18" s="53" t="n">
        <f aca="false">IF(OR(N($E18)=0,$G18=""),0,$I18*IF($F18="Weekly",((Lists!C$21-MOD(Lists!C$21-$G18,7))&gt;=$G18)*((Lists!C$21-MOD(Lists!C$21-$G18,7))&lt;=$AB18),IF($F18="One-off",($G18&gt;Lists!C$23)*($G18&lt;=Lists!C$21),IF($F18="",0,(((Lists!C$24-$AA18)-MOD((Lists!C$24-$AA18),$Z18))&gt;=0)*(EDATE($G18,((Lists!C$24-$AA18)-MOD((Lists!C$24-$AA18),$Z18)))&gt;Lists!C$23)*(EDATE($G18,((Lists!C$24-$AA18)-MOD((Lists!C$24-$AA18),$Z18)))&lt;=Lists!C$21)*(EDATE($G18,((Lists!C$24-$AA18)-MOD((Lists!C$24-$AA18),$Z18)))&lt;=$AB18)+((((Lists!C$24-$AA18)-MOD((Lists!C$24-$AA18),$Z18))-$Z18)&gt;=0)*(EDATE($G18,(((Lists!C$24-$AA18)-MOD((Lists!C$24-$AA18),$Z18))-$Z18))&gt;Lists!C$23)*(EDATE($G18,(((Lists!C$24-$AA18)-MOD((Lists!C$24-$AA18),$Z18))-$Z18))&lt;=Lists!C$21)*(EDATE($G18,(((Lists!C$24-$AA18)-MOD((Lists!C$24-$AA18),$Z18))-$Z18))&lt;=$AB18)))))</f>
        <v>0</v>
      </c>
      <c r="K18" s="53" t="n">
        <f aca="false">IF(OR(N($E18)=0,$G18=""),0,$I18*IF($F18="Weekly",((Lists!D$21-MOD(Lists!D$21-$G18,7))&gt;=$G18)*((Lists!D$21-MOD(Lists!D$21-$G18,7))&lt;=$AB18),IF($F18="One-off",($G18&gt;Lists!D$23)*($G18&lt;=Lists!D$21),IF($F18="",0,(((Lists!D$24-$AA18)-MOD((Lists!D$24-$AA18),$Z18))&gt;=0)*(EDATE($G18,((Lists!D$24-$AA18)-MOD((Lists!D$24-$AA18),$Z18)))&gt;Lists!D$23)*(EDATE($G18,((Lists!D$24-$AA18)-MOD((Lists!D$24-$AA18),$Z18)))&lt;=Lists!D$21)*(EDATE($G18,((Lists!D$24-$AA18)-MOD((Lists!D$24-$AA18),$Z18)))&lt;=$AB18)+((((Lists!D$24-$AA18)-MOD((Lists!D$24-$AA18),$Z18))-$Z18)&gt;=0)*(EDATE($G18,(((Lists!D$24-$AA18)-MOD((Lists!D$24-$AA18),$Z18))-$Z18))&gt;Lists!D$23)*(EDATE($G18,(((Lists!D$24-$AA18)-MOD((Lists!D$24-$AA18),$Z18))-$Z18))&lt;=Lists!D$21)*(EDATE($G18,(((Lists!D$24-$AA18)-MOD((Lists!D$24-$AA18),$Z18))-$Z18))&lt;=$AB18)))))</f>
        <v>0</v>
      </c>
      <c r="L18" s="53" t="n">
        <f aca="false">IF(OR(N($E18)=0,$G18=""),0,$I18*IF($F18="Weekly",((Lists!E$21-MOD(Lists!E$21-$G18,7))&gt;=$G18)*((Lists!E$21-MOD(Lists!E$21-$G18,7))&lt;=$AB18),IF($F18="One-off",($G18&gt;Lists!E$23)*($G18&lt;=Lists!E$21),IF($F18="",0,(((Lists!E$24-$AA18)-MOD((Lists!E$24-$AA18),$Z18))&gt;=0)*(EDATE($G18,((Lists!E$24-$AA18)-MOD((Lists!E$24-$AA18),$Z18)))&gt;Lists!E$23)*(EDATE($G18,((Lists!E$24-$AA18)-MOD((Lists!E$24-$AA18),$Z18)))&lt;=Lists!E$21)*(EDATE($G18,((Lists!E$24-$AA18)-MOD((Lists!E$24-$AA18),$Z18)))&lt;=$AB18)+((((Lists!E$24-$AA18)-MOD((Lists!E$24-$AA18),$Z18))-$Z18)&gt;=0)*(EDATE($G18,(((Lists!E$24-$AA18)-MOD((Lists!E$24-$AA18),$Z18))-$Z18))&gt;Lists!E$23)*(EDATE($G18,(((Lists!E$24-$AA18)-MOD((Lists!E$24-$AA18),$Z18))-$Z18))&lt;=Lists!E$21)*(EDATE($G18,(((Lists!E$24-$AA18)-MOD((Lists!E$24-$AA18),$Z18))-$Z18))&lt;=$AB18)))))</f>
        <v>0</v>
      </c>
      <c r="M18" s="53" t="n">
        <f aca="false">IF(OR(N($E18)=0,$G18=""),0,$I18*IF($F18="Weekly",((Lists!F$21-MOD(Lists!F$21-$G18,7))&gt;=$G18)*((Lists!F$21-MOD(Lists!F$21-$G18,7))&lt;=$AB18),IF($F18="One-off",($G18&gt;Lists!F$23)*($G18&lt;=Lists!F$21),IF($F18="",0,(((Lists!F$24-$AA18)-MOD((Lists!F$24-$AA18),$Z18))&gt;=0)*(EDATE($G18,((Lists!F$24-$AA18)-MOD((Lists!F$24-$AA18),$Z18)))&gt;Lists!F$23)*(EDATE($G18,((Lists!F$24-$AA18)-MOD((Lists!F$24-$AA18),$Z18)))&lt;=Lists!F$21)*(EDATE($G18,((Lists!F$24-$AA18)-MOD((Lists!F$24-$AA18),$Z18)))&lt;=$AB18)+((((Lists!F$24-$AA18)-MOD((Lists!F$24-$AA18),$Z18))-$Z18)&gt;=0)*(EDATE($G18,(((Lists!F$24-$AA18)-MOD((Lists!F$24-$AA18),$Z18))-$Z18))&gt;Lists!F$23)*(EDATE($G18,(((Lists!F$24-$AA18)-MOD((Lists!F$24-$AA18),$Z18))-$Z18))&lt;=Lists!F$21)*(EDATE($G18,(((Lists!F$24-$AA18)-MOD((Lists!F$24-$AA18),$Z18))-$Z18))&lt;=$AB18)))))</f>
        <v>400</v>
      </c>
      <c r="N18" s="53" t="n">
        <f aca="false">IF(OR(N($E18)=0,$G18=""),0,$I18*IF($F18="Weekly",((Lists!G$21-MOD(Lists!G$21-$G18,7))&gt;=$G18)*((Lists!G$21-MOD(Lists!G$21-$G18,7))&lt;=$AB18),IF($F18="One-off",($G18&gt;Lists!G$23)*($G18&lt;=Lists!G$21),IF($F18="",0,(((Lists!G$24-$AA18)-MOD((Lists!G$24-$AA18),$Z18))&gt;=0)*(EDATE($G18,((Lists!G$24-$AA18)-MOD((Lists!G$24-$AA18),$Z18)))&gt;Lists!G$23)*(EDATE($G18,((Lists!G$24-$AA18)-MOD((Lists!G$24-$AA18),$Z18)))&lt;=Lists!G$21)*(EDATE($G18,((Lists!G$24-$AA18)-MOD((Lists!G$24-$AA18),$Z18)))&lt;=$AB18)+((((Lists!G$24-$AA18)-MOD((Lists!G$24-$AA18),$Z18))-$Z18)&gt;=0)*(EDATE($G18,(((Lists!G$24-$AA18)-MOD((Lists!G$24-$AA18),$Z18))-$Z18))&gt;Lists!G$23)*(EDATE($G18,(((Lists!G$24-$AA18)-MOD((Lists!G$24-$AA18),$Z18))-$Z18))&lt;=Lists!G$21)*(EDATE($G18,(((Lists!G$24-$AA18)-MOD((Lists!G$24-$AA18),$Z18))-$Z18))&lt;=$AB18)))))</f>
        <v>0</v>
      </c>
      <c r="O18" s="53" t="n">
        <f aca="false">IF(OR(N($E18)=0,$G18=""),0,$I18*IF($F18="Weekly",((Lists!H$21-MOD(Lists!H$21-$G18,7))&gt;=$G18)*((Lists!H$21-MOD(Lists!H$21-$G18,7))&lt;=$AB18),IF($F18="One-off",($G18&gt;Lists!H$23)*($G18&lt;=Lists!H$21),IF($F18="",0,(((Lists!H$24-$AA18)-MOD((Lists!H$24-$AA18),$Z18))&gt;=0)*(EDATE($G18,((Lists!H$24-$AA18)-MOD((Lists!H$24-$AA18),$Z18)))&gt;Lists!H$23)*(EDATE($G18,((Lists!H$24-$AA18)-MOD((Lists!H$24-$AA18),$Z18)))&lt;=Lists!H$21)*(EDATE($G18,((Lists!H$24-$AA18)-MOD((Lists!H$24-$AA18),$Z18)))&lt;=$AB18)+((((Lists!H$24-$AA18)-MOD((Lists!H$24-$AA18),$Z18))-$Z18)&gt;=0)*(EDATE($G18,(((Lists!H$24-$AA18)-MOD((Lists!H$24-$AA18),$Z18))-$Z18))&gt;Lists!H$23)*(EDATE($G18,(((Lists!H$24-$AA18)-MOD((Lists!H$24-$AA18),$Z18))-$Z18))&lt;=Lists!H$21)*(EDATE($G18,(((Lists!H$24-$AA18)-MOD((Lists!H$24-$AA18),$Z18))-$Z18))&lt;=$AB18)))))</f>
        <v>0</v>
      </c>
      <c r="P18" s="53" t="n">
        <f aca="false">IF(OR(N($E18)=0,$G18=""),0,$I18*IF($F18="Weekly",((Lists!I$21-MOD(Lists!I$21-$G18,7))&gt;=$G18)*((Lists!I$21-MOD(Lists!I$21-$G18,7))&lt;=$AB18),IF($F18="One-off",($G18&gt;Lists!I$23)*($G18&lt;=Lists!I$21),IF($F18="",0,(((Lists!I$24-$AA18)-MOD((Lists!I$24-$AA18),$Z18))&gt;=0)*(EDATE($G18,((Lists!I$24-$AA18)-MOD((Lists!I$24-$AA18),$Z18)))&gt;Lists!I$23)*(EDATE($G18,((Lists!I$24-$AA18)-MOD((Lists!I$24-$AA18),$Z18)))&lt;=Lists!I$21)*(EDATE($G18,((Lists!I$24-$AA18)-MOD((Lists!I$24-$AA18),$Z18)))&lt;=$AB18)+((((Lists!I$24-$AA18)-MOD((Lists!I$24-$AA18),$Z18))-$Z18)&gt;=0)*(EDATE($G18,(((Lists!I$24-$AA18)-MOD((Lists!I$24-$AA18),$Z18))-$Z18))&gt;Lists!I$23)*(EDATE($G18,(((Lists!I$24-$AA18)-MOD((Lists!I$24-$AA18),$Z18))-$Z18))&lt;=Lists!I$21)*(EDATE($G18,(((Lists!I$24-$AA18)-MOD((Lists!I$24-$AA18),$Z18))-$Z18))&lt;=$AB18)))))</f>
        <v>0</v>
      </c>
      <c r="Q18" s="53" t="n">
        <f aca="false">IF(OR(N($E18)=0,$G18=""),0,$I18*IF($F18="Weekly",((Lists!J$21-MOD(Lists!J$21-$G18,7))&gt;=$G18)*((Lists!J$21-MOD(Lists!J$21-$G18,7))&lt;=$AB18),IF($F18="One-off",($G18&gt;Lists!J$23)*($G18&lt;=Lists!J$21),IF($F18="",0,(((Lists!J$24-$AA18)-MOD((Lists!J$24-$AA18),$Z18))&gt;=0)*(EDATE($G18,((Lists!J$24-$AA18)-MOD((Lists!J$24-$AA18),$Z18)))&gt;Lists!J$23)*(EDATE($G18,((Lists!J$24-$AA18)-MOD((Lists!J$24-$AA18),$Z18)))&lt;=Lists!J$21)*(EDATE($G18,((Lists!J$24-$AA18)-MOD((Lists!J$24-$AA18),$Z18)))&lt;=$AB18)+((((Lists!J$24-$AA18)-MOD((Lists!J$24-$AA18),$Z18))-$Z18)&gt;=0)*(EDATE($G18,(((Lists!J$24-$AA18)-MOD((Lists!J$24-$AA18),$Z18))-$Z18))&gt;Lists!J$23)*(EDATE($G18,(((Lists!J$24-$AA18)-MOD((Lists!J$24-$AA18),$Z18))-$Z18))&lt;=Lists!J$21)*(EDATE($G18,(((Lists!J$24-$AA18)-MOD((Lists!J$24-$AA18),$Z18))-$Z18))&lt;=$AB18)))))</f>
        <v>0</v>
      </c>
      <c r="R18" s="53" t="n">
        <f aca="false">IF(OR(N($E18)=0,$G18=""),0,$I18*IF($F18="Weekly",((Lists!K$21-MOD(Lists!K$21-$G18,7))&gt;=$G18)*((Lists!K$21-MOD(Lists!K$21-$G18,7))&lt;=$AB18),IF($F18="One-off",($G18&gt;Lists!K$23)*($G18&lt;=Lists!K$21),IF($F18="",0,(((Lists!K$24-$AA18)-MOD((Lists!K$24-$AA18),$Z18))&gt;=0)*(EDATE($G18,((Lists!K$24-$AA18)-MOD((Lists!K$24-$AA18),$Z18)))&gt;Lists!K$23)*(EDATE($G18,((Lists!K$24-$AA18)-MOD((Lists!K$24-$AA18),$Z18)))&lt;=Lists!K$21)*(EDATE($G18,((Lists!K$24-$AA18)-MOD((Lists!K$24-$AA18),$Z18)))&lt;=$AB18)+((((Lists!K$24-$AA18)-MOD((Lists!K$24-$AA18),$Z18))-$Z18)&gt;=0)*(EDATE($G18,(((Lists!K$24-$AA18)-MOD((Lists!K$24-$AA18),$Z18))-$Z18))&gt;Lists!K$23)*(EDATE($G18,(((Lists!K$24-$AA18)-MOD((Lists!K$24-$AA18),$Z18))-$Z18))&lt;=Lists!K$21)*(EDATE($G18,(((Lists!K$24-$AA18)-MOD((Lists!K$24-$AA18),$Z18))-$Z18))&lt;=$AB18)))))</f>
        <v>400</v>
      </c>
      <c r="S18" s="53" t="n">
        <f aca="false">IF(OR(N($E18)=0,$G18=""),0,$I18*IF($F18="Weekly",((Lists!L$21-MOD(Lists!L$21-$G18,7))&gt;=$G18)*((Lists!L$21-MOD(Lists!L$21-$G18,7))&lt;=$AB18),IF($F18="One-off",($G18&gt;Lists!L$23)*($G18&lt;=Lists!L$21),IF($F18="",0,(((Lists!L$24-$AA18)-MOD((Lists!L$24-$AA18),$Z18))&gt;=0)*(EDATE($G18,((Lists!L$24-$AA18)-MOD((Lists!L$24-$AA18),$Z18)))&gt;Lists!L$23)*(EDATE($G18,((Lists!L$24-$AA18)-MOD((Lists!L$24-$AA18),$Z18)))&lt;=Lists!L$21)*(EDATE($G18,((Lists!L$24-$AA18)-MOD((Lists!L$24-$AA18),$Z18)))&lt;=$AB18)+((((Lists!L$24-$AA18)-MOD((Lists!L$24-$AA18),$Z18))-$Z18)&gt;=0)*(EDATE($G18,(((Lists!L$24-$AA18)-MOD((Lists!L$24-$AA18),$Z18))-$Z18))&gt;Lists!L$23)*(EDATE($G18,(((Lists!L$24-$AA18)-MOD((Lists!L$24-$AA18),$Z18))-$Z18))&lt;=Lists!L$21)*(EDATE($G18,(((Lists!L$24-$AA18)-MOD((Lists!L$24-$AA18),$Z18))-$Z18))&lt;=$AB18)))))</f>
        <v>0</v>
      </c>
      <c r="T18" s="53" t="n">
        <f aca="false">IF(OR(N($E18)=0,$G18=""),0,$I18*IF($F18="Weekly",((Lists!M$21-MOD(Lists!M$21-$G18,7))&gt;=$G18)*((Lists!M$21-MOD(Lists!M$21-$G18,7))&lt;=$AB18),IF($F18="One-off",($G18&gt;Lists!M$23)*($G18&lt;=Lists!M$21),IF($F18="",0,(((Lists!M$24-$AA18)-MOD((Lists!M$24-$AA18),$Z18))&gt;=0)*(EDATE($G18,((Lists!M$24-$AA18)-MOD((Lists!M$24-$AA18),$Z18)))&gt;Lists!M$23)*(EDATE($G18,((Lists!M$24-$AA18)-MOD((Lists!M$24-$AA18),$Z18)))&lt;=Lists!M$21)*(EDATE($G18,((Lists!M$24-$AA18)-MOD((Lists!M$24-$AA18),$Z18)))&lt;=$AB18)+((((Lists!M$24-$AA18)-MOD((Lists!M$24-$AA18),$Z18))-$Z18)&gt;=0)*(EDATE($G18,(((Lists!M$24-$AA18)-MOD((Lists!M$24-$AA18),$Z18))-$Z18))&gt;Lists!M$23)*(EDATE($G18,(((Lists!M$24-$AA18)-MOD((Lists!M$24-$AA18),$Z18))-$Z18))&lt;=Lists!M$21)*(EDATE($G18,(((Lists!M$24-$AA18)-MOD((Lists!M$24-$AA18),$Z18))-$Z18))&lt;=$AB18)))))</f>
        <v>0</v>
      </c>
      <c r="U18" s="53" t="n">
        <f aca="false">IF(OR(N($E18)=0,$G18=""),0,$I18*IF($F18="Weekly",((Lists!N$21-MOD(Lists!N$21-$G18,7))&gt;=$G18)*((Lists!N$21-MOD(Lists!N$21-$G18,7))&lt;=$AB18),IF($F18="One-off",($G18&gt;Lists!N$23)*($G18&lt;=Lists!N$21),IF($F18="",0,(((Lists!N$24-$AA18)-MOD((Lists!N$24-$AA18),$Z18))&gt;=0)*(EDATE($G18,((Lists!N$24-$AA18)-MOD((Lists!N$24-$AA18),$Z18)))&gt;Lists!N$23)*(EDATE($G18,((Lists!N$24-$AA18)-MOD((Lists!N$24-$AA18),$Z18)))&lt;=Lists!N$21)*(EDATE($G18,((Lists!N$24-$AA18)-MOD((Lists!N$24-$AA18),$Z18)))&lt;=$AB18)+((((Lists!N$24-$AA18)-MOD((Lists!N$24-$AA18),$Z18))-$Z18)&gt;=0)*(EDATE($G18,(((Lists!N$24-$AA18)-MOD((Lists!N$24-$AA18),$Z18))-$Z18))&gt;Lists!N$23)*(EDATE($G18,(((Lists!N$24-$AA18)-MOD((Lists!N$24-$AA18),$Z18))-$Z18))&lt;=Lists!N$21)*(EDATE($G18,(((Lists!N$24-$AA18)-MOD((Lists!N$24-$AA18),$Z18))-$Z18))&lt;=$AB18)))))</f>
        <v>0</v>
      </c>
      <c r="V18" s="53" t="n">
        <f aca="false">IF(OR(N($E18)=0,$G18=""),0,$I18*IF($F18="Weekly",((Lists!O$21-MOD(Lists!O$21-$G18,7))&gt;=$G18)*((Lists!O$21-MOD(Lists!O$21-$G18,7))&lt;=$AB18),IF($F18="One-off",($G18&gt;Lists!O$23)*($G18&lt;=Lists!O$21),IF($F18="",0,(((Lists!O$24-$AA18)-MOD((Lists!O$24-$AA18),$Z18))&gt;=0)*(EDATE($G18,((Lists!O$24-$AA18)-MOD((Lists!O$24-$AA18),$Z18)))&gt;Lists!O$23)*(EDATE($G18,((Lists!O$24-$AA18)-MOD((Lists!O$24-$AA18),$Z18)))&lt;=Lists!O$21)*(EDATE($G18,((Lists!O$24-$AA18)-MOD((Lists!O$24-$AA18),$Z18)))&lt;=$AB18)+((((Lists!O$24-$AA18)-MOD((Lists!O$24-$AA18),$Z18))-$Z18)&gt;=0)*(EDATE($G18,(((Lists!O$24-$AA18)-MOD((Lists!O$24-$AA18),$Z18))-$Z18))&gt;Lists!O$23)*(EDATE($G18,(((Lists!O$24-$AA18)-MOD((Lists!O$24-$AA18),$Z18))-$Z18))&lt;=Lists!O$21)*(EDATE($G18,(((Lists!O$24-$AA18)-MOD((Lists!O$24-$AA18),$Z18))-$Z18))&lt;=$AB18)))))</f>
        <v>400</v>
      </c>
      <c r="W18" s="46" t="n">
        <f aca="false">SUM(J18:V18)</f>
        <v>1200</v>
      </c>
      <c r="X18" s="2"/>
      <c r="Y18" s="104" t="n">
        <f aca="false">IF(AND(Setup!$D$16="Yes",D18&lt;&gt;"No"),1+Setup!$D$17,1)</f>
        <v>1</v>
      </c>
      <c r="Z18" s="94" t="n">
        <f aca="false">IF(F18="Quarterly",3,IF(F18="Annually",12,1))</f>
        <v>1</v>
      </c>
      <c r="AA18" s="94" t="n">
        <f aca="false">IF(G18="",0,YEAR(G18)*12+MONTH(G18))</f>
        <v>24323</v>
      </c>
      <c r="AB18" s="93" t="n">
        <f aca="false">IF(H18="",2958465,H18)</f>
        <v>2958465</v>
      </c>
      <c r="AC18" s="95" t="str">
        <f aca="false">IF(C18="","Other overheads",C18)</f>
        <v>Bank charges &amp; interest</v>
      </c>
    </row>
    <row r="19" customFormat="false" ht="15" hidden="false" customHeight="false" outlineLevel="0" collapsed="false">
      <c r="A19" s="87" t="n">
        <v>11</v>
      </c>
      <c r="B19" s="55" t="s">
        <v>514</v>
      </c>
      <c r="C19" s="55" t="s">
        <v>515</v>
      </c>
      <c r="D19" s="58" t="s">
        <v>186</v>
      </c>
      <c r="E19" s="88" t="n">
        <v>3000</v>
      </c>
      <c r="F19" s="58" t="s">
        <v>498</v>
      </c>
      <c r="G19" s="90" t="n">
        <v>46351</v>
      </c>
      <c r="H19" s="90"/>
      <c r="I19" s="92" t="n">
        <f aca="false">N(E19)*Y19</f>
        <v>3600</v>
      </c>
      <c r="J19" s="53" t="n">
        <f aca="false">IF(OR(N($E19)=0,$G19=""),0,$I19*IF($F19="Weekly",((Lists!C$21-MOD(Lists!C$21-$G19,7))&gt;=$G19)*((Lists!C$21-MOD(Lists!C$21-$G19,7))&lt;=$AB19),IF($F19="One-off",($G19&gt;Lists!C$23)*($G19&lt;=Lists!C$21),IF($F19="",0,(((Lists!C$24-$AA19)-MOD((Lists!C$24-$AA19),$Z19))&gt;=0)*(EDATE($G19,((Lists!C$24-$AA19)-MOD((Lists!C$24-$AA19),$Z19)))&gt;Lists!C$23)*(EDATE($G19,((Lists!C$24-$AA19)-MOD((Lists!C$24-$AA19),$Z19)))&lt;=Lists!C$21)*(EDATE($G19,((Lists!C$24-$AA19)-MOD((Lists!C$24-$AA19),$Z19)))&lt;=$AB19)+((((Lists!C$24-$AA19)-MOD((Lists!C$24-$AA19),$Z19))-$Z19)&gt;=0)*(EDATE($G19,(((Lists!C$24-$AA19)-MOD((Lists!C$24-$AA19),$Z19))-$Z19))&gt;Lists!C$23)*(EDATE($G19,(((Lists!C$24-$AA19)-MOD((Lists!C$24-$AA19),$Z19))-$Z19))&lt;=Lists!C$21)*(EDATE($G19,(((Lists!C$24-$AA19)-MOD((Lists!C$24-$AA19),$Z19))-$Z19))&lt;=$AB19)))))</f>
        <v>0</v>
      </c>
      <c r="K19" s="53" t="n">
        <f aca="false">IF(OR(N($E19)=0,$G19=""),0,$I19*IF($F19="Weekly",((Lists!D$21-MOD(Lists!D$21-$G19,7))&gt;=$G19)*((Lists!D$21-MOD(Lists!D$21-$G19,7))&lt;=$AB19),IF($F19="One-off",($G19&gt;Lists!D$23)*($G19&lt;=Lists!D$21),IF($F19="",0,(((Lists!D$24-$AA19)-MOD((Lists!D$24-$AA19),$Z19))&gt;=0)*(EDATE($G19,((Lists!D$24-$AA19)-MOD((Lists!D$24-$AA19),$Z19)))&gt;Lists!D$23)*(EDATE($G19,((Lists!D$24-$AA19)-MOD((Lists!D$24-$AA19),$Z19)))&lt;=Lists!D$21)*(EDATE($G19,((Lists!D$24-$AA19)-MOD((Lists!D$24-$AA19),$Z19)))&lt;=$AB19)+((((Lists!D$24-$AA19)-MOD((Lists!D$24-$AA19),$Z19))-$Z19)&gt;=0)*(EDATE($G19,(((Lists!D$24-$AA19)-MOD((Lists!D$24-$AA19),$Z19))-$Z19))&gt;Lists!D$23)*(EDATE($G19,(((Lists!D$24-$AA19)-MOD((Lists!D$24-$AA19),$Z19))-$Z19))&lt;=Lists!D$21)*(EDATE($G19,(((Lists!D$24-$AA19)-MOD((Lists!D$24-$AA19),$Z19))-$Z19))&lt;=$AB19)))))</f>
        <v>0</v>
      </c>
      <c r="L19" s="53" t="n">
        <f aca="false">IF(OR(N($E19)=0,$G19=""),0,$I19*IF($F19="Weekly",((Lists!E$21-MOD(Lists!E$21-$G19,7))&gt;=$G19)*((Lists!E$21-MOD(Lists!E$21-$G19,7))&lt;=$AB19),IF($F19="One-off",($G19&gt;Lists!E$23)*($G19&lt;=Lists!E$21),IF($F19="",0,(((Lists!E$24-$AA19)-MOD((Lists!E$24-$AA19),$Z19))&gt;=0)*(EDATE($G19,((Lists!E$24-$AA19)-MOD((Lists!E$24-$AA19),$Z19)))&gt;Lists!E$23)*(EDATE($G19,((Lists!E$24-$AA19)-MOD((Lists!E$24-$AA19),$Z19)))&lt;=Lists!E$21)*(EDATE($G19,((Lists!E$24-$AA19)-MOD((Lists!E$24-$AA19),$Z19)))&lt;=$AB19)+((((Lists!E$24-$AA19)-MOD((Lists!E$24-$AA19),$Z19))-$Z19)&gt;=0)*(EDATE($G19,(((Lists!E$24-$AA19)-MOD((Lists!E$24-$AA19),$Z19))-$Z19))&gt;Lists!E$23)*(EDATE($G19,(((Lists!E$24-$AA19)-MOD((Lists!E$24-$AA19),$Z19))-$Z19))&lt;=Lists!E$21)*(EDATE($G19,(((Lists!E$24-$AA19)-MOD((Lists!E$24-$AA19),$Z19))-$Z19))&lt;=$AB19)))))</f>
        <v>3600</v>
      </c>
      <c r="M19" s="53" t="n">
        <f aca="false">IF(OR(N($E19)=0,$G19=""),0,$I19*IF($F19="Weekly",((Lists!F$21-MOD(Lists!F$21-$G19,7))&gt;=$G19)*((Lists!F$21-MOD(Lists!F$21-$G19,7))&lt;=$AB19),IF($F19="One-off",($G19&gt;Lists!F$23)*($G19&lt;=Lists!F$21),IF($F19="",0,(((Lists!F$24-$AA19)-MOD((Lists!F$24-$AA19),$Z19))&gt;=0)*(EDATE($G19,((Lists!F$24-$AA19)-MOD((Lists!F$24-$AA19),$Z19)))&gt;Lists!F$23)*(EDATE($G19,((Lists!F$24-$AA19)-MOD((Lists!F$24-$AA19),$Z19)))&lt;=Lists!F$21)*(EDATE($G19,((Lists!F$24-$AA19)-MOD((Lists!F$24-$AA19),$Z19)))&lt;=$AB19)+((((Lists!F$24-$AA19)-MOD((Lists!F$24-$AA19),$Z19))-$Z19)&gt;=0)*(EDATE($G19,(((Lists!F$24-$AA19)-MOD((Lists!F$24-$AA19),$Z19))-$Z19))&gt;Lists!F$23)*(EDATE($G19,(((Lists!F$24-$AA19)-MOD((Lists!F$24-$AA19),$Z19))-$Z19))&lt;=Lists!F$21)*(EDATE($G19,(((Lists!F$24-$AA19)-MOD((Lists!F$24-$AA19),$Z19))-$Z19))&lt;=$AB19)))))</f>
        <v>0</v>
      </c>
      <c r="N19" s="53" t="n">
        <f aca="false">IF(OR(N($E19)=0,$G19=""),0,$I19*IF($F19="Weekly",((Lists!G$21-MOD(Lists!G$21-$G19,7))&gt;=$G19)*((Lists!G$21-MOD(Lists!G$21-$G19,7))&lt;=$AB19),IF($F19="One-off",($G19&gt;Lists!G$23)*($G19&lt;=Lists!G$21),IF($F19="",0,(((Lists!G$24-$AA19)-MOD((Lists!G$24-$AA19),$Z19))&gt;=0)*(EDATE($G19,((Lists!G$24-$AA19)-MOD((Lists!G$24-$AA19),$Z19)))&gt;Lists!G$23)*(EDATE($G19,((Lists!G$24-$AA19)-MOD((Lists!G$24-$AA19),$Z19)))&lt;=Lists!G$21)*(EDATE($G19,((Lists!G$24-$AA19)-MOD((Lists!G$24-$AA19),$Z19)))&lt;=$AB19)+((((Lists!G$24-$AA19)-MOD((Lists!G$24-$AA19),$Z19))-$Z19)&gt;=0)*(EDATE($G19,(((Lists!G$24-$AA19)-MOD((Lists!G$24-$AA19),$Z19))-$Z19))&gt;Lists!G$23)*(EDATE($G19,(((Lists!G$24-$AA19)-MOD((Lists!G$24-$AA19),$Z19))-$Z19))&lt;=Lists!G$21)*(EDATE($G19,(((Lists!G$24-$AA19)-MOD((Lists!G$24-$AA19),$Z19))-$Z19))&lt;=$AB19)))))</f>
        <v>0</v>
      </c>
      <c r="O19" s="53" t="n">
        <f aca="false">IF(OR(N($E19)=0,$G19=""),0,$I19*IF($F19="Weekly",((Lists!H$21-MOD(Lists!H$21-$G19,7))&gt;=$G19)*((Lists!H$21-MOD(Lists!H$21-$G19,7))&lt;=$AB19),IF($F19="One-off",($G19&gt;Lists!H$23)*($G19&lt;=Lists!H$21),IF($F19="",0,(((Lists!H$24-$AA19)-MOD((Lists!H$24-$AA19),$Z19))&gt;=0)*(EDATE($G19,((Lists!H$24-$AA19)-MOD((Lists!H$24-$AA19),$Z19)))&gt;Lists!H$23)*(EDATE($G19,((Lists!H$24-$AA19)-MOD((Lists!H$24-$AA19),$Z19)))&lt;=Lists!H$21)*(EDATE($G19,((Lists!H$24-$AA19)-MOD((Lists!H$24-$AA19),$Z19)))&lt;=$AB19)+((((Lists!H$24-$AA19)-MOD((Lists!H$24-$AA19),$Z19))-$Z19)&gt;=0)*(EDATE($G19,(((Lists!H$24-$AA19)-MOD((Lists!H$24-$AA19),$Z19))-$Z19))&gt;Lists!H$23)*(EDATE($G19,(((Lists!H$24-$AA19)-MOD((Lists!H$24-$AA19),$Z19))-$Z19))&lt;=Lists!H$21)*(EDATE($G19,(((Lists!H$24-$AA19)-MOD((Lists!H$24-$AA19),$Z19))-$Z19))&lt;=$AB19)))))</f>
        <v>0</v>
      </c>
      <c r="P19" s="53" t="n">
        <f aca="false">IF(OR(N($E19)=0,$G19=""),0,$I19*IF($F19="Weekly",((Lists!I$21-MOD(Lists!I$21-$G19,7))&gt;=$G19)*((Lists!I$21-MOD(Lists!I$21-$G19,7))&lt;=$AB19),IF($F19="One-off",($G19&gt;Lists!I$23)*($G19&lt;=Lists!I$21),IF($F19="",0,(((Lists!I$24-$AA19)-MOD((Lists!I$24-$AA19),$Z19))&gt;=0)*(EDATE($G19,((Lists!I$24-$AA19)-MOD((Lists!I$24-$AA19),$Z19)))&gt;Lists!I$23)*(EDATE($G19,((Lists!I$24-$AA19)-MOD((Lists!I$24-$AA19),$Z19)))&lt;=Lists!I$21)*(EDATE($G19,((Lists!I$24-$AA19)-MOD((Lists!I$24-$AA19),$Z19)))&lt;=$AB19)+((((Lists!I$24-$AA19)-MOD((Lists!I$24-$AA19),$Z19))-$Z19)&gt;=0)*(EDATE($G19,(((Lists!I$24-$AA19)-MOD((Lists!I$24-$AA19),$Z19))-$Z19))&gt;Lists!I$23)*(EDATE($G19,(((Lists!I$24-$AA19)-MOD((Lists!I$24-$AA19),$Z19))-$Z19))&lt;=Lists!I$21)*(EDATE($G19,(((Lists!I$24-$AA19)-MOD((Lists!I$24-$AA19),$Z19))-$Z19))&lt;=$AB19)))))</f>
        <v>3600</v>
      </c>
      <c r="Q19" s="53" t="n">
        <f aca="false">IF(OR(N($E19)=0,$G19=""),0,$I19*IF($F19="Weekly",((Lists!J$21-MOD(Lists!J$21-$G19,7))&gt;=$G19)*((Lists!J$21-MOD(Lists!J$21-$G19,7))&lt;=$AB19),IF($F19="One-off",($G19&gt;Lists!J$23)*($G19&lt;=Lists!J$21),IF($F19="",0,(((Lists!J$24-$AA19)-MOD((Lists!J$24-$AA19),$Z19))&gt;=0)*(EDATE($G19,((Lists!J$24-$AA19)-MOD((Lists!J$24-$AA19),$Z19)))&gt;Lists!J$23)*(EDATE($G19,((Lists!J$24-$AA19)-MOD((Lists!J$24-$AA19),$Z19)))&lt;=Lists!J$21)*(EDATE($G19,((Lists!J$24-$AA19)-MOD((Lists!J$24-$AA19),$Z19)))&lt;=$AB19)+((((Lists!J$24-$AA19)-MOD((Lists!J$24-$AA19),$Z19))-$Z19)&gt;=0)*(EDATE($G19,(((Lists!J$24-$AA19)-MOD((Lists!J$24-$AA19),$Z19))-$Z19))&gt;Lists!J$23)*(EDATE($G19,(((Lists!J$24-$AA19)-MOD((Lists!J$24-$AA19),$Z19))-$Z19))&lt;=Lists!J$21)*(EDATE($G19,(((Lists!J$24-$AA19)-MOD((Lists!J$24-$AA19),$Z19))-$Z19))&lt;=$AB19)))))</f>
        <v>0</v>
      </c>
      <c r="R19" s="53" t="n">
        <f aca="false">IF(OR(N($E19)=0,$G19=""),0,$I19*IF($F19="Weekly",((Lists!K$21-MOD(Lists!K$21-$G19,7))&gt;=$G19)*((Lists!K$21-MOD(Lists!K$21-$G19,7))&lt;=$AB19),IF($F19="One-off",($G19&gt;Lists!K$23)*($G19&lt;=Lists!K$21),IF($F19="",0,(((Lists!K$24-$AA19)-MOD((Lists!K$24-$AA19),$Z19))&gt;=0)*(EDATE($G19,((Lists!K$24-$AA19)-MOD((Lists!K$24-$AA19),$Z19)))&gt;Lists!K$23)*(EDATE($G19,((Lists!K$24-$AA19)-MOD((Lists!K$24-$AA19),$Z19)))&lt;=Lists!K$21)*(EDATE($G19,((Lists!K$24-$AA19)-MOD((Lists!K$24-$AA19),$Z19)))&lt;=$AB19)+((((Lists!K$24-$AA19)-MOD((Lists!K$24-$AA19),$Z19))-$Z19)&gt;=0)*(EDATE($G19,(((Lists!K$24-$AA19)-MOD((Lists!K$24-$AA19),$Z19))-$Z19))&gt;Lists!K$23)*(EDATE($G19,(((Lists!K$24-$AA19)-MOD((Lists!K$24-$AA19),$Z19))-$Z19))&lt;=Lists!K$21)*(EDATE($G19,(((Lists!K$24-$AA19)-MOD((Lists!K$24-$AA19),$Z19))-$Z19))&lt;=$AB19)))))</f>
        <v>0</v>
      </c>
      <c r="S19" s="53" t="n">
        <f aca="false">IF(OR(N($E19)=0,$G19=""),0,$I19*IF($F19="Weekly",((Lists!L$21-MOD(Lists!L$21-$G19,7))&gt;=$G19)*((Lists!L$21-MOD(Lists!L$21-$G19,7))&lt;=$AB19),IF($F19="One-off",($G19&gt;Lists!L$23)*($G19&lt;=Lists!L$21),IF($F19="",0,(((Lists!L$24-$AA19)-MOD((Lists!L$24-$AA19),$Z19))&gt;=0)*(EDATE($G19,((Lists!L$24-$AA19)-MOD((Lists!L$24-$AA19),$Z19)))&gt;Lists!L$23)*(EDATE($G19,((Lists!L$24-$AA19)-MOD((Lists!L$24-$AA19),$Z19)))&lt;=Lists!L$21)*(EDATE($G19,((Lists!L$24-$AA19)-MOD((Lists!L$24-$AA19),$Z19)))&lt;=$AB19)+((((Lists!L$24-$AA19)-MOD((Lists!L$24-$AA19),$Z19))-$Z19)&gt;=0)*(EDATE($G19,(((Lists!L$24-$AA19)-MOD((Lists!L$24-$AA19),$Z19))-$Z19))&gt;Lists!L$23)*(EDATE($G19,(((Lists!L$24-$AA19)-MOD((Lists!L$24-$AA19),$Z19))-$Z19))&lt;=Lists!L$21)*(EDATE($G19,(((Lists!L$24-$AA19)-MOD((Lists!L$24-$AA19),$Z19))-$Z19))&lt;=$AB19)))))</f>
        <v>0</v>
      </c>
      <c r="T19" s="53" t="n">
        <f aca="false">IF(OR(N($E19)=0,$G19=""),0,$I19*IF($F19="Weekly",((Lists!M$21-MOD(Lists!M$21-$G19,7))&gt;=$G19)*((Lists!M$21-MOD(Lists!M$21-$G19,7))&lt;=$AB19),IF($F19="One-off",($G19&gt;Lists!M$23)*($G19&lt;=Lists!M$21),IF($F19="",0,(((Lists!M$24-$AA19)-MOD((Lists!M$24-$AA19),$Z19))&gt;=0)*(EDATE($G19,((Lists!M$24-$AA19)-MOD((Lists!M$24-$AA19),$Z19)))&gt;Lists!M$23)*(EDATE($G19,((Lists!M$24-$AA19)-MOD((Lists!M$24-$AA19),$Z19)))&lt;=Lists!M$21)*(EDATE($G19,((Lists!M$24-$AA19)-MOD((Lists!M$24-$AA19),$Z19)))&lt;=$AB19)+((((Lists!M$24-$AA19)-MOD((Lists!M$24-$AA19),$Z19))-$Z19)&gt;=0)*(EDATE($G19,(((Lists!M$24-$AA19)-MOD((Lists!M$24-$AA19),$Z19))-$Z19))&gt;Lists!M$23)*(EDATE($G19,(((Lists!M$24-$AA19)-MOD((Lists!M$24-$AA19),$Z19))-$Z19))&lt;=Lists!M$21)*(EDATE($G19,(((Lists!M$24-$AA19)-MOD((Lists!M$24-$AA19),$Z19))-$Z19))&lt;=$AB19)))))</f>
        <v>0</v>
      </c>
      <c r="U19" s="53" t="n">
        <f aca="false">IF(OR(N($E19)=0,$G19=""),0,$I19*IF($F19="Weekly",((Lists!N$21-MOD(Lists!N$21-$G19,7))&gt;=$G19)*((Lists!N$21-MOD(Lists!N$21-$G19,7))&lt;=$AB19),IF($F19="One-off",($G19&gt;Lists!N$23)*($G19&lt;=Lists!N$21),IF($F19="",0,(((Lists!N$24-$AA19)-MOD((Lists!N$24-$AA19),$Z19))&gt;=0)*(EDATE($G19,((Lists!N$24-$AA19)-MOD((Lists!N$24-$AA19),$Z19)))&gt;Lists!N$23)*(EDATE($G19,((Lists!N$24-$AA19)-MOD((Lists!N$24-$AA19),$Z19)))&lt;=Lists!N$21)*(EDATE($G19,((Lists!N$24-$AA19)-MOD((Lists!N$24-$AA19),$Z19)))&lt;=$AB19)+((((Lists!N$24-$AA19)-MOD((Lists!N$24-$AA19),$Z19))-$Z19)&gt;=0)*(EDATE($G19,(((Lists!N$24-$AA19)-MOD((Lists!N$24-$AA19),$Z19))-$Z19))&gt;Lists!N$23)*(EDATE($G19,(((Lists!N$24-$AA19)-MOD((Lists!N$24-$AA19),$Z19))-$Z19))&lt;=Lists!N$21)*(EDATE($G19,(((Lists!N$24-$AA19)-MOD((Lists!N$24-$AA19),$Z19))-$Z19))&lt;=$AB19)))))</f>
        <v>3600</v>
      </c>
      <c r="V19" s="53" t="n">
        <f aca="false">IF(OR(N($E19)=0,$G19=""),0,$I19*IF($F19="Weekly",((Lists!O$21-MOD(Lists!O$21-$G19,7))&gt;=$G19)*((Lists!O$21-MOD(Lists!O$21-$G19,7))&lt;=$AB19),IF($F19="One-off",($G19&gt;Lists!O$23)*($G19&lt;=Lists!O$21),IF($F19="",0,(((Lists!O$24-$AA19)-MOD((Lists!O$24-$AA19),$Z19))&gt;=0)*(EDATE($G19,((Lists!O$24-$AA19)-MOD((Lists!O$24-$AA19),$Z19)))&gt;Lists!O$23)*(EDATE($G19,((Lists!O$24-$AA19)-MOD((Lists!O$24-$AA19),$Z19)))&lt;=Lists!O$21)*(EDATE($G19,((Lists!O$24-$AA19)-MOD((Lists!O$24-$AA19),$Z19)))&lt;=$AB19)+((((Lists!O$24-$AA19)-MOD((Lists!O$24-$AA19),$Z19))-$Z19)&gt;=0)*(EDATE($G19,(((Lists!O$24-$AA19)-MOD((Lists!O$24-$AA19),$Z19))-$Z19))&gt;Lists!O$23)*(EDATE($G19,(((Lists!O$24-$AA19)-MOD((Lists!O$24-$AA19),$Z19))-$Z19))&lt;=Lists!O$21)*(EDATE($G19,(((Lists!O$24-$AA19)-MOD((Lists!O$24-$AA19),$Z19))-$Z19))&lt;=$AB19)))))</f>
        <v>0</v>
      </c>
      <c r="W19" s="46" t="n">
        <f aca="false">SUM(J19:V19)</f>
        <v>10800</v>
      </c>
      <c r="X19" s="2"/>
      <c r="Y19" s="104" t="n">
        <f aca="false">IF(AND(Setup!$D$16="Yes",D19&lt;&gt;"No"),1+Setup!$D$17,1)</f>
        <v>1.2</v>
      </c>
      <c r="Z19" s="94" t="n">
        <f aca="false">IF(F19="Quarterly",3,IF(F19="Annually",12,1))</f>
        <v>1</v>
      </c>
      <c r="AA19" s="94" t="n">
        <f aca="false">IF(G19="",0,YEAR(G19)*12+MONTH(G19))</f>
        <v>24323</v>
      </c>
      <c r="AB19" s="93" t="n">
        <f aca="false">IF(H19="",2958465,H19)</f>
        <v>2958465</v>
      </c>
      <c r="AC19" s="95" t="str">
        <f aca="false">IF(C19="","Other overheads",C19)</f>
        <v>Other overheads</v>
      </c>
    </row>
    <row r="20" customFormat="false" ht="15" hidden="false" customHeight="false" outlineLevel="0" collapsed="false">
      <c r="A20" s="87" t="n">
        <v>12</v>
      </c>
      <c r="B20" s="55"/>
      <c r="C20" s="55"/>
      <c r="D20" s="58"/>
      <c r="E20" s="88"/>
      <c r="F20" s="58"/>
      <c r="G20" s="90"/>
      <c r="H20" s="90"/>
      <c r="I20" s="92" t="n">
        <f aca="false">N(E20)*Y20</f>
        <v>0</v>
      </c>
      <c r="J20" s="53" t="n">
        <f aca="false">IF(OR(N($E20)=0,$G20=""),0,$I20*IF($F20="Weekly",((Lists!C$21-MOD(Lists!C$21-$G20,7))&gt;=$G20)*((Lists!C$21-MOD(Lists!C$21-$G20,7))&lt;=$AB20),IF($F20="One-off",($G20&gt;Lists!C$23)*($G20&lt;=Lists!C$21),IF($F20="",0,(((Lists!C$24-$AA20)-MOD((Lists!C$24-$AA20),$Z20))&gt;=0)*(EDATE($G20,((Lists!C$24-$AA20)-MOD((Lists!C$24-$AA20),$Z20)))&gt;Lists!C$23)*(EDATE($G20,((Lists!C$24-$AA20)-MOD((Lists!C$24-$AA20),$Z20)))&lt;=Lists!C$21)*(EDATE($G20,((Lists!C$24-$AA20)-MOD((Lists!C$24-$AA20),$Z20)))&lt;=$AB20)+((((Lists!C$24-$AA20)-MOD((Lists!C$24-$AA20),$Z20))-$Z20)&gt;=0)*(EDATE($G20,(((Lists!C$24-$AA20)-MOD((Lists!C$24-$AA20),$Z20))-$Z20))&gt;Lists!C$23)*(EDATE($G20,(((Lists!C$24-$AA20)-MOD((Lists!C$24-$AA20),$Z20))-$Z20))&lt;=Lists!C$21)*(EDATE($G20,(((Lists!C$24-$AA20)-MOD((Lists!C$24-$AA20),$Z20))-$Z20))&lt;=$AB20)))))</f>
        <v>0</v>
      </c>
      <c r="K20" s="53" t="n">
        <f aca="false">IF(OR(N($E20)=0,$G20=""),0,$I20*IF($F20="Weekly",((Lists!D$21-MOD(Lists!D$21-$G20,7))&gt;=$G20)*((Lists!D$21-MOD(Lists!D$21-$G20,7))&lt;=$AB20),IF($F20="One-off",($G20&gt;Lists!D$23)*($G20&lt;=Lists!D$21),IF($F20="",0,(((Lists!D$24-$AA20)-MOD((Lists!D$24-$AA20),$Z20))&gt;=0)*(EDATE($G20,((Lists!D$24-$AA20)-MOD((Lists!D$24-$AA20),$Z20)))&gt;Lists!D$23)*(EDATE($G20,((Lists!D$24-$AA20)-MOD((Lists!D$24-$AA20),$Z20)))&lt;=Lists!D$21)*(EDATE($G20,((Lists!D$24-$AA20)-MOD((Lists!D$24-$AA20),$Z20)))&lt;=$AB20)+((((Lists!D$24-$AA20)-MOD((Lists!D$24-$AA20),$Z20))-$Z20)&gt;=0)*(EDATE($G20,(((Lists!D$24-$AA20)-MOD((Lists!D$24-$AA20),$Z20))-$Z20))&gt;Lists!D$23)*(EDATE($G20,(((Lists!D$24-$AA20)-MOD((Lists!D$24-$AA20),$Z20))-$Z20))&lt;=Lists!D$21)*(EDATE($G20,(((Lists!D$24-$AA20)-MOD((Lists!D$24-$AA20),$Z20))-$Z20))&lt;=$AB20)))))</f>
        <v>0</v>
      </c>
      <c r="L20" s="53" t="n">
        <f aca="false">IF(OR(N($E20)=0,$G20=""),0,$I20*IF($F20="Weekly",((Lists!E$21-MOD(Lists!E$21-$G20,7))&gt;=$G20)*((Lists!E$21-MOD(Lists!E$21-$G20,7))&lt;=$AB20),IF($F20="One-off",($G20&gt;Lists!E$23)*($G20&lt;=Lists!E$21),IF($F20="",0,(((Lists!E$24-$AA20)-MOD((Lists!E$24-$AA20),$Z20))&gt;=0)*(EDATE($G20,((Lists!E$24-$AA20)-MOD((Lists!E$24-$AA20),$Z20)))&gt;Lists!E$23)*(EDATE($G20,((Lists!E$24-$AA20)-MOD((Lists!E$24-$AA20),$Z20)))&lt;=Lists!E$21)*(EDATE($G20,((Lists!E$24-$AA20)-MOD((Lists!E$24-$AA20),$Z20)))&lt;=$AB20)+((((Lists!E$24-$AA20)-MOD((Lists!E$24-$AA20),$Z20))-$Z20)&gt;=0)*(EDATE($G20,(((Lists!E$24-$AA20)-MOD((Lists!E$24-$AA20),$Z20))-$Z20))&gt;Lists!E$23)*(EDATE($G20,(((Lists!E$24-$AA20)-MOD((Lists!E$24-$AA20),$Z20))-$Z20))&lt;=Lists!E$21)*(EDATE($G20,(((Lists!E$24-$AA20)-MOD((Lists!E$24-$AA20),$Z20))-$Z20))&lt;=$AB20)))))</f>
        <v>0</v>
      </c>
      <c r="M20" s="53" t="n">
        <f aca="false">IF(OR(N($E20)=0,$G20=""),0,$I20*IF($F20="Weekly",((Lists!F$21-MOD(Lists!F$21-$G20,7))&gt;=$G20)*((Lists!F$21-MOD(Lists!F$21-$G20,7))&lt;=$AB20),IF($F20="One-off",($G20&gt;Lists!F$23)*($G20&lt;=Lists!F$21),IF($F20="",0,(((Lists!F$24-$AA20)-MOD((Lists!F$24-$AA20),$Z20))&gt;=0)*(EDATE($G20,((Lists!F$24-$AA20)-MOD((Lists!F$24-$AA20),$Z20)))&gt;Lists!F$23)*(EDATE($G20,((Lists!F$24-$AA20)-MOD((Lists!F$24-$AA20),$Z20)))&lt;=Lists!F$21)*(EDATE($G20,((Lists!F$24-$AA20)-MOD((Lists!F$24-$AA20),$Z20)))&lt;=$AB20)+((((Lists!F$24-$AA20)-MOD((Lists!F$24-$AA20),$Z20))-$Z20)&gt;=0)*(EDATE($G20,(((Lists!F$24-$AA20)-MOD((Lists!F$24-$AA20),$Z20))-$Z20))&gt;Lists!F$23)*(EDATE($G20,(((Lists!F$24-$AA20)-MOD((Lists!F$24-$AA20),$Z20))-$Z20))&lt;=Lists!F$21)*(EDATE($G20,(((Lists!F$24-$AA20)-MOD((Lists!F$24-$AA20),$Z20))-$Z20))&lt;=$AB20)))))</f>
        <v>0</v>
      </c>
      <c r="N20" s="53" t="n">
        <f aca="false">IF(OR(N($E20)=0,$G20=""),0,$I20*IF($F20="Weekly",((Lists!G$21-MOD(Lists!G$21-$G20,7))&gt;=$G20)*((Lists!G$21-MOD(Lists!G$21-$G20,7))&lt;=$AB20),IF($F20="One-off",($G20&gt;Lists!G$23)*($G20&lt;=Lists!G$21),IF($F20="",0,(((Lists!G$24-$AA20)-MOD((Lists!G$24-$AA20),$Z20))&gt;=0)*(EDATE($G20,((Lists!G$24-$AA20)-MOD((Lists!G$24-$AA20),$Z20)))&gt;Lists!G$23)*(EDATE($G20,((Lists!G$24-$AA20)-MOD((Lists!G$24-$AA20),$Z20)))&lt;=Lists!G$21)*(EDATE($G20,((Lists!G$24-$AA20)-MOD((Lists!G$24-$AA20),$Z20)))&lt;=$AB20)+((((Lists!G$24-$AA20)-MOD((Lists!G$24-$AA20),$Z20))-$Z20)&gt;=0)*(EDATE($G20,(((Lists!G$24-$AA20)-MOD((Lists!G$24-$AA20),$Z20))-$Z20))&gt;Lists!G$23)*(EDATE($G20,(((Lists!G$24-$AA20)-MOD((Lists!G$24-$AA20),$Z20))-$Z20))&lt;=Lists!G$21)*(EDATE($G20,(((Lists!G$24-$AA20)-MOD((Lists!G$24-$AA20),$Z20))-$Z20))&lt;=$AB20)))))</f>
        <v>0</v>
      </c>
      <c r="O20" s="53" t="n">
        <f aca="false">IF(OR(N($E20)=0,$G20=""),0,$I20*IF($F20="Weekly",((Lists!H$21-MOD(Lists!H$21-$G20,7))&gt;=$G20)*((Lists!H$21-MOD(Lists!H$21-$G20,7))&lt;=$AB20),IF($F20="One-off",($G20&gt;Lists!H$23)*($G20&lt;=Lists!H$21),IF($F20="",0,(((Lists!H$24-$AA20)-MOD((Lists!H$24-$AA20),$Z20))&gt;=0)*(EDATE($G20,((Lists!H$24-$AA20)-MOD((Lists!H$24-$AA20),$Z20)))&gt;Lists!H$23)*(EDATE($G20,((Lists!H$24-$AA20)-MOD((Lists!H$24-$AA20),$Z20)))&lt;=Lists!H$21)*(EDATE($G20,((Lists!H$24-$AA20)-MOD((Lists!H$24-$AA20),$Z20)))&lt;=$AB20)+((((Lists!H$24-$AA20)-MOD((Lists!H$24-$AA20),$Z20))-$Z20)&gt;=0)*(EDATE($G20,(((Lists!H$24-$AA20)-MOD((Lists!H$24-$AA20),$Z20))-$Z20))&gt;Lists!H$23)*(EDATE($G20,(((Lists!H$24-$AA20)-MOD((Lists!H$24-$AA20),$Z20))-$Z20))&lt;=Lists!H$21)*(EDATE($G20,(((Lists!H$24-$AA20)-MOD((Lists!H$24-$AA20),$Z20))-$Z20))&lt;=$AB20)))))</f>
        <v>0</v>
      </c>
      <c r="P20" s="53" t="n">
        <f aca="false">IF(OR(N($E20)=0,$G20=""),0,$I20*IF($F20="Weekly",((Lists!I$21-MOD(Lists!I$21-$G20,7))&gt;=$G20)*((Lists!I$21-MOD(Lists!I$21-$G20,7))&lt;=$AB20),IF($F20="One-off",($G20&gt;Lists!I$23)*($G20&lt;=Lists!I$21),IF($F20="",0,(((Lists!I$24-$AA20)-MOD((Lists!I$24-$AA20),$Z20))&gt;=0)*(EDATE($G20,((Lists!I$24-$AA20)-MOD((Lists!I$24-$AA20),$Z20)))&gt;Lists!I$23)*(EDATE($G20,((Lists!I$24-$AA20)-MOD((Lists!I$24-$AA20),$Z20)))&lt;=Lists!I$21)*(EDATE($G20,((Lists!I$24-$AA20)-MOD((Lists!I$24-$AA20),$Z20)))&lt;=$AB20)+((((Lists!I$24-$AA20)-MOD((Lists!I$24-$AA20),$Z20))-$Z20)&gt;=0)*(EDATE($G20,(((Lists!I$24-$AA20)-MOD((Lists!I$24-$AA20),$Z20))-$Z20))&gt;Lists!I$23)*(EDATE($G20,(((Lists!I$24-$AA20)-MOD((Lists!I$24-$AA20),$Z20))-$Z20))&lt;=Lists!I$21)*(EDATE($G20,(((Lists!I$24-$AA20)-MOD((Lists!I$24-$AA20),$Z20))-$Z20))&lt;=$AB20)))))</f>
        <v>0</v>
      </c>
      <c r="Q20" s="53" t="n">
        <f aca="false">IF(OR(N($E20)=0,$G20=""),0,$I20*IF($F20="Weekly",((Lists!J$21-MOD(Lists!J$21-$G20,7))&gt;=$G20)*((Lists!J$21-MOD(Lists!J$21-$G20,7))&lt;=$AB20),IF($F20="One-off",($G20&gt;Lists!J$23)*($G20&lt;=Lists!J$21),IF($F20="",0,(((Lists!J$24-$AA20)-MOD((Lists!J$24-$AA20),$Z20))&gt;=0)*(EDATE($G20,((Lists!J$24-$AA20)-MOD((Lists!J$24-$AA20),$Z20)))&gt;Lists!J$23)*(EDATE($G20,((Lists!J$24-$AA20)-MOD((Lists!J$24-$AA20),$Z20)))&lt;=Lists!J$21)*(EDATE($G20,((Lists!J$24-$AA20)-MOD((Lists!J$24-$AA20),$Z20)))&lt;=$AB20)+((((Lists!J$24-$AA20)-MOD((Lists!J$24-$AA20),$Z20))-$Z20)&gt;=0)*(EDATE($G20,(((Lists!J$24-$AA20)-MOD((Lists!J$24-$AA20),$Z20))-$Z20))&gt;Lists!J$23)*(EDATE($G20,(((Lists!J$24-$AA20)-MOD((Lists!J$24-$AA20),$Z20))-$Z20))&lt;=Lists!J$21)*(EDATE($G20,(((Lists!J$24-$AA20)-MOD((Lists!J$24-$AA20),$Z20))-$Z20))&lt;=$AB20)))))</f>
        <v>0</v>
      </c>
      <c r="R20" s="53" t="n">
        <f aca="false">IF(OR(N($E20)=0,$G20=""),0,$I20*IF($F20="Weekly",((Lists!K$21-MOD(Lists!K$21-$G20,7))&gt;=$G20)*((Lists!K$21-MOD(Lists!K$21-$G20,7))&lt;=$AB20),IF($F20="One-off",($G20&gt;Lists!K$23)*($G20&lt;=Lists!K$21),IF($F20="",0,(((Lists!K$24-$AA20)-MOD((Lists!K$24-$AA20),$Z20))&gt;=0)*(EDATE($G20,((Lists!K$24-$AA20)-MOD((Lists!K$24-$AA20),$Z20)))&gt;Lists!K$23)*(EDATE($G20,((Lists!K$24-$AA20)-MOD((Lists!K$24-$AA20),$Z20)))&lt;=Lists!K$21)*(EDATE($G20,((Lists!K$24-$AA20)-MOD((Lists!K$24-$AA20),$Z20)))&lt;=$AB20)+((((Lists!K$24-$AA20)-MOD((Lists!K$24-$AA20),$Z20))-$Z20)&gt;=0)*(EDATE($G20,(((Lists!K$24-$AA20)-MOD((Lists!K$24-$AA20),$Z20))-$Z20))&gt;Lists!K$23)*(EDATE($G20,(((Lists!K$24-$AA20)-MOD((Lists!K$24-$AA20),$Z20))-$Z20))&lt;=Lists!K$21)*(EDATE($G20,(((Lists!K$24-$AA20)-MOD((Lists!K$24-$AA20),$Z20))-$Z20))&lt;=$AB20)))))</f>
        <v>0</v>
      </c>
      <c r="S20" s="53" t="n">
        <f aca="false">IF(OR(N($E20)=0,$G20=""),0,$I20*IF($F20="Weekly",((Lists!L$21-MOD(Lists!L$21-$G20,7))&gt;=$G20)*((Lists!L$21-MOD(Lists!L$21-$G20,7))&lt;=$AB20),IF($F20="One-off",($G20&gt;Lists!L$23)*($G20&lt;=Lists!L$21),IF($F20="",0,(((Lists!L$24-$AA20)-MOD((Lists!L$24-$AA20),$Z20))&gt;=0)*(EDATE($G20,((Lists!L$24-$AA20)-MOD((Lists!L$24-$AA20),$Z20)))&gt;Lists!L$23)*(EDATE($G20,((Lists!L$24-$AA20)-MOD((Lists!L$24-$AA20),$Z20)))&lt;=Lists!L$21)*(EDATE($G20,((Lists!L$24-$AA20)-MOD((Lists!L$24-$AA20),$Z20)))&lt;=$AB20)+((((Lists!L$24-$AA20)-MOD((Lists!L$24-$AA20),$Z20))-$Z20)&gt;=0)*(EDATE($G20,(((Lists!L$24-$AA20)-MOD((Lists!L$24-$AA20),$Z20))-$Z20))&gt;Lists!L$23)*(EDATE($G20,(((Lists!L$24-$AA20)-MOD((Lists!L$24-$AA20),$Z20))-$Z20))&lt;=Lists!L$21)*(EDATE($G20,(((Lists!L$24-$AA20)-MOD((Lists!L$24-$AA20),$Z20))-$Z20))&lt;=$AB20)))))</f>
        <v>0</v>
      </c>
      <c r="T20" s="53" t="n">
        <f aca="false">IF(OR(N($E20)=0,$G20=""),0,$I20*IF($F20="Weekly",((Lists!M$21-MOD(Lists!M$21-$G20,7))&gt;=$G20)*((Lists!M$21-MOD(Lists!M$21-$G20,7))&lt;=$AB20),IF($F20="One-off",($G20&gt;Lists!M$23)*($G20&lt;=Lists!M$21),IF($F20="",0,(((Lists!M$24-$AA20)-MOD((Lists!M$24-$AA20),$Z20))&gt;=0)*(EDATE($G20,((Lists!M$24-$AA20)-MOD((Lists!M$24-$AA20),$Z20)))&gt;Lists!M$23)*(EDATE($G20,((Lists!M$24-$AA20)-MOD((Lists!M$24-$AA20),$Z20)))&lt;=Lists!M$21)*(EDATE($G20,((Lists!M$24-$AA20)-MOD((Lists!M$24-$AA20),$Z20)))&lt;=$AB20)+((((Lists!M$24-$AA20)-MOD((Lists!M$24-$AA20),$Z20))-$Z20)&gt;=0)*(EDATE($G20,(((Lists!M$24-$AA20)-MOD((Lists!M$24-$AA20),$Z20))-$Z20))&gt;Lists!M$23)*(EDATE($G20,(((Lists!M$24-$AA20)-MOD((Lists!M$24-$AA20),$Z20))-$Z20))&lt;=Lists!M$21)*(EDATE($G20,(((Lists!M$24-$AA20)-MOD((Lists!M$24-$AA20),$Z20))-$Z20))&lt;=$AB20)))))</f>
        <v>0</v>
      </c>
      <c r="U20" s="53" t="n">
        <f aca="false">IF(OR(N($E20)=0,$G20=""),0,$I20*IF($F20="Weekly",((Lists!N$21-MOD(Lists!N$21-$G20,7))&gt;=$G20)*((Lists!N$21-MOD(Lists!N$21-$G20,7))&lt;=$AB20),IF($F20="One-off",($G20&gt;Lists!N$23)*($G20&lt;=Lists!N$21),IF($F20="",0,(((Lists!N$24-$AA20)-MOD((Lists!N$24-$AA20),$Z20))&gt;=0)*(EDATE($G20,((Lists!N$24-$AA20)-MOD((Lists!N$24-$AA20),$Z20)))&gt;Lists!N$23)*(EDATE($G20,((Lists!N$24-$AA20)-MOD((Lists!N$24-$AA20),$Z20)))&lt;=Lists!N$21)*(EDATE($G20,((Lists!N$24-$AA20)-MOD((Lists!N$24-$AA20),$Z20)))&lt;=$AB20)+((((Lists!N$24-$AA20)-MOD((Lists!N$24-$AA20),$Z20))-$Z20)&gt;=0)*(EDATE($G20,(((Lists!N$24-$AA20)-MOD((Lists!N$24-$AA20),$Z20))-$Z20))&gt;Lists!N$23)*(EDATE($G20,(((Lists!N$24-$AA20)-MOD((Lists!N$24-$AA20),$Z20))-$Z20))&lt;=Lists!N$21)*(EDATE($G20,(((Lists!N$24-$AA20)-MOD((Lists!N$24-$AA20),$Z20))-$Z20))&lt;=$AB20)))))</f>
        <v>0</v>
      </c>
      <c r="V20" s="53" t="n">
        <f aca="false">IF(OR(N($E20)=0,$G20=""),0,$I20*IF($F20="Weekly",((Lists!O$21-MOD(Lists!O$21-$G20,7))&gt;=$G20)*((Lists!O$21-MOD(Lists!O$21-$G20,7))&lt;=$AB20),IF($F20="One-off",($G20&gt;Lists!O$23)*($G20&lt;=Lists!O$21),IF($F20="",0,(((Lists!O$24-$AA20)-MOD((Lists!O$24-$AA20),$Z20))&gt;=0)*(EDATE($G20,((Lists!O$24-$AA20)-MOD((Lists!O$24-$AA20),$Z20)))&gt;Lists!O$23)*(EDATE($G20,((Lists!O$24-$AA20)-MOD((Lists!O$24-$AA20),$Z20)))&lt;=Lists!O$21)*(EDATE($G20,((Lists!O$24-$AA20)-MOD((Lists!O$24-$AA20),$Z20)))&lt;=$AB20)+((((Lists!O$24-$AA20)-MOD((Lists!O$24-$AA20),$Z20))-$Z20)&gt;=0)*(EDATE($G20,(((Lists!O$24-$AA20)-MOD((Lists!O$24-$AA20),$Z20))-$Z20))&gt;Lists!O$23)*(EDATE($G20,(((Lists!O$24-$AA20)-MOD((Lists!O$24-$AA20),$Z20))-$Z20))&lt;=Lists!O$21)*(EDATE($G20,(((Lists!O$24-$AA20)-MOD((Lists!O$24-$AA20),$Z20))-$Z20))&lt;=$AB20)))))</f>
        <v>0</v>
      </c>
      <c r="W20" s="46" t="n">
        <f aca="false">SUM(J20:V20)</f>
        <v>0</v>
      </c>
      <c r="X20" s="2"/>
      <c r="Y20" s="104" t="n">
        <f aca="false">IF(AND(Setup!$D$16="Yes",D20&lt;&gt;"No"),1+Setup!$D$17,1)</f>
        <v>1.2</v>
      </c>
      <c r="Z20" s="94" t="n">
        <f aca="false">IF(F20="Quarterly",3,IF(F20="Annually",12,1))</f>
        <v>1</v>
      </c>
      <c r="AA20" s="94" t="n">
        <f aca="false">IF(G20="",0,YEAR(G20)*12+MONTH(G20))</f>
        <v>0</v>
      </c>
      <c r="AB20" s="93" t="n">
        <f aca="false">IF(H20="",2958465,H20)</f>
        <v>2958465</v>
      </c>
      <c r="AC20" s="95" t="str">
        <f aca="false">IF(C20="","Other overheads",C20)</f>
        <v>Other overheads</v>
      </c>
    </row>
    <row r="21" customFormat="false" ht="15" hidden="false" customHeight="false" outlineLevel="0" collapsed="false">
      <c r="A21" s="87" t="n">
        <v>13</v>
      </c>
      <c r="B21" s="55"/>
      <c r="C21" s="55"/>
      <c r="D21" s="58"/>
      <c r="E21" s="88"/>
      <c r="F21" s="58"/>
      <c r="G21" s="90"/>
      <c r="H21" s="90"/>
      <c r="I21" s="92" t="n">
        <f aca="false">N(E21)*Y21</f>
        <v>0</v>
      </c>
      <c r="J21" s="53" t="n">
        <f aca="false">IF(OR(N($E21)=0,$G21=""),0,$I21*IF($F21="Weekly",((Lists!C$21-MOD(Lists!C$21-$G21,7))&gt;=$G21)*((Lists!C$21-MOD(Lists!C$21-$G21,7))&lt;=$AB21),IF($F21="One-off",($G21&gt;Lists!C$23)*($G21&lt;=Lists!C$21),IF($F21="",0,(((Lists!C$24-$AA21)-MOD((Lists!C$24-$AA21),$Z21))&gt;=0)*(EDATE($G21,((Lists!C$24-$AA21)-MOD((Lists!C$24-$AA21),$Z21)))&gt;Lists!C$23)*(EDATE($G21,((Lists!C$24-$AA21)-MOD((Lists!C$24-$AA21),$Z21)))&lt;=Lists!C$21)*(EDATE($G21,((Lists!C$24-$AA21)-MOD((Lists!C$24-$AA21),$Z21)))&lt;=$AB21)+((((Lists!C$24-$AA21)-MOD((Lists!C$24-$AA21),$Z21))-$Z21)&gt;=0)*(EDATE($G21,(((Lists!C$24-$AA21)-MOD((Lists!C$24-$AA21),$Z21))-$Z21))&gt;Lists!C$23)*(EDATE($G21,(((Lists!C$24-$AA21)-MOD((Lists!C$24-$AA21),$Z21))-$Z21))&lt;=Lists!C$21)*(EDATE($G21,(((Lists!C$24-$AA21)-MOD((Lists!C$24-$AA21),$Z21))-$Z21))&lt;=$AB21)))))</f>
        <v>0</v>
      </c>
      <c r="K21" s="53" t="n">
        <f aca="false">IF(OR(N($E21)=0,$G21=""),0,$I21*IF($F21="Weekly",((Lists!D$21-MOD(Lists!D$21-$G21,7))&gt;=$G21)*((Lists!D$21-MOD(Lists!D$21-$G21,7))&lt;=$AB21),IF($F21="One-off",($G21&gt;Lists!D$23)*($G21&lt;=Lists!D$21),IF($F21="",0,(((Lists!D$24-$AA21)-MOD((Lists!D$24-$AA21),$Z21))&gt;=0)*(EDATE($G21,((Lists!D$24-$AA21)-MOD((Lists!D$24-$AA21),$Z21)))&gt;Lists!D$23)*(EDATE($G21,((Lists!D$24-$AA21)-MOD((Lists!D$24-$AA21),$Z21)))&lt;=Lists!D$21)*(EDATE($G21,((Lists!D$24-$AA21)-MOD((Lists!D$24-$AA21),$Z21)))&lt;=$AB21)+((((Lists!D$24-$AA21)-MOD((Lists!D$24-$AA21),$Z21))-$Z21)&gt;=0)*(EDATE($G21,(((Lists!D$24-$AA21)-MOD((Lists!D$24-$AA21),$Z21))-$Z21))&gt;Lists!D$23)*(EDATE($G21,(((Lists!D$24-$AA21)-MOD((Lists!D$24-$AA21),$Z21))-$Z21))&lt;=Lists!D$21)*(EDATE($G21,(((Lists!D$24-$AA21)-MOD((Lists!D$24-$AA21),$Z21))-$Z21))&lt;=$AB21)))))</f>
        <v>0</v>
      </c>
      <c r="L21" s="53" t="n">
        <f aca="false">IF(OR(N($E21)=0,$G21=""),0,$I21*IF($F21="Weekly",((Lists!E$21-MOD(Lists!E$21-$G21,7))&gt;=$G21)*((Lists!E$21-MOD(Lists!E$21-$G21,7))&lt;=$AB21),IF($F21="One-off",($G21&gt;Lists!E$23)*($G21&lt;=Lists!E$21),IF($F21="",0,(((Lists!E$24-$AA21)-MOD((Lists!E$24-$AA21),$Z21))&gt;=0)*(EDATE($G21,((Lists!E$24-$AA21)-MOD((Lists!E$24-$AA21),$Z21)))&gt;Lists!E$23)*(EDATE($G21,((Lists!E$24-$AA21)-MOD((Lists!E$24-$AA21),$Z21)))&lt;=Lists!E$21)*(EDATE($G21,((Lists!E$24-$AA21)-MOD((Lists!E$24-$AA21),$Z21)))&lt;=$AB21)+((((Lists!E$24-$AA21)-MOD((Lists!E$24-$AA21),$Z21))-$Z21)&gt;=0)*(EDATE($G21,(((Lists!E$24-$AA21)-MOD((Lists!E$24-$AA21),$Z21))-$Z21))&gt;Lists!E$23)*(EDATE($G21,(((Lists!E$24-$AA21)-MOD((Lists!E$24-$AA21),$Z21))-$Z21))&lt;=Lists!E$21)*(EDATE($G21,(((Lists!E$24-$AA21)-MOD((Lists!E$24-$AA21),$Z21))-$Z21))&lt;=$AB21)))))</f>
        <v>0</v>
      </c>
      <c r="M21" s="53" t="n">
        <f aca="false">IF(OR(N($E21)=0,$G21=""),0,$I21*IF($F21="Weekly",((Lists!F$21-MOD(Lists!F$21-$G21,7))&gt;=$G21)*((Lists!F$21-MOD(Lists!F$21-$G21,7))&lt;=$AB21),IF($F21="One-off",($G21&gt;Lists!F$23)*($G21&lt;=Lists!F$21),IF($F21="",0,(((Lists!F$24-$AA21)-MOD((Lists!F$24-$AA21),$Z21))&gt;=0)*(EDATE($G21,((Lists!F$24-$AA21)-MOD((Lists!F$24-$AA21),$Z21)))&gt;Lists!F$23)*(EDATE($G21,((Lists!F$24-$AA21)-MOD((Lists!F$24-$AA21),$Z21)))&lt;=Lists!F$21)*(EDATE($G21,((Lists!F$24-$AA21)-MOD((Lists!F$24-$AA21),$Z21)))&lt;=$AB21)+((((Lists!F$24-$AA21)-MOD((Lists!F$24-$AA21),$Z21))-$Z21)&gt;=0)*(EDATE($G21,(((Lists!F$24-$AA21)-MOD((Lists!F$24-$AA21),$Z21))-$Z21))&gt;Lists!F$23)*(EDATE($G21,(((Lists!F$24-$AA21)-MOD((Lists!F$24-$AA21),$Z21))-$Z21))&lt;=Lists!F$21)*(EDATE($G21,(((Lists!F$24-$AA21)-MOD((Lists!F$24-$AA21),$Z21))-$Z21))&lt;=$AB21)))))</f>
        <v>0</v>
      </c>
      <c r="N21" s="53" t="n">
        <f aca="false">IF(OR(N($E21)=0,$G21=""),0,$I21*IF($F21="Weekly",((Lists!G$21-MOD(Lists!G$21-$G21,7))&gt;=$G21)*((Lists!G$21-MOD(Lists!G$21-$G21,7))&lt;=$AB21),IF($F21="One-off",($G21&gt;Lists!G$23)*($G21&lt;=Lists!G$21),IF($F21="",0,(((Lists!G$24-$AA21)-MOD((Lists!G$24-$AA21),$Z21))&gt;=0)*(EDATE($G21,((Lists!G$24-$AA21)-MOD((Lists!G$24-$AA21),$Z21)))&gt;Lists!G$23)*(EDATE($G21,((Lists!G$24-$AA21)-MOD((Lists!G$24-$AA21),$Z21)))&lt;=Lists!G$21)*(EDATE($G21,((Lists!G$24-$AA21)-MOD((Lists!G$24-$AA21),$Z21)))&lt;=$AB21)+((((Lists!G$24-$AA21)-MOD((Lists!G$24-$AA21),$Z21))-$Z21)&gt;=0)*(EDATE($G21,(((Lists!G$24-$AA21)-MOD((Lists!G$24-$AA21),$Z21))-$Z21))&gt;Lists!G$23)*(EDATE($G21,(((Lists!G$24-$AA21)-MOD((Lists!G$24-$AA21),$Z21))-$Z21))&lt;=Lists!G$21)*(EDATE($G21,(((Lists!G$24-$AA21)-MOD((Lists!G$24-$AA21),$Z21))-$Z21))&lt;=$AB21)))))</f>
        <v>0</v>
      </c>
      <c r="O21" s="53" t="n">
        <f aca="false">IF(OR(N($E21)=0,$G21=""),0,$I21*IF($F21="Weekly",((Lists!H$21-MOD(Lists!H$21-$G21,7))&gt;=$G21)*((Lists!H$21-MOD(Lists!H$21-$G21,7))&lt;=$AB21),IF($F21="One-off",($G21&gt;Lists!H$23)*($G21&lt;=Lists!H$21),IF($F21="",0,(((Lists!H$24-$AA21)-MOD((Lists!H$24-$AA21),$Z21))&gt;=0)*(EDATE($G21,((Lists!H$24-$AA21)-MOD((Lists!H$24-$AA21),$Z21)))&gt;Lists!H$23)*(EDATE($G21,((Lists!H$24-$AA21)-MOD((Lists!H$24-$AA21),$Z21)))&lt;=Lists!H$21)*(EDATE($G21,((Lists!H$24-$AA21)-MOD((Lists!H$24-$AA21),$Z21)))&lt;=$AB21)+((((Lists!H$24-$AA21)-MOD((Lists!H$24-$AA21),$Z21))-$Z21)&gt;=0)*(EDATE($G21,(((Lists!H$24-$AA21)-MOD((Lists!H$24-$AA21),$Z21))-$Z21))&gt;Lists!H$23)*(EDATE($G21,(((Lists!H$24-$AA21)-MOD((Lists!H$24-$AA21),$Z21))-$Z21))&lt;=Lists!H$21)*(EDATE($G21,(((Lists!H$24-$AA21)-MOD((Lists!H$24-$AA21),$Z21))-$Z21))&lt;=$AB21)))))</f>
        <v>0</v>
      </c>
      <c r="P21" s="53" t="n">
        <f aca="false">IF(OR(N($E21)=0,$G21=""),0,$I21*IF($F21="Weekly",((Lists!I$21-MOD(Lists!I$21-$G21,7))&gt;=$G21)*((Lists!I$21-MOD(Lists!I$21-$G21,7))&lt;=$AB21),IF($F21="One-off",($G21&gt;Lists!I$23)*($G21&lt;=Lists!I$21),IF($F21="",0,(((Lists!I$24-$AA21)-MOD((Lists!I$24-$AA21),$Z21))&gt;=0)*(EDATE($G21,((Lists!I$24-$AA21)-MOD((Lists!I$24-$AA21),$Z21)))&gt;Lists!I$23)*(EDATE($G21,((Lists!I$24-$AA21)-MOD((Lists!I$24-$AA21),$Z21)))&lt;=Lists!I$21)*(EDATE($G21,((Lists!I$24-$AA21)-MOD((Lists!I$24-$AA21),$Z21)))&lt;=$AB21)+((((Lists!I$24-$AA21)-MOD((Lists!I$24-$AA21),$Z21))-$Z21)&gt;=0)*(EDATE($G21,(((Lists!I$24-$AA21)-MOD((Lists!I$24-$AA21),$Z21))-$Z21))&gt;Lists!I$23)*(EDATE($G21,(((Lists!I$24-$AA21)-MOD((Lists!I$24-$AA21),$Z21))-$Z21))&lt;=Lists!I$21)*(EDATE($G21,(((Lists!I$24-$AA21)-MOD((Lists!I$24-$AA21),$Z21))-$Z21))&lt;=$AB21)))))</f>
        <v>0</v>
      </c>
      <c r="Q21" s="53" t="n">
        <f aca="false">IF(OR(N($E21)=0,$G21=""),0,$I21*IF($F21="Weekly",((Lists!J$21-MOD(Lists!J$21-$G21,7))&gt;=$G21)*((Lists!J$21-MOD(Lists!J$21-$G21,7))&lt;=$AB21),IF($F21="One-off",($G21&gt;Lists!J$23)*($G21&lt;=Lists!J$21),IF($F21="",0,(((Lists!J$24-$AA21)-MOD((Lists!J$24-$AA21),$Z21))&gt;=0)*(EDATE($G21,((Lists!J$24-$AA21)-MOD((Lists!J$24-$AA21),$Z21)))&gt;Lists!J$23)*(EDATE($G21,((Lists!J$24-$AA21)-MOD((Lists!J$24-$AA21),$Z21)))&lt;=Lists!J$21)*(EDATE($G21,((Lists!J$24-$AA21)-MOD((Lists!J$24-$AA21),$Z21)))&lt;=$AB21)+((((Lists!J$24-$AA21)-MOD((Lists!J$24-$AA21),$Z21))-$Z21)&gt;=0)*(EDATE($G21,(((Lists!J$24-$AA21)-MOD((Lists!J$24-$AA21),$Z21))-$Z21))&gt;Lists!J$23)*(EDATE($G21,(((Lists!J$24-$AA21)-MOD((Lists!J$24-$AA21),$Z21))-$Z21))&lt;=Lists!J$21)*(EDATE($G21,(((Lists!J$24-$AA21)-MOD((Lists!J$24-$AA21),$Z21))-$Z21))&lt;=$AB21)))))</f>
        <v>0</v>
      </c>
      <c r="R21" s="53" t="n">
        <f aca="false">IF(OR(N($E21)=0,$G21=""),0,$I21*IF($F21="Weekly",((Lists!K$21-MOD(Lists!K$21-$G21,7))&gt;=$G21)*((Lists!K$21-MOD(Lists!K$21-$G21,7))&lt;=$AB21),IF($F21="One-off",($G21&gt;Lists!K$23)*($G21&lt;=Lists!K$21),IF($F21="",0,(((Lists!K$24-$AA21)-MOD((Lists!K$24-$AA21),$Z21))&gt;=0)*(EDATE($G21,((Lists!K$24-$AA21)-MOD((Lists!K$24-$AA21),$Z21)))&gt;Lists!K$23)*(EDATE($G21,((Lists!K$24-$AA21)-MOD((Lists!K$24-$AA21),$Z21)))&lt;=Lists!K$21)*(EDATE($G21,((Lists!K$24-$AA21)-MOD((Lists!K$24-$AA21),$Z21)))&lt;=$AB21)+((((Lists!K$24-$AA21)-MOD((Lists!K$24-$AA21),$Z21))-$Z21)&gt;=0)*(EDATE($G21,(((Lists!K$24-$AA21)-MOD((Lists!K$24-$AA21),$Z21))-$Z21))&gt;Lists!K$23)*(EDATE($G21,(((Lists!K$24-$AA21)-MOD((Lists!K$24-$AA21),$Z21))-$Z21))&lt;=Lists!K$21)*(EDATE($G21,(((Lists!K$24-$AA21)-MOD((Lists!K$24-$AA21),$Z21))-$Z21))&lt;=$AB21)))))</f>
        <v>0</v>
      </c>
      <c r="S21" s="53" t="n">
        <f aca="false">IF(OR(N($E21)=0,$G21=""),0,$I21*IF($F21="Weekly",((Lists!L$21-MOD(Lists!L$21-$G21,7))&gt;=$G21)*((Lists!L$21-MOD(Lists!L$21-$G21,7))&lt;=$AB21),IF($F21="One-off",($G21&gt;Lists!L$23)*($G21&lt;=Lists!L$21),IF($F21="",0,(((Lists!L$24-$AA21)-MOD((Lists!L$24-$AA21),$Z21))&gt;=0)*(EDATE($G21,((Lists!L$24-$AA21)-MOD((Lists!L$24-$AA21),$Z21)))&gt;Lists!L$23)*(EDATE($G21,((Lists!L$24-$AA21)-MOD((Lists!L$24-$AA21),$Z21)))&lt;=Lists!L$21)*(EDATE($G21,((Lists!L$24-$AA21)-MOD((Lists!L$24-$AA21),$Z21)))&lt;=$AB21)+((((Lists!L$24-$AA21)-MOD((Lists!L$24-$AA21),$Z21))-$Z21)&gt;=0)*(EDATE($G21,(((Lists!L$24-$AA21)-MOD((Lists!L$24-$AA21),$Z21))-$Z21))&gt;Lists!L$23)*(EDATE($G21,(((Lists!L$24-$AA21)-MOD((Lists!L$24-$AA21),$Z21))-$Z21))&lt;=Lists!L$21)*(EDATE($G21,(((Lists!L$24-$AA21)-MOD((Lists!L$24-$AA21),$Z21))-$Z21))&lt;=$AB21)))))</f>
        <v>0</v>
      </c>
      <c r="T21" s="53" t="n">
        <f aca="false">IF(OR(N($E21)=0,$G21=""),0,$I21*IF($F21="Weekly",((Lists!M$21-MOD(Lists!M$21-$G21,7))&gt;=$G21)*((Lists!M$21-MOD(Lists!M$21-$G21,7))&lt;=$AB21),IF($F21="One-off",($G21&gt;Lists!M$23)*($G21&lt;=Lists!M$21),IF($F21="",0,(((Lists!M$24-$AA21)-MOD((Lists!M$24-$AA21),$Z21))&gt;=0)*(EDATE($G21,((Lists!M$24-$AA21)-MOD((Lists!M$24-$AA21),$Z21)))&gt;Lists!M$23)*(EDATE($G21,((Lists!M$24-$AA21)-MOD((Lists!M$24-$AA21),$Z21)))&lt;=Lists!M$21)*(EDATE($G21,((Lists!M$24-$AA21)-MOD((Lists!M$24-$AA21),$Z21)))&lt;=$AB21)+((((Lists!M$24-$AA21)-MOD((Lists!M$24-$AA21),$Z21))-$Z21)&gt;=0)*(EDATE($G21,(((Lists!M$24-$AA21)-MOD((Lists!M$24-$AA21),$Z21))-$Z21))&gt;Lists!M$23)*(EDATE($G21,(((Lists!M$24-$AA21)-MOD((Lists!M$24-$AA21),$Z21))-$Z21))&lt;=Lists!M$21)*(EDATE($G21,(((Lists!M$24-$AA21)-MOD((Lists!M$24-$AA21),$Z21))-$Z21))&lt;=$AB21)))))</f>
        <v>0</v>
      </c>
      <c r="U21" s="53" t="n">
        <f aca="false">IF(OR(N($E21)=0,$G21=""),0,$I21*IF($F21="Weekly",((Lists!N$21-MOD(Lists!N$21-$G21,7))&gt;=$G21)*((Lists!N$21-MOD(Lists!N$21-$G21,7))&lt;=$AB21),IF($F21="One-off",($G21&gt;Lists!N$23)*($G21&lt;=Lists!N$21),IF($F21="",0,(((Lists!N$24-$AA21)-MOD((Lists!N$24-$AA21),$Z21))&gt;=0)*(EDATE($G21,((Lists!N$24-$AA21)-MOD((Lists!N$24-$AA21),$Z21)))&gt;Lists!N$23)*(EDATE($G21,((Lists!N$24-$AA21)-MOD((Lists!N$24-$AA21),$Z21)))&lt;=Lists!N$21)*(EDATE($G21,((Lists!N$24-$AA21)-MOD((Lists!N$24-$AA21),$Z21)))&lt;=$AB21)+((((Lists!N$24-$AA21)-MOD((Lists!N$24-$AA21),$Z21))-$Z21)&gt;=0)*(EDATE($G21,(((Lists!N$24-$AA21)-MOD((Lists!N$24-$AA21),$Z21))-$Z21))&gt;Lists!N$23)*(EDATE($G21,(((Lists!N$24-$AA21)-MOD((Lists!N$24-$AA21),$Z21))-$Z21))&lt;=Lists!N$21)*(EDATE($G21,(((Lists!N$24-$AA21)-MOD((Lists!N$24-$AA21),$Z21))-$Z21))&lt;=$AB21)))))</f>
        <v>0</v>
      </c>
      <c r="V21" s="53" t="n">
        <f aca="false">IF(OR(N($E21)=0,$G21=""),0,$I21*IF($F21="Weekly",((Lists!O$21-MOD(Lists!O$21-$G21,7))&gt;=$G21)*((Lists!O$21-MOD(Lists!O$21-$G21,7))&lt;=$AB21),IF($F21="One-off",($G21&gt;Lists!O$23)*($G21&lt;=Lists!O$21),IF($F21="",0,(((Lists!O$24-$AA21)-MOD((Lists!O$24-$AA21),$Z21))&gt;=0)*(EDATE($G21,((Lists!O$24-$AA21)-MOD((Lists!O$24-$AA21),$Z21)))&gt;Lists!O$23)*(EDATE($G21,((Lists!O$24-$AA21)-MOD((Lists!O$24-$AA21),$Z21)))&lt;=Lists!O$21)*(EDATE($G21,((Lists!O$24-$AA21)-MOD((Lists!O$24-$AA21),$Z21)))&lt;=$AB21)+((((Lists!O$24-$AA21)-MOD((Lists!O$24-$AA21),$Z21))-$Z21)&gt;=0)*(EDATE($G21,(((Lists!O$24-$AA21)-MOD((Lists!O$24-$AA21),$Z21))-$Z21))&gt;Lists!O$23)*(EDATE($G21,(((Lists!O$24-$AA21)-MOD((Lists!O$24-$AA21),$Z21))-$Z21))&lt;=Lists!O$21)*(EDATE($G21,(((Lists!O$24-$AA21)-MOD((Lists!O$24-$AA21),$Z21))-$Z21))&lt;=$AB21)))))</f>
        <v>0</v>
      </c>
      <c r="W21" s="46" t="n">
        <f aca="false">SUM(J21:V21)</f>
        <v>0</v>
      </c>
      <c r="X21" s="2"/>
      <c r="Y21" s="104" t="n">
        <f aca="false">IF(AND(Setup!$D$16="Yes",D21&lt;&gt;"No"),1+Setup!$D$17,1)</f>
        <v>1.2</v>
      </c>
      <c r="Z21" s="94" t="n">
        <f aca="false">IF(F21="Quarterly",3,IF(F21="Annually",12,1))</f>
        <v>1</v>
      </c>
      <c r="AA21" s="94" t="n">
        <f aca="false">IF(G21="",0,YEAR(G21)*12+MONTH(G21))</f>
        <v>0</v>
      </c>
      <c r="AB21" s="93" t="n">
        <f aca="false">IF(H21="",2958465,H21)</f>
        <v>2958465</v>
      </c>
      <c r="AC21" s="95" t="str">
        <f aca="false">IF(C21="","Other overheads",C21)</f>
        <v>Other overheads</v>
      </c>
    </row>
    <row r="22" customFormat="false" ht="15" hidden="false" customHeight="false" outlineLevel="0" collapsed="false">
      <c r="A22" s="87" t="n">
        <v>14</v>
      </c>
      <c r="B22" s="55"/>
      <c r="C22" s="55"/>
      <c r="D22" s="58"/>
      <c r="E22" s="88"/>
      <c r="F22" s="58"/>
      <c r="G22" s="90"/>
      <c r="H22" s="90"/>
      <c r="I22" s="92" t="n">
        <f aca="false">N(E22)*Y22</f>
        <v>0</v>
      </c>
      <c r="J22" s="53" t="n">
        <f aca="false">IF(OR(N($E22)=0,$G22=""),0,$I22*IF($F22="Weekly",((Lists!C$21-MOD(Lists!C$21-$G22,7))&gt;=$G22)*((Lists!C$21-MOD(Lists!C$21-$G22,7))&lt;=$AB22),IF($F22="One-off",($G22&gt;Lists!C$23)*($G22&lt;=Lists!C$21),IF($F22="",0,(((Lists!C$24-$AA22)-MOD((Lists!C$24-$AA22),$Z22))&gt;=0)*(EDATE($G22,((Lists!C$24-$AA22)-MOD((Lists!C$24-$AA22),$Z22)))&gt;Lists!C$23)*(EDATE($G22,((Lists!C$24-$AA22)-MOD((Lists!C$24-$AA22),$Z22)))&lt;=Lists!C$21)*(EDATE($G22,((Lists!C$24-$AA22)-MOD((Lists!C$24-$AA22),$Z22)))&lt;=$AB22)+((((Lists!C$24-$AA22)-MOD((Lists!C$24-$AA22),$Z22))-$Z22)&gt;=0)*(EDATE($G22,(((Lists!C$24-$AA22)-MOD((Lists!C$24-$AA22),$Z22))-$Z22))&gt;Lists!C$23)*(EDATE($G22,(((Lists!C$24-$AA22)-MOD((Lists!C$24-$AA22),$Z22))-$Z22))&lt;=Lists!C$21)*(EDATE($G22,(((Lists!C$24-$AA22)-MOD((Lists!C$24-$AA22),$Z22))-$Z22))&lt;=$AB22)))))</f>
        <v>0</v>
      </c>
      <c r="K22" s="53" t="n">
        <f aca="false">IF(OR(N($E22)=0,$G22=""),0,$I22*IF($F22="Weekly",((Lists!D$21-MOD(Lists!D$21-$G22,7))&gt;=$G22)*((Lists!D$21-MOD(Lists!D$21-$G22,7))&lt;=$AB22),IF($F22="One-off",($G22&gt;Lists!D$23)*($G22&lt;=Lists!D$21),IF($F22="",0,(((Lists!D$24-$AA22)-MOD((Lists!D$24-$AA22),$Z22))&gt;=0)*(EDATE($G22,((Lists!D$24-$AA22)-MOD((Lists!D$24-$AA22),$Z22)))&gt;Lists!D$23)*(EDATE($G22,((Lists!D$24-$AA22)-MOD((Lists!D$24-$AA22),$Z22)))&lt;=Lists!D$21)*(EDATE($G22,((Lists!D$24-$AA22)-MOD((Lists!D$24-$AA22),$Z22)))&lt;=$AB22)+((((Lists!D$24-$AA22)-MOD((Lists!D$24-$AA22),$Z22))-$Z22)&gt;=0)*(EDATE($G22,(((Lists!D$24-$AA22)-MOD((Lists!D$24-$AA22),$Z22))-$Z22))&gt;Lists!D$23)*(EDATE($G22,(((Lists!D$24-$AA22)-MOD((Lists!D$24-$AA22),$Z22))-$Z22))&lt;=Lists!D$21)*(EDATE($G22,(((Lists!D$24-$AA22)-MOD((Lists!D$24-$AA22),$Z22))-$Z22))&lt;=$AB22)))))</f>
        <v>0</v>
      </c>
      <c r="L22" s="53" t="n">
        <f aca="false">IF(OR(N($E22)=0,$G22=""),0,$I22*IF($F22="Weekly",((Lists!E$21-MOD(Lists!E$21-$G22,7))&gt;=$G22)*((Lists!E$21-MOD(Lists!E$21-$G22,7))&lt;=$AB22),IF($F22="One-off",($G22&gt;Lists!E$23)*($G22&lt;=Lists!E$21),IF($F22="",0,(((Lists!E$24-$AA22)-MOD((Lists!E$24-$AA22),$Z22))&gt;=0)*(EDATE($G22,((Lists!E$24-$AA22)-MOD((Lists!E$24-$AA22),$Z22)))&gt;Lists!E$23)*(EDATE($G22,((Lists!E$24-$AA22)-MOD((Lists!E$24-$AA22),$Z22)))&lt;=Lists!E$21)*(EDATE($G22,((Lists!E$24-$AA22)-MOD((Lists!E$24-$AA22),$Z22)))&lt;=$AB22)+((((Lists!E$24-$AA22)-MOD((Lists!E$24-$AA22),$Z22))-$Z22)&gt;=0)*(EDATE($G22,(((Lists!E$24-$AA22)-MOD((Lists!E$24-$AA22),$Z22))-$Z22))&gt;Lists!E$23)*(EDATE($G22,(((Lists!E$24-$AA22)-MOD((Lists!E$24-$AA22),$Z22))-$Z22))&lt;=Lists!E$21)*(EDATE($G22,(((Lists!E$24-$AA22)-MOD((Lists!E$24-$AA22),$Z22))-$Z22))&lt;=$AB22)))))</f>
        <v>0</v>
      </c>
      <c r="M22" s="53" t="n">
        <f aca="false">IF(OR(N($E22)=0,$G22=""),0,$I22*IF($F22="Weekly",((Lists!F$21-MOD(Lists!F$21-$G22,7))&gt;=$G22)*((Lists!F$21-MOD(Lists!F$21-$G22,7))&lt;=$AB22),IF($F22="One-off",($G22&gt;Lists!F$23)*($G22&lt;=Lists!F$21),IF($F22="",0,(((Lists!F$24-$AA22)-MOD((Lists!F$24-$AA22),$Z22))&gt;=0)*(EDATE($G22,((Lists!F$24-$AA22)-MOD((Lists!F$24-$AA22),$Z22)))&gt;Lists!F$23)*(EDATE($G22,((Lists!F$24-$AA22)-MOD((Lists!F$24-$AA22),$Z22)))&lt;=Lists!F$21)*(EDATE($G22,((Lists!F$24-$AA22)-MOD((Lists!F$24-$AA22),$Z22)))&lt;=$AB22)+((((Lists!F$24-$AA22)-MOD((Lists!F$24-$AA22),$Z22))-$Z22)&gt;=0)*(EDATE($G22,(((Lists!F$24-$AA22)-MOD((Lists!F$24-$AA22),$Z22))-$Z22))&gt;Lists!F$23)*(EDATE($G22,(((Lists!F$24-$AA22)-MOD((Lists!F$24-$AA22),$Z22))-$Z22))&lt;=Lists!F$21)*(EDATE($G22,(((Lists!F$24-$AA22)-MOD((Lists!F$24-$AA22),$Z22))-$Z22))&lt;=$AB22)))))</f>
        <v>0</v>
      </c>
      <c r="N22" s="53" t="n">
        <f aca="false">IF(OR(N($E22)=0,$G22=""),0,$I22*IF($F22="Weekly",((Lists!G$21-MOD(Lists!G$21-$G22,7))&gt;=$G22)*((Lists!G$21-MOD(Lists!G$21-$G22,7))&lt;=$AB22),IF($F22="One-off",($G22&gt;Lists!G$23)*($G22&lt;=Lists!G$21),IF($F22="",0,(((Lists!G$24-$AA22)-MOD((Lists!G$24-$AA22),$Z22))&gt;=0)*(EDATE($G22,((Lists!G$24-$AA22)-MOD((Lists!G$24-$AA22),$Z22)))&gt;Lists!G$23)*(EDATE($G22,((Lists!G$24-$AA22)-MOD((Lists!G$24-$AA22),$Z22)))&lt;=Lists!G$21)*(EDATE($G22,((Lists!G$24-$AA22)-MOD((Lists!G$24-$AA22),$Z22)))&lt;=$AB22)+((((Lists!G$24-$AA22)-MOD((Lists!G$24-$AA22),$Z22))-$Z22)&gt;=0)*(EDATE($G22,(((Lists!G$24-$AA22)-MOD((Lists!G$24-$AA22),$Z22))-$Z22))&gt;Lists!G$23)*(EDATE($G22,(((Lists!G$24-$AA22)-MOD((Lists!G$24-$AA22),$Z22))-$Z22))&lt;=Lists!G$21)*(EDATE($G22,(((Lists!G$24-$AA22)-MOD((Lists!G$24-$AA22),$Z22))-$Z22))&lt;=$AB22)))))</f>
        <v>0</v>
      </c>
      <c r="O22" s="53" t="n">
        <f aca="false">IF(OR(N($E22)=0,$G22=""),0,$I22*IF($F22="Weekly",((Lists!H$21-MOD(Lists!H$21-$G22,7))&gt;=$G22)*((Lists!H$21-MOD(Lists!H$21-$G22,7))&lt;=$AB22),IF($F22="One-off",($G22&gt;Lists!H$23)*($G22&lt;=Lists!H$21),IF($F22="",0,(((Lists!H$24-$AA22)-MOD((Lists!H$24-$AA22),$Z22))&gt;=0)*(EDATE($G22,((Lists!H$24-$AA22)-MOD((Lists!H$24-$AA22),$Z22)))&gt;Lists!H$23)*(EDATE($G22,((Lists!H$24-$AA22)-MOD((Lists!H$24-$AA22),$Z22)))&lt;=Lists!H$21)*(EDATE($G22,((Lists!H$24-$AA22)-MOD((Lists!H$24-$AA22),$Z22)))&lt;=$AB22)+((((Lists!H$24-$AA22)-MOD((Lists!H$24-$AA22),$Z22))-$Z22)&gt;=0)*(EDATE($G22,(((Lists!H$24-$AA22)-MOD((Lists!H$24-$AA22),$Z22))-$Z22))&gt;Lists!H$23)*(EDATE($G22,(((Lists!H$24-$AA22)-MOD((Lists!H$24-$AA22),$Z22))-$Z22))&lt;=Lists!H$21)*(EDATE($G22,(((Lists!H$24-$AA22)-MOD((Lists!H$24-$AA22),$Z22))-$Z22))&lt;=$AB22)))))</f>
        <v>0</v>
      </c>
      <c r="P22" s="53" t="n">
        <f aca="false">IF(OR(N($E22)=0,$G22=""),0,$I22*IF($F22="Weekly",((Lists!I$21-MOD(Lists!I$21-$G22,7))&gt;=$G22)*((Lists!I$21-MOD(Lists!I$21-$G22,7))&lt;=$AB22),IF($F22="One-off",($G22&gt;Lists!I$23)*($G22&lt;=Lists!I$21),IF($F22="",0,(((Lists!I$24-$AA22)-MOD((Lists!I$24-$AA22),$Z22))&gt;=0)*(EDATE($G22,((Lists!I$24-$AA22)-MOD((Lists!I$24-$AA22),$Z22)))&gt;Lists!I$23)*(EDATE($G22,((Lists!I$24-$AA22)-MOD((Lists!I$24-$AA22),$Z22)))&lt;=Lists!I$21)*(EDATE($G22,((Lists!I$24-$AA22)-MOD((Lists!I$24-$AA22),$Z22)))&lt;=$AB22)+((((Lists!I$24-$AA22)-MOD((Lists!I$24-$AA22),$Z22))-$Z22)&gt;=0)*(EDATE($G22,(((Lists!I$24-$AA22)-MOD((Lists!I$24-$AA22),$Z22))-$Z22))&gt;Lists!I$23)*(EDATE($G22,(((Lists!I$24-$AA22)-MOD((Lists!I$24-$AA22),$Z22))-$Z22))&lt;=Lists!I$21)*(EDATE($G22,(((Lists!I$24-$AA22)-MOD((Lists!I$24-$AA22),$Z22))-$Z22))&lt;=$AB22)))))</f>
        <v>0</v>
      </c>
      <c r="Q22" s="53" t="n">
        <f aca="false">IF(OR(N($E22)=0,$G22=""),0,$I22*IF($F22="Weekly",((Lists!J$21-MOD(Lists!J$21-$G22,7))&gt;=$G22)*((Lists!J$21-MOD(Lists!J$21-$G22,7))&lt;=$AB22),IF($F22="One-off",($G22&gt;Lists!J$23)*($G22&lt;=Lists!J$21),IF($F22="",0,(((Lists!J$24-$AA22)-MOD((Lists!J$24-$AA22),$Z22))&gt;=0)*(EDATE($G22,((Lists!J$24-$AA22)-MOD((Lists!J$24-$AA22),$Z22)))&gt;Lists!J$23)*(EDATE($G22,((Lists!J$24-$AA22)-MOD((Lists!J$24-$AA22),$Z22)))&lt;=Lists!J$21)*(EDATE($G22,((Lists!J$24-$AA22)-MOD((Lists!J$24-$AA22),$Z22)))&lt;=$AB22)+((((Lists!J$24-$AA22)-MOD((Lists!J$24-$AA22),$Z22))-$Z22)&gt;=0)*(EDATE($G22,(((Lists!J$24-$AA22)-MOD((Lists!J$24-$AA22),$Z22))-$Z22))&gt;Lists!J$23)*(EDATE($G22,(((Lists!J$24-$AA22)-MOD((Lists!J$24-$AA22),$Z22))-$Z22))&lt;=Lists!J$21)*(EDATE($G22,(((Lists!J$24-$AA22)-MOD((Lists!J$24-$AA22),$Z22))-$Z22))&lt;=$AB22)))))</f>
        <v>0</v>
      </c>
      <c r="R22" s="53" t="n">
        <f aca="false">IF(OR(N($E22)=0,$G22=""),0,$I22*IF($F22="Weekly",((Lists!K$21-MOD(Lists!K$21-$G22,7))&gt;=$G22)*((Lists!K$21-MOD(Lists!K$21-$G22,7))&lt;=$AB22),IF($F22="One-off",($G22&gt;Lists!K$23)*($G22&lt;=Lists!K$21),IF($F22="",0,(((Lists!K$24-$AA22)-MOD((Lists!K$24-$AA22),$Z22))&gt;=0)*(EDATE($G22,((Lists!K$24-$AA22)-MOD((Lists!K$24-$AA22),$Z22)))&gt;Lists!K$23)*(EDATE($G22,((Lists!K$24-$AA22)-MOD((Lists!K$24-$AA22),$Z22)))&lt;=Lists!K$21)*(EDATE($G22,((Lists!K$24-$AA22)-MOD((Lists!K$24-$AA22),$Z22)))&lt;=$AB22)+((((Lists!K$24-$AA22)-MOD((Lists!K$24-$AA22),$Z22))-$Z22)&gt;=0)*(EDATE($G22,(((Lists!K$24-$AA22)-MOD((Lists!K$24-$AA22),$Z22))-$Z22))&gt;Lists!K$23)*(EDATE($G22,(((Lists!K$24-$AA22)-MOD((Lists!K$24-$AA22),$Z22))-$Z22))&lt;=Lists!K$21)*(EDATE($G22,(((Lists!K$24-$AA22)-MOD((Lists!K$24-$AA22),$Z22))-$Z22))&lt;=$AB22)))))</f>
        <v>0</v>
      </c>
      <c r="S22" s="53" t="n">
        <f aca="false">IF(OR(N($E22)=0,$G22=""),0,$I22*IF($F22="Weekly",((Lists!L$21-MOD(Lists!L$21-$G22,7))&gt;=$G22)*((Lists!L$21-MOD(Lists!L$21-$G22,7))&lt;=$AB22),IF($F22="One-off",($G22&gt;Lists!L$23)*($G22&lt;=Lists!L$21),IF($F22="",0,(((Lists!L$24-$AA22)-MOD((Lists!L$24-$AA22),$Z22))&gt;=0)*(EDATE($G22,((Lists!L$24-$AA22)-MOD((Lists!L$24-$AA22),$Z22)))&gt;Lists!L$23)*(EDATE($G22,((Lists!L$24-$AA22)-MOD((Lists!L$24-$AA22),$Z22)))&lt;=Lists!L$21)*(EDATE($G22,((Lists!L$24-$AA22)-MOD((Lists!L$24-$AA22),$Z22)))&lt;=$AB22)+((((Lists!L$24-$AA22)-MOD((Lists!L$24-$AA22),$Z22))-$Z22)&gt;=0)*(EDATE($G22,(((Lists!L$24-$AA22)-MOD((Lists!L$24-$AA22),$Z22))-$Z22))&gt;Lists!L$23)*(EDATE($G22,(((Lists!L$24-$AA22)-MOD((Lists!L$24-$AA22),$Z22))-$Z22))&lt;=Lists!L$21)*(EDATE($G22,(((Lists!L$24-$AA22)-MOD((Lists!L$24-$AA22),$Z22))-$Z22))&lt;=$AB22)))))</f>
        <v>0</v>
      </c>
      <c r="T22" s="53" t="n">
        <f aca="false">IF(OR(N($E22)=0,$G22=""),0,$I22*IF($F22="Weekly",((Lists!M$21-MOD(Lists!M$21-$G22,7))&gt;=$G22)*((Lists!M$21-MOD(Lists!M$21-$G22,7))&lt;=$AB22),IF($F22="One-off",($G22&gt;Lists!M$23)*($G22&lt;=Lists!M$21),IF($F22="",0,(((Lists!M$24-$AA22)-MOD((Lists!M$24-$AA22),$Z22))&gt;=0)*(EDATE($G22,((Lists!M$24-$AA22)-MOD((Lists!M$24-$AA22),$Z22)))&gt;Lists!M$23)*(EDATE($G22,((Lists!M$24-$AA22)-MOD((Lists!M$24-$AA22),$Z22)))&lt;=Lists!M$21)*(EDATE($G22,((Lists!M$24-$AA22)-MOD((Lists!M$24-$AA22),$Z22)))&lt;=$AB22)+((((Lists!M$24-$AA22)-MOD((Lists!M$24-$AA22),$Z22))-$Z22)&gt;=0)*(EDATE($G22,(((Lists!M$24-$AA22)-MOD((Lists!M$24-$AA22),$Z22))-$Z22))&gt;Lists!M$23)*(EDATE($G22,(((Lists!M$24-$AA22)-MOD((Lists!M$24-$AA22),$Z22))-$Z22))&lt;=Lists!M$21)*(EDATE($G22,(((Lists!M$24-$AA22)-MOD((Lists!M$24-$AA22),$Z22))-$Z22))&lt;=$AB22)))))</f>
        <v>0</v>
      </c>
      <c r="U22" s="53" t="n">
        <f aca="false">IF(OR(N($E22)=0,$G22=""),0,$I22*IF($F22="Weekly",((Lists!N$21-MOD(Lists!N$21-$G22,7))&gt;=$G22)*((Lists!N$21-MOD(Lists!N$21-$G22,7))&lt;=$AB22),IF($F22="One-off",($G22&gt;Lists!N$23)*($G22&lt;=Lists!N$21),IF($F22="",0,(((Lists!N$24-$AA22)-MOD((Lists!N$24-$AA22),$Z22))&gt;=0)*(EDATE($G22,((Lists!N$24-$AA22)-MOD((Lists!N$24-$AA22),$Z22)))&gt;Lists!N$23)*(EDATE($G22,((Lists!N$24-$AA22)-MOD((Lists!N$24-$AA22),$Z22)))&lt;=Lists!N$21)*(EDATE($G22,((Lists!N$24-$AA22)-MOD((Lists!N$24-$AA22),$Z22)))&lt;=$AB22)+((((Lists!N$24-$AA22)-MOD((Lists!N$24-$AA22),$Z22))-$Z22)&gt;=0)*(EDATE($G22,(((Lists!N$24-$AA22)-MOD((Lists!N$24-$AA22),$Z22))-$Z22))&gt;Lists!N$23)*(EDATE($G22,(((Lists!N$24-$AA22)-MOD((Lists!N$24-$AA22),$Z22))-$Z22))&lt;=Lists!N$21)*(EDATE($G22,(((Lists!N$24-$AA22)-MOD((Lists!N$24-$AA22),$Z22))-$Z22))&lt;=$AB22)))))</f>
        <v>0</v>
      </c>
      <c r="V22" s="53" t="n">
        <f aca="false">IF(OR(N($E22)=0,$G22=""),0,$I22*IF($F22="Weekly",((Lists!O$21-MOD(Lists!O$21-$G22,7))&gt;=$G22)*((Lists!O$21-MOD(Lists!O$21-$G22,7))&lt;=$AB22),IF($F22="One-off",($G22&gt;Lists!O$23)*($G22&lt;=Lists!O$21),IF($F22="",0,(((Lists!O$24-$AA22)-MOD((Lists!O$24-$AA22),$Z22))&gt;=0)*(EDATE($G22,((Lists!O$24-$AA22)-MOD((Lists!O$24-$AA22),$Z22)))&gt;Lists!O$23)*(EDATE($G22,((Lists!O$24-$AA22)-MOD((Lists!O$24-$AA22),$Z22)))&lt;=Lists!O$21)*(EDATE($G22,((Lists!O$24-$AA22)-MOD((Lists!O$24-$AA22),$Z22)))&lt;=$AB22)+((((Lists!O$24-$AA22)-MOD((Lists!O$24-$AA22),$Z22))-$Z22)&gt;=0)*(EDATE($G22,(((Lists!O$24-$AA22)-MOD((Lists!O$24-$AA22),$Z22))-$Z22))&gt;Lists!O$23)*(EDATE($G22,(((Lists!O$24-$AA22)-MOD((Lists!O$24-$AA22),$Z22))-$Z22))&lt;=Lists!O$21)*(EDATE($G22,(((Lists!O$24-$AA22)-MOD((Lists!O$24-$AA22),$Z22))-$Z22))&lt;=$AB22)))))</f>
        <v>0</v>
      </c>
      <c r="W22" s="46" t="n">
        <f aca="false">SUM(J22:V22)</f>
        <v>0</v>
      </c>
      <c r="X22" s="2"/>
      <c r="Y22" s="104" t="n">
        <f aca="false">IF(AND(Setup!$D$16="Yes",D22&lt;&gt;"No"),1+Setup!$D$17,1)</f>
        <v>1.2</v>
      </c>
      <c r="Z22" s="94" t="n">
        <f aca="false">IF(F22="Quarterly",3,IF(F22="Annually",12,1))</f>
        <v>1</v>
      </c>
      <c r="AA22" s="94" t="n">
        <f aca="false">IF(G22="",0,YEAR(G22)*12+MONTH(G22))</f>
        <v>0</v>
      </c>
      <c r="AB22" s="93" t="n">
        <f aca="false">IF(H22="",2958465,H22)</f>
        <v>2958465</v>
      </c>
      <c r="AC22" s="95" t="str">
        <f aca="false">IF(C22="","Other overheads",C22)</f>
        <v>Other overheads</v>
      </c>
    </row>
    <row r="23" customFormat="false" ht="15" hidden="false" customHeight="false" outlineLevel="0" collapsed="false">
      <c r="A23" s="87" t="n">
        <v>15</v>
      </c>
      <c r="B23" s="55"/>
      <c r="C23" s="55"/>
      <c r="D23" s="58"/>
      <c r="E23" s="88"/>
      <c r="F23" s="58"/>
      <c r="G23" s="90"/>
      <c r="H23" s="90"/>
      <c r="I23" s="92" t="n">
        <f aca="false">N(E23)*Y23</f>
        <v>0</v>
      </c>
      <c r="J23" s="53" t="n">
        <f aca="false">IF(OR(N($E23)=0,$G23=""),0,$I23*IF($F23="Weekly",((Lists!C$21-MOD(Lists!C$21-$G23,7))&gt;=$G23)*((Lists!C$21-MOD(Lists!C$21-$G23,7))&lt;=$AB23),IF($F23="One-off",($G23&gt;Lists!C$23)*($G23&lt;=Lists!C$21),IF($F23="",0,(((Lists!C$24-$AA23)-MOD((Lists!C$24-$AA23),$Z23))&gt;=0)*(EDATE($G23,((Lists!C$24-$AA23)-MOD((Lists!C$24-$AA23),$Z23)))&gt;Lists!C$23)*(EDATE($G23,((Lists!C$24-$AA23)-MOD((Lists!C$24-$AA23),$Z23)))&lt;=Lists!C$21)*(EDATE($G23,((Lists!C$24-$AA23)-MOD((Lists!C$24-$AA23),$Z23)))&lt;=$AB23)+((((Lists!C$24-$AA23)-MOD((Lists!C$24-$AA23),$Z23))-$Z23)&gt;=0)*(EDATE($G23,(((Lists!C$24-$AA23)-MOD((Lists!C$24-$AA23),$Z23))-$Z23))&gt;Lists!C$23)*(EDATE($G23,(((Lists!C$24-$AA23)-MOD((Lists!C$24-$AA23),$Z23))-$Z23))&lt;=Lists!C$21)*(EDATE($G23,(((Lists!C$24-$AA23)-MOD((Lists!C$24-$AA23),$Z23))-$Z23))&lt;=$AB23)))))</f>
        <v>0</v>
      </c>
      <c r="K23" s="53" t="n">
        <f aca="false">IF(OR(N($E23)=0,$G23=""),0,$I23*IF($F23="Weekly",((Lists!D$21-MOD(Lists!D$21-$G23,7))&gt;=$G23)*((Lists!D$21-MOD(Lists!D$21-$G23,7))&lt;=$AB23),IF($F23="One-off",($G23&gt;Lists!D$23)*($G23&lt;=Lists!D$21),IF($F23="",0,(((Lists!D$24-$AA23)-MOD((Lists!D$24-$AA23),$Z23))&gt;=0)*(EDATE($G23,((Lists!D$24-$AA23)-MOD((Lists!D$24-$AA23),$Z23)))&gt;Lists!D$23)*(EDATE($G23,((Lists!D$24-$AA23)-MOD((Lists!D$24-$AA23),$Z23)))&lt;=Lists!D$21)*(EDATE($G23,((Lists!D$24-$AA23)-MOD((Lists!D$24-$AA23),$Z23)))&lt;=$AB23)+((((Lists!D$24-$AA23)-MOD((Lists!D$24-$AA23),$Z23))-$Z23)&gt;=0)*(EDATE($G23,(((Lists!D$24-$AA23)-MOD((Lists!D$24-$AA23),$Z23))-$Z23))&gt;Lists!D$23)*(EDATE($G23,(((Lists!D$24-$AA23)-MOD((Lists!D$24-$AA23),$Z23))-$Z23))&lt;=Lists!D$21)*(EDATE($G23,(((Lists!D$24-$AA23)-MOD((Lists!D$24-$AA23),$Z23))-$Z23))&lt;=$AB23)))))</f>
        <v>0</v>
      </c>
      <c r="L23" s="53" t="n">
        <f aca="false">IF(OR(N($E23)=0,$G23=""),0,$I23*IF($F23="Weekly",((Lists!E$21-MOD(Lists!E$21-$G23,7))&gt;=$G23)*((Lists!E$21-MOD(Lists!E$21-$G23,7))&lt;=$AB23),IF($F23="One-off",($G23&gt;Lists!E$23)*($G23&lt;=Lists!E$21),IF($F23="",0,(((Lists!E$24-$AA23)-MOD((Lists!E$24-$AA23),$Z23))&gt;=0)*(EDATE($G23,((Lists!E$24-$AA23)-MOD((Lists!E$24-$AA23),$Z23)))&gt;Lists!E$23)*(EDATE($G23,((Lists!E$24-$AA23)-MOD((Lists!E$24-$AA23),$Z23)))&lt;=Lists!E$21)*(EDATE($G23,((Lists!E$24-$AA23)-MOD((Lists!E$24-$AA23),$Z23)))&lt;=$AB23)+((((Lists!E$24-$AA23)-MOD((Lists!E$24-$AA23),$Z23))-$Z23)&gt;=0)*(EDATE($G23,(((Lists!E$24-$AA23)-MOD((Lists!E$24-$AA23),$Z23))-$Z23))&gt;Lists!E$23)*(EDATE($G23,(((Lists!E$24-$AA23)-MOD((Lists!E$24-$AA23),$Z23))-$Z23))&lt;=Lists!E$21)*(EDATE($G23,(((Lists!E$24-$AA23)-MOD((Lists!E$24-$AA23),$Z23))-$Z23))&lt;=$AB23)))))</f>
        <v>0</v>
      </c>
      <c r="M23" s="53" t="n">
        <f aca="false">IF(OR(N($E23)=0,$G23=""),0,$I23*IF($F23="Weekly",((Lists!F$21-MOD(Lists!F$21-$G23,7))&gt;=$G23)*((Lists!F$21-MOD(Lists!F$21-$G23,7))&lt;=$AB23),IF($F23="One-off",($G23&gt;Lists!F$23)*($G23&lt;=Lists!F$21),IF($F23="",0,(((Lists!F$24-$AA23)-MOD((Lists!F$24-$AA23),$Z23))&gt;=0)*(EDATE($G23,((Lists!F$24-$AA23)-MOD((Lists!F$24-$AA23),$Z23)))&gt;Lists!F$23)*(EDATE($G23,((Lists!F$24-$AA23)-MOD((Lists!F$24-$AA23),$Z23)))&lt;=Lists!F$21)*(EDATE($G23,((Lists!F$24-$AA23)-MOD((Lists!F$24-$AA23),$Z23)))&lt;=$AB23)+((((Lists!F$24-$AA23)-MOD((Lists!F$24-$AA23),$Z23))-$Z23)&gt;=0)*(EDATE($G23,(((Lists!F$24-$AA23)-MOD((Lists!F$24-$AA23),$Z23))-$Z23))&gt;Lists!F$23)*(EDATE($G23,(((Lists!F$24-$AA23)-MOD((Lists!F$24-$AA23),$Z23))-$Z23))&lt;=Lists!F$21)*(EDATE($G23,(((Lists!F$24-$AA23)-MOD((Lists!F$24-$AA23),$Z23))-$Z23))&lt;=$AB23)))))</f>
        <v>0</v>
      </c>
      <c r="N23" s="53" t="n">
        <f aca="false">IF(OR(N($E23)=0,$G23=""),0,$I23*IF($F23="Weekly",((Lists!G$21-MOD(Lists!G$21-$G23,7))&gt;=$G23)*((Lists!G$21-MOD(Lists!G$21-$G23,7))&lt;=$AB23),IF($F23="One-off",($G23&gt;Lists!G$23)*($G23&lt;=Lists!G$21),IF($F23="",0,(((Lists!G$24-$AA23)-MOD((Lists!G$24-$AA23),$Z23))&gt;=0)*(EDATE($G23,((Lists!G$24-$AA23)-MOD((Lists!G$24-$AA23),$Z23)))&gt;Lists!G$23)*(EDATE($G23,((Lists!G$24-$AA23)-MOD((Lists!G$24-$AA23),$Z23)))&lt;=Lists!G$21)*(EDATE($G23,((Lists!G$24-$AA23)-MOD((Lists!G$24-$AA23),$Z23)))&lt;=$AB23)+((((Lists!G$24-$AA23)-MOD((Lists!G$24-$AA23),$Z23))-$Z23)&gt;=0)*(EDATE($G23,(((Lists!G$24-$AA23)-MOD((Lists!G$24-$AA23),$Z23))-$Z23))&gt;Lists!G$23)*(EDATE($G23,(((Lists!G$24-$AA23)-MOD((Lists!G$24-$AA23),$Z23))-$Z23))&lt;=Lists!G$21)*(EDATE($G23,(((Lists!G$24-$AA23)-MOD((Lists!G$24-$AA23),$Z23))-$Z23))&lt;=$AB23)))))</f>
        <v>0</v>
      </c>
      <c r="O23" s="53" t="n">
        <f aca="false">IF(OR(N($E23)=0,$G23=""),0,$I23*IF($F23="Weekly",((Lists!H$21-MOD(Lists!H$21-$G23,7))&gt;=$G23)*((Lists!H$21-MOD(Lists!H$21-$G23,7))&lt;=$AB23),IF($F23="One-off",($G23&gt;Lists!H$23)*($G23&lt;=Lists!H$21),IF($F23="",0,(((Lists!H$24-$AA23)-MOD((Lists!H$24-$AA23),$Z23))&gt;=0)*(EDATE($G23,((Lists!H$24-$AA23)-MOD((Lists!H$24-$AA23),$Z23)))&gt;Lists!H$23)*(EDATE($G23,((Lists!H$24-$AA23)-MOD((Lists!H$24-$AA23),$Z23)))&lt;=Lists!H$21)*(EDATE($G23,((Lists!H$24-$AA23)-MOD((Lists!H$24-$AA23),$Z23)))&lt;=$AB23)+((((Lists!H$24-$AA23)-MOD((Lists!H$24-$AA23),$Z23))-$Z23)&gt;=0)*(EDATE($G23,(((Lists!H$24-$AA23)-MOD((Lists!H$24-$AA23),$Z23))-$Z23))&gt;Lists!H$23)*(EDATE($G23,(((Lists!H$24-$AA23)-MOD((Lists!H$24-$AA23),$Z23))-$Z23))&lt;=Lists!H$21)*(EDATE($G23,(((Lists!H$24-$AA23)-MOD((Lists!H$24-$AA23),$Z23))-$Z23))&lt;=$AB23)))))</f>
        <v>0</v>
      </c>
      <c r="P23" s="53" t="n">
        <f aca="false">IF(OR(N($E23)=0,$G23=""),0,$I23*IF($F23="Weekly",((Lists!I$21-MOD(Lists!I$21-$G23,7))&gt;=$G23)*((Lists!I$21-MOD(Lists!I$21-$G23,7))&lt;=$AB23),IF($F23="One-off",($G23&gt;Lists!I$23)*($G23&lt;=Lists!I$21),IF($F23="",0,(((Lists!I$24-$AA23)-MOD((Lists!I$24-$AA23),$Z23))&gt;=0)*(EDATE($G23,((Lists!I$24-$AA23)-MOD((Lists!I$24-$AA23),$Z23)))&gt;Lists!I$23)*(EDATE($G23,((Lists!I$24-$AA23)-MOD((Lists!I$24-$AA23),$Z23)))&lt;=Lists!I$21)*(EDATE($G23,((Lists!I$24-$AA23)-MOD((Lists!I$24-$AA23),$Z23)))&lt;=$AB23)+((((Lists!I$24-$AA23)-MOD((Lists!I$24-$AA23),$Z23))-$Z23)&gt;=0)*(EDATE($G23,(((Lists!I$24-$AA23)-MOD((Lists!I$24-$AA23),$Z23))-$Z23))&gt;Lists!I$23)*(EDATE($G23,(((Lists!I$24-$AA23)-MOD((Lists!I$24-$AA23),$Z23))-$Z23))&lt;=Lists!I$21)*(EDATE($G23,(((Lists!I$24-$AA23)-MOD((Lists!I$24-$AA23),$Z23))-$Z23))&lt;=$AB23)))))</f>
        <v>0</v>
      </c>
      <c r="Q23" s="53" t="n">
        <f aca="false">IF(OR(N($E23)=0,$G23=""),0,$I23*IF($F23="Weekly",((Lists!J$21-MOD(Lists!J$21-$G23,7))&gt;=$G23)*((Lists!J$21-MOD(Lists!J$21-$G23,7))&lt;=$AB23),IF($F23="One-off",($G23&gt;Lists!J$23)*($G23&lt;=Lists!J$21),IF($F23="",0,(((Lists!J$24-$AA23)-MOD((Lists!J$24-$AA23),$Z23))&gt;=0)*(EDATE($G23,((Lists!J$24-$AA23)-MOD((Lists!J$24-$AA23),$Z23)))&gt;Lists!J$23)*(EDATE($G23,((Lists!J$24-$AA23)-MOD((Lists!J$24-$AA23),$Z23)))&lt;=Lists!J$21)*(EDATE($G23,((Lists!J$24-$AA23)-MOD((Lists!J$24-$AA23),$Z23)))&lt;=$AB23)+((((Lists!J$24-$AA23)-MOD((Lists!J$24-$AA23),$Z23))-$Z23)&gt;=0)*(EDATE($G23,(((Lists!J$24-$AA23)-MOD((Lists!J$24-$AA23),$Z23))-$Z23))&gt;Lists!J$23)*(EDATE($G23,(((Lists!J$24-$AA23)-MOD((Lists!J$24-$AA23),$Z23))-$Z23))&lt;=Lists!J$21)*(EDATE($G23,(((Lists!J$24-$AA23)-MOD((Lists!J$24-$AA23),$Z23))-$Z23))&lt;=$AB23)))))</f>
        <v>0</v>
      </c>
      <c r="R23" s="53" t="n">
        <f aca="false">IF(OR(N($E23)=0,$G23=""),0,$I23*IF($F23="Weekly",((Lists!K$21-MOD(Lists!K$21-$G23,7))&gt;=$G23)*((Lists!K$21-MOD(Lists!K$21-$G23,7))&lt;=$AB23),IF($F23="One-off",($G23&gt;Lists!K$23)*($G23&lt;=Lists!K$21),IF($F23="",0,(((Lists!K$24-$AA23)-MOD((Lists!K$24-$AA23),$Z23))&gt;=0)*(EDATE($G23,((Lists!K$24-$AA23)-MOD((Lists!K$24-$AA23),$Z23)))&gt;Lists!K$23)*(EDATE($G23,((Lists!K$24-$AA23)-MOD((Lists!K$24-$AA23),$Z23)))&lt;=Lists!K$21)*(EDATE($G23,((Lists!K$24-$AA23)-MOD((Lists!K$24-$AA23),$Z23)))&lt;=$AB23)+((((Lists!K$24-$AA23)-MOD((Lists!K$24-$AA23),$Z23))-$Z23)&gt;=0)*(EDATE($G23,(((Lists!K$24-$AA23)-MOD((Lists!K$24-$AA23),$Z23))-$Z23))&gt;Lists!K$23)*(EDATE($G23,(((Lists!K$24-$AA23)-MOD((Lists!K$24-$AA23),$Z23))-$Z23))&lt;=Lists!K$21)*(EDATE($G23,(((Lists!K$24-$AA23)-MOD((Lists!K$24-$AA23),$Z23))-$Z23))&lt;=$AB23)))))</f>
        <v>0</v>
      </c>
      <c r="S23" s="53" t="n">
        <f aca="false">IF(OR(N($E23)=0,$G23=""),0,$I23*IF($F23="Weekly",((Lists!L$21-MOD(Lists!L$21-$G23,7))&gt;=$G23)*((Lists!L$21-MOD(Lists!L$21-$G23,7))&lt;=$AB23),IF($F23="One-off",($G23&gt;Lists!L$23)*($G23&lt;=Lists!L$21),IF($F23="",0,(((Lists!L$24-$AA23)-MOD((Lists!L$24-$AA23),$Z23))&gt;=0)*(EDATE($G23,((Lists!L$24-$AA23)-MOD((Lists!L$24-$AA23),$Z23)))&gt;Lists!L$23)*(EDATE($G23,((Lists!L$24-$AA23)-MOD((Lists!L$24-$AA23),$Z23)))&lt;=Lists!L$21)*(EDATE($G23,((Lists!L$24-$AA23)-MOD((Lists!L$24-$AA23),$Z23)))&lt;=$AB23)+((((Lists!L$24-$AA23)-MOD((Lists!L$24-$AA23),$Z23))-$Z23)&gt;=0)*(EDATE($G23,(((Lists!L$24-$AA23)-MOD((Lists!L$24-$AA23),$Z23))-$Z23))&gt;Lists!L$23)*(EDATE($G23,(((Lists!L$24-$AA23)-MOD((Lists!L$24-$AA23),$Z23))-$Z23))&lt;=Lists!L$21)*(EDATE($G23,(((Lists!L$24-$AA23)-MOD((Lists!L$24-$AA23),$Z23))-$Z23))&lt;=$AB23)))))</f>
        <v>0</v>
      </c>
      <c r="T23" s="53" t="n">
        <f aca="false">IF(OR(N($E23)=0,$G23=""),0,$I23*IF($F23="Weekly",((Lists!M$21-MOD(Lists!M$21-$G23,7))&gt;=$G23)*((Lists!M$21-MOD(Lists!M$21-$G23,7))&lt;=$AB23),IF($F23="One-off",($G23&gt;Lists!M$23)*($G23&lt;=Lists!M$21),IF($F23="",0,(((Lists!M$24-$AA23)-MOD((Lists!M$24-$AA23),$Z23))&gt;=0)*(EDATE($G23,((Lists!M$24-$AA23)-MOD((Lists!M$24-$AA23),$Z23)))&gt;Lists!M$23)*(EDATE($G23,((Lists!M$24-$AA23)-MOD((Lists!M$24-$AA23),$Z23)))&lt;=Lists!M$21)*(EDATE($G23,((Lists!M$24-$AA23)-MOD((Lists!M$24-$AA23),$Z23)))&lt;=$AB23)+((((Lists!M$24-$AA23)-MOD((Lists!M$24-$AA23),$Z23))-$Z23)&gt;=0)*(EDATE($G23,(((Lists!M$24-$AA23)-MOD((Lists!M$24-$AA23),$Z23))-$Z23))&gt;Lists!M$23)*(EDATE($G23,(((Lists!M$24-$AA23)-MOD((Lists!M$24-$AA23),$Z23))-$Z23))&lt;=Lists!M$21)*(EDATE($G23,(((Lists!M$24-$AA23)-MOD((Lists!M$24-$AA23),$Z23))-$Z23))&lt;=$AB23)))))</f>
        <v>0</v>
      </c>
      <c r="U23" s="53" t="n">
        <f aca="false">IF(OR(N($E23)=0,$G23=""),0,$I23*IF($F23="Weekly",((Lists!N$21-MOD(Lists!N$21-$G23,7))&gt;=$G23)*((Lists!N$21-MOD(Lists!N$21-$G23,7))&lt;=$AB23),IF($F23="One-off",($G23&gt;Lists!N$23)*($G23&lt;=Lists!N$21),IF($F23="",0,(((Lists!N$24-$AA23)-MOD((Lists!N$24-$AA23),$Z23))&gt;=0)*(EDATE($G23,((Lists!N$24-$AA23)-MOD((Lists!N$24-$AA23),$Z23)))&gt;Lists!N$23)*(EDATE($G23,((Lists!N$24-$AA23)-MOD((Lists!N$24-$AA23),$Z23)))&lt;=Lists!N$21)*(EDATE($G23,((Lists!N$24-$AA23)-MOD((Lists!N$24-$AA23),$Z23)))&lt;=$AB23)+((((Lists!N$24-$AA23)-MOD((Lists!N$24-$AA23),$Z23))-$Z23)&gt;=0)*(EDATE($G23,(((Lists!N$24-$AA23)-MOD((Lists!N$24-$AA23),$Z23))-$Z23))&gt;Lists!N$23)*(EDATE($G23,(((Lists!N$24-$AA23)-MOD((Lists!N$24-$AA23),$Z23))-$Z23))&lt;=Lists!N$21)*(EDATE($G23,(((Lists!N$24-$AA23)-MOD((Lists!N$24-$AA23),$Z23))-$Z23))&lt;=$AB23)))))</f>
        <v>0</v>
      </c>
      <c r="V23" s="53" t="n">
        <f aca="false">IF(OR(N($E23)=0,$G23=""),0,$I23*IF($F23="Weekly",((Lists!O$21-MOD(Lists!O$21-$G23,7))&gt;=$G23)*((Lists!O$21-MOD(Lists!O$21-$G23,7))&lt;=$AB23),IF($F23="One-off",($G23&gt;Lists!O$23)*($G23&lt;=Lists!O$21),IF($F23="",0,(((Lists!O$24-$AA23)-MOD((Lists!O$24-$AA23),$Z23))&gt;=0)*(EDATE($G23,((Lists!O$24-$AA23)-MOD((Lists!O$24-$AA23),$Z23)))&gt;Lists!O$23)*(EDATE($G23,((Lists!O$24-$AA23)-MOD((Lists!O$24-$AA23),$Z23)))&lt;=Lists!O$21)*(EDATE($G23,((Lists!O$24-$AA23)-MOD((Lists!O$24-$AA23),$Z23)))&lt;=$AB23)+((((Lists!O$24-$AA23)-MOD((Lists!O$24-$AA23),$Z23))-$Z23)&gt;=0)*(EDATE($G23,(((Lists!O$24-$AA23)-MOD((Lists!O$24-$AA23),$Z23))-$Z23))&gt;Lists!O$23)*(EDATE($G23,(((Lists!O$24-$AA23)-MOD((Lists!O$24-$AA23),$Z23))-$Z23))&lt;=Lists!O$21)*(EDATE($G23,(((Lists!O$24-$AA23)-MOD((Lists!O$24-$AA23),$Z23))-$Z23))&lt;=$AB23)))))</f>
        <v>0</v>
      </c>
      <c r="W23" s="46" t="n">
        <f aca="false">SUM(J23:V23)</f>
        <v>0</v>
      </c>
      <c r="X23" s="2"/>
      <c r="Y23" s="104" t="n">
        <f aca="false">IF(AND(Setup!$D$16="Yes",D23&lt;&gt;"No"),1+Setup!$D$17,1)</f>
        <v>1.2</v>
      </c>
      <c r="Z23" s="94" t="n">
        <f aca="false">IF(F23="Quarterly",3,IF(F23="Annually",12,1))</f>
        <v>1</v>
      </c>
      <c r="AA23" s="94" t="n">
        <f aca="false">IF(G23="",0,YEAR(G23)*12+MONTH(G23))</f>
        <v>0</v>
      </c>
      <c r="AB23" s="93" t="n">
        <f aca="false">IF(H23="",2958465,H23)</f>
        <v>2958465</v>
      </c>
      <c r="AC23" s="95" t="str">
        <f aca="false">IF(C23="","Other overheads",C23)</f>
        <v>Other overheads</v>
      </c>
    </row>
    <row r="24" customFormat="false" ht="15" hidden="false" customHeight="false" outlineLevel="0" collapsed="false">
      <c r="A24" s="87" t="n">
        <v>16</v>
      </c>
      <c r="B24" s="55"/>
      <c r="C24" s="55"/>
      <c r="D24" s="58"/>
      <c r="E24" s="88"/>
      <c r="F24" s="58"/>
      <c r="G24" s="90"/>
      <c r="H24" s="90"/>
      <c r="I24" s="92" t="n">
        <f aca="false">N(E24)*Y24</f>
        <v>0</v>
      </c>
      <c r="J24" s="53" t="n">
        <f aca="false">IF(OR(N($E24)=0,$G24=""),0,$I24*IF($F24="Weekly",((Lists!C$21-MOD(Lists!C$21-$G24,7))&gt;=$G24)*((Lists!C$21-MOD(Lists!C$21-$G24,7))&lt;=$AB24),IF($F24="One-off",($G24&gt;Lists!C$23)*($G24&lt;=Lists!C$21),IF($F24="",0,(((Lists!C$24-$AA24)-MOD((Lists!C$24-$AA24),$Z24))&gt;=0)*(EDATE($G24,((Lists!C$24-$AA24)-MOD((Lists!C$24-$AA24),$Z24)))&gt;Lists!C$23)*(EDATE($G24,((Lists!C$24-$AA24)-MOD((Lists!C$24-$AA24),$Z24)))&lt;=Lists!C$21)*(EDATE($G24,((Lists!C$24-$AA24)-MOD((Lists!C$24-$AA24),$Z24)))&lt;=$AB24)+((((Lists!C$24-$AA24)-MOD((Lists!C$24-$AA24),$Z24))-$Z24)&gt;=0)*(EDATE($G24,(((Lists!C$24-$AA24)-MOD((Lists!C$24-$AA24),$Z24))-$Z24))&gt;Lists!C$23)*(EDATE($G24,(((Lists!C$24-$AA24)-MOD((Lists!C$24-$AA24),$Z24))-$Z24))&lt;=Lists!C$21)*(EDATE($G24,(((Lists!C$24-$AA24)-MOD((Lists!C$24-$AA24),$Z24))-$Z24))&lt;=$AB24)))))</f>
        <v>0</v>
      </c>
      <c r="K24" s="53" t="n">
        <f aca="false">IF(OR(N($E24)=0,$G24=""),0,$I24*IF($F24="Weekly",((Lists!D$21-MOD(Lists!D$21-$G24,7))&gt;=$G24)*((Lists!D$21-MOD(Lists!D$21-$G24,7))&lt;=$AB24),IF($F24="One-off",($G24&gt;Lists!D$23)*($G24&lt;=Lists!D$21),IF($F24="",0,(((Lists!D$24-$AA24)-MOD((Lists!D$24-$AA24),$Z24))&gt;=0)*(EDATE($G24,((Lists!D$24-$AA24)-MOD((Lists!D$24-$AA24),$Z24)))&gt;Lists!D$23)*(EDATE($G24,((Lists!D$24-$AA24)-MOD((Lists!D$24-$AA24),$Z24)))&lt;=Lists!D$21)*(EDATE($G24,((Lists!D$24-$AA24)-MOD((Lists!D$24-$AA24),$Z24)))&lt;=$AB24)+((((Lists!D$24-$AA24)-MOD((Lists!D$24-$AA24),$Z24))-$Z24)&gt;=0)*(EDATE($G24,(((Lists!D$24-$AA24)-MOD((Lists!D$24-$AA24),$Z24))-$Z24))&gt;Lists!D$23)*(EDATE($G24,(((Lists!D$24-$AA24)-MOD((Lists!D$24-$AA24),$Z24))-$Z24))&lt;=Lists!D$21)*(EDATE($G24,(((Lists!D$24-$AA24)-MOD((Lists!D$24-$AA24),$Z24))-$Z24))&lt;=$AB24)))))</f>
        <v>0</v>
      </c>
      <c r="L24" s="53" t="n">
        <f aca="false">IF(OR(N($E24)=0,$G24=""),0,$I24*IF($F24="Weekly",((Lists!E$21-MOD(Lists!E$21-$G24,7))&gt;=$G24)*((Lists!E$21-MOD(Lists!E$21-$G24,7))&lt;=$AB24),IF($F24="One-off",($G24&gt;Lists!E$23)*($G24&lt;=Lists!E$21),IF($F24="",0,(((Lists!E$24-$AA24)-MOD((Lists!E$24-$AA24),$Z24))&gt;=0)*(EDATE($G24,((Lists!E$24-$AA24)-MOD((Lists!E$24-$AA24),$Z24)))&gt;Lists!E$23)*(EDATE($G24,((Lists!E$24-$AA24)-MOD((Lists!E$24-$AA24),$Z24)))&lt;=Lists!E$21)*(EDATE($G24,((Lists!E$24-$AA24)-MOD((Lists!E$24-$AA24),$Z24)))&lt;=$AB24)+((((Lists!E$24-$AA24)-MOD((Lists!E$24-$AA24),$Z24))-$Z24)&gt;=0)*(EDATE($G24,(((Lists!E$24-$AA24)-MOD((Lists!E$24-$AA24),$Z24))-$Z24))&gt;Lists!E$23)*(EDATE($G24,(((Lists!E$24-$AA24)-MOD((Lists!E$24-$AA24),$Z24))-$Z24))&lt;=Lists!E$21)*(EDATE($G24,(((Lists!E$24-$AA24)-MOD((Lists!E$24-$AA24),$Z24))-$Z24))&lt;=$AB24)))))</f>
        <v>0</v>
      </c>
      <c r="M24" s="53" t="n">
        <f aca="false">IF(OR(N($E24)=0,$G24=""),0,$I24*IF($F24="Weekly",((Lists!F$21-MOD(Lists!F$21-$G24,7))&gt;=$G24)*((Lists!F$21-MOD(Lists!F$21-$G24,7))&lt;=$AB24),IF($F24="One-off",($G24&gt;Lists!F$23)*($G24&lt;=Lists!F$21),IF($F24="",0,(((Lists!F$24-$AA24)-MOD((Lists!F$24-$AA24),$Z24))&gt;=0)*(EDATE($G24,((Lists!F$24-$AA24)-MOD((Lists!F$24-$AA24),$Z24)))&gt;Lists!F$23)*(EDATE($G24,((Lists!F$24-$AA24)-MOD((Lists!F$24-$AA24),$Z24)))&lt;=Lists!F$21)*(EDATE($G24,((Lists!F$24-$AA24)-MOD((Lists!F$24-$AA24),$Z24)))&lt;=$AB24)+((((Lists!F$24-$AA24)-MOD((Lists!F$24-$AA24),$Z24))-$Z24)&gt;=0)*(EDATE($G24,(((Lists!F$24-$AA24)-MOD((Lists!F$24-$AA24),$Z24))-$Z24))&gt;Lists!F$23)*(EDATE($G24,(((Lists!F$24-$AA24)-MOD((Lists!F$24-$AA24),$Z24))-$Z24))&lt;=Lists!F$21)*(EDATE($G24,(((Lists!F$24-$AA24)-MOD((Lists!F$24-$AA24),$Z24))-$Z24))&lt;=$AB24)))))</f>
        <v>0</v>
      </c>
      <c r="N24" s="53" t="n">
        <f aca="false">IF(OR(N($E24)=0,$G24=""),0,$I24*IF($F24="Weekly",((Lists!G$21-MOD(Lists!G$21-$G24,7))&gt;=$G24)*((Lists!G$21-MOD(Lists!G$21-$G24,7))&lt;=$AB24),IF($F24="One-off",($G24&gt;Lists!G$23)*($G24&lt;=Lists!G$21),IF($F24="",0,(((Lists!G$24-$AA24)-MOD((Lists!G$24-$AA24),$Z24))&gt;=0)*(EDATE($G24,((Lists!G$24-$AA24)-MOD((Lists!G$24-$AA24),$Z24)))&gt;Lists!G$23)*(EDATE($G24,((Lists!G$24-$AA24)-MOD((Lists!G$24-$AA24),$Z24)))&lt;=Lists!G$21)*(EDATE($G24,((Lists!G$24-$AA24)-MOD((Lists!G$24-$AA24),$Z24)))&lt;=$AB24)+((((Lists!G$24-$AA24)-MOD((Lists!G$24-$AA24),$Z24))-$Z24)&gt;=0)*(EDATE($G24,(((Lists!G$24-$AA24)-MOD((Lists!G$24-$AA24),$Z24))-$Z24))&gt;Lists!G$23)*(EDATE($G24,(((Lists!G$24-$AA24)-MOD((Lists!G$24-$AA24),$Z24))-$Z24))&lt;=Lists!G$21)*(EDATE($G24,(((Lists!G$24-$AA24)-MOD((Lists!G$24-$AA24),$Z24))-$Z24))&lt;=$AB24)))))</f>
        <v>0</v>
      </c>
      <c r="O24" s="53" t="n">
        <f aca="false">IF(OR(N($E24)=0,$G24=""),0,$I24*IF($F24="Weekly",((Lists!H$21-MOD(Lists!H$21-$G24,7))&gt;=$G24)*((Lists!H$21-MOD(Lists!H$21-$G24,7))&lt;=$AB24),IF($F24="One-off",($G24&gt;Lists!H$23)*($G24&lt;=Lists!H$21),IF($F24="",0,(((Lists!H$24-$AA24)-MOD((Lists!H$24-$AA24),$Z24))&gt;=0)*(EDATE($G24,((Lists!H$24-$AA24)-MOD((Lists!H$24-$AA24),$Z24)))&gt;Lists!H$23)*(EDATE($G24,((Lists!H$24-$AA24)-MOD((Lists!H$24-$AA24),$Z24)))&lt;=Lists!H$21)*(EDATE($G24,((Lists!H$24-$AA24)-MOD((Lists!H$24-$AA24),$Z24)))&lt;=$AB24)+((((Lists!H$24-$AA24)-MOD((Lists!H$24-$AA24),$Z24))-$Z24)&gt;=0)*(EDATE($G24,(((Lists!H$24-$AA24)-MOD((Lists!H$24-$AA24),$Z24))-$Z24))&gt;Lists!H$23)*(EDATE($G24,(((Lists!H$24-$AA24)-MOD((Lists!H$24-$AA24),$Z24))-$Z24))&lt;=Lists!H$21)*(EDATE($G24,(((Lists!H$24-$AA24)-MOD((Lists!H$24-$AA24),$Z24))-$Z24))&lt;=$AB24)))))</f>
        <v>0</v>
      </c>
      <c r="P24" s="53" t="n">
        <f aca="false">IF(OR(N($E24)=0,$G24=""),0,$I24*IF($F24="Weekly",((Lists!I$21-MOD(Lists!I$21-$G24,7))&gt;=$G24)*((Lists!I$21-MOD(Lists!I$21-$G24,7))&lt;=$AB24),IF($F24="One-off",($G24&gt;Lists!I$23)*($G24&lt;=Lists!I$21),IF($F24="",0,(((Lists!I$24-$AA24)-MOD((Lists!I$24-$AA24),$Z24))&gt;=0)*(EDATE($G24,((Lists!I$24-$AA24)-MOD((Lists!I$24-$AA24),$Z24)))&gt;Lists!I$23)*(EDATE($G24,((Lists!I$24-$AA24)-MOD((Lists!I$24-$AA24),$Z24)))&lt;=Lists!I$21)*(EDATE($G24,((Lists!I$24-$AA24)-MOD((Lists!I$24-$AA24),$Z24)))&lt;=$AB24)+((((Lists!I$24-$AA24)-MOD((Lists!I$24-$AA24),$Z24))-$Z24)&gt;=0)*(EDATE($G24,(((Lists!I$24-$AA24)-MOD((Lists!I$24-$AA24),$Z24))-$Z24))&gt;Lists!I$23)*(EDATE($G24,(((Lists!I$24-$AA24)-MOD((Lists!I$24-$AA24),$Z24))-$Z24))&lt;=Lists!I$21)*(EDATE($G24,(((Lists!I$24-$AA24)-MOD((Lists!I$24-$AA24),$Z24))-$Z24))&lt;=$AB24)))))</f>
        <v>0</v>
      </c>
      <c r="Q24" s="53" t="n">
        <f aca="false">IF(OR(N($E24)=0,$G24=""),0,$I24*IF($F24="Weekly",((Lists!J$21-MOD(Lists!J$21-$G24,7))&gt;=$G24)*((Lists!J$21-MOD(Lists!J$21-$G24,7))&lt;=$AB24),IF($F24="One-off",($G24&gt;Lists!J$23)*($G24&lt;=Lists!J$21),IF($F24="",0,(((Lists!J$24-$AA24)-MOD((Lists!J$24-$AA24),$Z24))&gt;=0)*(EDATE($G24,((Lists!J$24-$AA24)-MOD((Lists!J$24-$AA24),$Z24)))&gt;Lists!J$23)*(EDATE($G24,((Lists!J$24-$AA24)-MOD((Lists!J$24-$AA24),$Z24)))&lt;=Lists!J$21)*(EDATE($G24,((Lists!J$24-$AA24)-MOD((Lists!J$24-$AA24),$Z24)))&lt;=$AB24)+((((Lists!J$24-$AA24)-MOD((Lists!J$24-$AA24),$Z24))-$Z24)&gt;=0)*(EDATE($G24,(((Lists!J$24-$AA24)-MOD((Lists!J$24-$AA24),$Z24))-$Z24))&gt;Lists!J$23)*(EDATE($G24,(((Lists!J$24-$AA24)-MOD((Lists!J$24-$AA24),$Z24))-$Z24))&lt;=Lists!J$21)*(EDATE($G24,(((Lists!J$24-$AA24)-MOD((Lists!J$24-$AA24),$Z24))-$Z24))&lt;=$AB24)))))</f>
        <v>0</v>
      </c>
      <c r="R24" s="53" t="n">
        <f aca="false">IF(OR(N($E24)=0,$G24=""),0,$I24*IF($F24="Weekly",((Lists!K$21-MOD(Lists!K$21-$G24,7))&gt;=$G24)*((Lists!K$21-MOD(Lists!K$21-$G24,7))&lt;=$AB24),IF($F24="One-off",($G24&gt;Lists!K$23)*($G24&lt;=Lists!K$21),IF($F24="",0,(((Lists!K$24-$AA24)-MOD((Lists!K$24-$AA24),$Z24))&gt;=0)*(EDATE($G24,((Lists!K$24-$AA24)-MOD((Lists!K$24-$AA24),$Z24)))&gt;Lists!K$23)*(EDATE($G24,((Lists!K$24-$AA24)-MOD((Lists!K$24-$AA24),$Z24)))&lt;=Lists!K$21)*(EDATE($G24,((Lists!K$24-$AA24)-MOD((Lists!K$24-$AA24),$Z24)))&lt;=$AB24)+((((Lists!K$24-$AA24)-MOD((Lists!K$24-$AA24),$Z24))-$Z24)&gt;=0)*(EDATE($G24,(((Lists!K$24-$AA24)-MOD((Lists!K$24-$AA24),$Z24))-$Z24))&gt;Lists!K$23)*(EDATE($G24,(((Lists!K$24-$AA24)-MOD((Lists!K$24-$AA24),$Z24))-$Z24))&lt;=Lists!K$21)*(EDATE($G24,(((Lists!K$24-$AA24)-MOD((Lists!K$24-$AA24),$Z24))-$Z24))&lt;=$AB24)))))</f>
        <v>0</v>
      </c>
      <c r="S24" s="53" t="n">
        <f aca="false">IF(OR(N($E24)=0,$G24=""),0,$I24*IF($F24="Weekly",((Lists!L$21-MOD(Lists!L$21-$G24,7))&gt;=$G24)*((Lists!L$21-MOD(Lists!L$21-$G24,7))&lt;=$AB24),IF($F24="One-off",($G24&gt;Lists!L$23)*($G24&lt;=Lists!L$21),IF($F24="",0,(((Lists!L$24-$AA24)-MOD((Lists!L$24-$AA24),$Z24))&gt;=0)*(EDATE($G24,((Lists!L$24-$AA24)-MOD((Lists!L$24-$AA24),$Z24)))&gt;Lists!L$23)*(EDATE($G24,((Lists!L$24-$AA24)-MOD((Lists!L$24-$AA24),$Z24)))&lt;=Lists!L$21)*(EDATE($G24,((Lists!L$24-$AA24)-MOD((Lists!L$24-$AA24),$Z24)))&lt;=$AB24)+((((Lists!L$24-$AA24)-MOD((Lists!L$24-$AA24),$Z24))-$Z24)&gt;=0)*(EDATE($G24,(((Lists!L$24-$AA24)-MOD((Lists!L$24-$AA24),$Z24))-$Z24))&gt;Lists!L$23)*(EDATE($G24,(((Lists!L$24-$AA24)-MOD((Lists!L$24-$AA24),$Z24))-$Z24))&lt;=Lists!L$21)*(EDATE($G24,(((Lists!L$24-$AA24)-MOD((Lists!L$24-$AA24),$Z24))-$Z24))&lt;=$AB24)))))</f>
        <v>0</v>
      </c>
      <c r="T24" s="53" t="n">
        <f aca="false">IF(OR(N($E24)=0,$G24=""),0,$I24*IF($F24="Weekly",((Lists!M$21-MOD(Lists!M$21-$G24,7))&gt;=$G24)*((Lists!M$21-MOD(Lists!M$21-$G24,7))&lt;=$AB24),IF($F24="One-off",($G24&gt;Lists!M$23)*($G24&lt;=Lists!M$21),IF($F24="",0,(((Lists!M$24-$AA24)-MOD((Lists!M$24-$AA24),$Z24))&gt;=0)*(EDATE($G24,((Lists!M$24-$AA24)-MOD((Lists!M$24-$AA24),$Z24)))&gt;Lists!M$23)*(EDATE($G24,((Lists!M$24-$AA24)-MOD((Lists!M$24-$AA24),$Z24)))&lt;=Lists!M$21)*(EDATE($G24,((Lists!M$24-$AA24)-MOD((Lists!M$24-$AA24),$Z24)))&lt;=$AB24)+((((Lists!M$24-$AA24)-MOD((Lists!M$24-$AA24),$Z24))-$Z24)&gt;=0)*(EDATE($G24,(((Lists!M$24-$AA24)-MOD((Lists!M$24-$AA24),$Z24))-$Z24))&gt;Lists!M$23)*(EDATE($G24,(((Lists!M$24-$AA24)-MOD((Lists!M$24-$AA24),$Z24))-$Z24))&lt;=Lists!M$21)*(EDATE($G24,(((Lists!M$24-$AA24)-MOD((Lists!M$24-$AA24),$Z24))-$Z24))&lt;=$AB24)))))</f>
        <v>0</v>
      </c>
      <c r="U24" s="53" t="n">
        <f aca="false">IF(OR(N($E24)=0,$G24=""),0,$I24*IF($F24="Weekly",((Lists!N$21-MOD(Lists!N$21-$G24,7))&gt;=$G24)*((Lists!N$21-MOD(Lists!N$21-$G24,7))&lt;=$AB24),IF($F24="One-off",($G24&gt;Lists!N$23)*($G24&lt;=Lists!N$21),IF($F24="",0,(((Lists!N$24-$AA24)-MOD((Lists!N$24-$AA24),$Z24))&gt;=0)*(EDATE($G24,((Lists!N$24-$AA24)-MOD((Lists!N$24-$AA24),$Z24)))&gt;Lists!N$23)*(EDATE($G24,((Lists!N$24-$AA24)-MOD((Lists!N$24-$AA24),$Z24)))&lt;=Lists!N$21)*(EDATE($G24,((Lists!N$24-$AA24)-MOD((Lists!N$24-$AA24),$Z24)))&lt;=$AB24)+((((Lists!N$24-$AA24)-MOD((Lists!N$24-$AA24),$Z24))-$Z24)&gt;=0)*(EDATE($G24,(((Lists!N$24-$AA24)-MOD((Lists!N$24-$AA24),$Z24))-$Z24))&gt;Lists!N$23)*(EDATE($G24,(((Lists!N$24-$AA24)-MOD((Lists!N$24-$AA24),$Z24))-$Z24))&lt;=Lists!N$21)*(EDATE($G24,(((Lists!N$24-$AA24)-MOD((Lists!N$24-$AA24),$Z24))-$Z24))&lt;=$AB24)))))</f>
        <v>0</v>
      </c>
      <c r="V24" s="53" t="n">
        <f aca="false">IF(OR(N($E24)=0,$G24=""),0,$I24*IF($F24="Weekly",((Lists!O$21-MOD(Lists!O$21-$G24,7))&gt;=$G24)*((Lists!O$21-MOD(Lists!O$21-$G24,7))&lt;=$AB24),IF($F24="One-off",($G24&gt;Lists!O$23)*($G24&lt;=Lists!O$21),IF($F24="",0,(((Lists!O$24-$AA24)-MOD((Lists!O$24-$AA24),$Z24))&gt;=0)*(EDATE($G24,((Lists!O$24-$AA24)-MOD((Lists!O$24-$AA24),$Z24)))&gt;Lists!O$23)*(EDATE($G24,((Lists!O$24-$AA24)-MOD((Lists!O$24-$AA24),$Z24)))&lt;=Lists!O$21)*(EDATE($G24,((Lists!O$24-$AA24)-MOD((Lists!O$24-$AA24),$Z24)))&lt;=$AB24)+((((Lists!O$24-$AA24)-MOD((Lists!O$24-$AA24),$Z24))-$Z24)&gt;=0)*(EDATE($G24,(((Lists!O$24-$AA24)-MOD((Lists!O$24-$AA24),$Z24))-$Z24))&gt;Lists!O$23)*(EDATE($G24,(((Lists!O$24-$AA24)-MOD((Lists!O$24-$AA24),$Z24))-$Z24))&lt;=Lists!O$21)*(EDATE($G24,(((Lists!O$24-$AA24)-MOD((Lists!O$24-$AA24),$Z24))-$Z24))&lt;=$AB24)))))</f>
        <v>0</v>
      </c>
      <c r="W24" s="46" t="n">
        <f aca="false">SUM(J24:V24)</f>
        <v>0</v>
      </c>
      <c r="X24" s="2"/>
      <c r="Y24" s="104" t="n">
        <f aca="false">IF(AND(Setup!$D$16="Yes",D24&lt;&gt;"No"),1+Setup!$D$17,1)</f>
        <v>1.2</v>
      </c>
      <c r="Z24" s="94" t="n">
        <f aca="false">IF(F24="Quarterly",3,IF(F24="Annually",12,1))</f>
        <v>1</v>
      </c>
      <c r="AA24" s="94" t="n">
        <f aca="false">IF(G24="",0,YEAR(G24)*12+MONTH(G24))</f>
        <v>0</v>
      </c>
      <c r="AB24" s="93" t="n">
        <f aca="false">IF(H24="",2958465,H24)</f>
        <v>2958465</v>
      </c>
      <c r="AC24" s="95" t="str">
        <f aca="false">IF(C24="","Other overheads",C24)</f>
        <v>Other overheads</v>
      </c>
    </row>
    <row r="25" customFormat="false" ht="15" hidden="false" customHeight="false" outlineLevel="0" collapsed="false">
      <c r="A25" s="87" t="n">
        <v>17</v>
      </c>
      <c r="B25" s="55"/>
      <c r="C25" s="55"/>
      <c r="D25" s="58"/>
      <c r="E25" s="88"/>
      <c r="F25" s="58"/>
      <c r="G25" s="90"/>
      <c r="H25" s="90"/>
      <c r="I25" s="92" t="n">
        <f aca="false">N(E25)*Y25</f>
        <v>0</v>
      </c>
      <c r="J25" s="53" t="n">
        <f aca="false">IF(OR(N($E25)=0,$G25=""),0,$I25*IF($F25="Weekly",((Lists!C$21-MOD(Lists!C$21-$G25,7))&gt;=$G25)*((Lists!C$21-MOD(Lists!C$21-$G25,7))&lt;=$AB25),IF($F25="One-off",($G25&gt;Lists!C$23)*($G25&lt;=Lists!C$21),IF($F25="",0,(((Lists!C$24-$AA25)-MOD((Lists!C$24-$AA25),$Z25))&gt;=0)*(EDATE($G25,((Lists!C$24-$AA25)-MOD((Lists!C$24-$AA25),$Z25)))&gt;Lists!C$23)*(EDATE($G25,((Lists!C$24-$AA25)-MOD((Lists!C$24-$AA25),$Z25)))&lt;=Lists!C$21)*(EDATE($G25,((Lists!C$24-$AA25)-MOD((Lists!C$24-$AA25),$Z25)))&lt;=$AB25)+((((Lists!C$24-$AA25)-MOD((Lists!C$24-$AA25),$Z25))-$Z25)&gt;=0)*(EDATE($G25,(((Lists!C$24-$AA25)-MOD((Lists!C$24-$AA25),$Z25))-$Z25))&gt;Lists!C$23)*(EDATE($G25,(((Lists!C$24-$AA25)-MOD((Lists!C$24-$AA25),$Z25))-$Z25))&lt;=Lists!C$21)*(EDATE($G25,(((Lists!C$24-$AA25)-MOD((Lists!C$24-$AA25),$Z25))-$Z25))&lt;=$AB25)))))</f>
        <v>0</v>
      </c>
      <c r="K25" s="53" t="n">
        <f aca="false">IF(OR(N($E25)=0,$G25=""),0,$I25*IF($F25="Weekly",((Lists!D$21-MOD(Lists!D$21-$G25,7))&gt;=$G25)*((Lists!D$21-MOD(Lists!D$21-$G25,7))&lt;=$AB25),IF($F25="One-off",($G25&gt;Lists!D$23)*($G25&lt;=Lists!D$21),IF($F25="",0,(((Lists!D$24-$AA25)-MOD((Lists!D$24-$AA25),$Z25))&gt;=0)*(EDATE($G25,((Lists!D$24-$AA25)-MOD((Lists!D$24-$AA25),$Z25)))&gt;Lists!D$23)*(EDATE($G25,((Lists!D$24-$AA25)-MOD((Lists!D$24-$AA25),$Z25)))&lt;=Lists!D$21)*(EDATE($G25,((Lists!D$24-$AA25)-MOD((Lists!D$24-$AA25),$Z25)))&lt;=$AB25)+((((Lists!D$24-$AA25)-MOD((Lists!D$24-$AA25),$Z25))-$Z25)&gt;=0)*(EDATE($G25,(((Lists!D$24-$AA25)-MOD((Lists!D$24-$AA25),$Z25))-$Z25))&gt;Lists!D$23)*(EDATE($G25,(((Lists!D$24-$AA25)-MOD((Lists!D$24-$AA25),$Z25))-$Z25))&lt;=Lists!D$21)*(EDATE($G25,(((Lists!D$24-$AA25)-MOD((Lists!D$24-$AA25),$Z25))-$Z25))&lt;=$AB25)))))</f>
        <v>0</v>
      </c>
      <c r="L25" s="53" t="n">
        <f aca="false">IF(OR(N($E25)=0,$G25=""),0,$I25*IF($F25="Weekly",((Lists!E$21-MOD(Lists!E$21-$G25,7))&gt;=$G25)*((Lists!E$21-MOD(Lists!E$21-$G25,7))&lt;=$AB25),IF($F25="One-off",($G25&gt;Lists!E$23)*($G25&lt;=Lists!E$21),IF($F25="",0,(((Lists!E$24-$AA25)-MOD((Lists!E$24-$AA25),$Z25))&gt;=0)*(EDATE($G25,((Lists!E$24-$AA25)-MOD((Lists!E$24-$AA25),$Z25)))&gt;Lists!E$23)*(EDATE($G25,((Lists!E$24-$AA25)-MOD((Lists!E$24-$AA25),$Z25)))&lt;=Lists!E$21)*(EDATE($G25,((Lists!E$24-$AA25)-MOD((Lists!E$24-$AA25),$Z25)))&lt;=$AB25)+((((Lists!E$24-$AA25)-MOD((Lists!E$24-$AA25),$Z25))-$Z25)&gt;=0)*(EDATE($G25,(((Lists!E$24-$AA25)-MOD((Lists!E$24-$AA25),$Z25))-$Z25))&gt;Lists!E$23)*(EDATE($G25,(((Lists!E$24-$AA25)-MOD((Lists!E$24-$AA25),$Z25))-$Z25))&lt;=Lists!E$21)*(EDATE($G25,(((Lists!E$24-$AA25)-MOD((Lists!E$24-$AA25),$Z25))-$Z25))&lt;=$AB25)))))</f>
        <v>0</v>
      </c>
      <c r="M25" s="53" t="n">
        <f aca="false">IF(OR(N($E25)=0,$G25=""),0,$I25*IF($F25="Weekly",((Lists!F$21-MOD(Lists!F$21-$G25,7))&gt;=$G25)*((Lists!F$21-MOD(Lists!F$21-$G25,7))&lt;=$AB25),IF($F25="One-off",($G25&gt;Lists!F$23)*($G25&lt;=Lists!F$21),IF($F25="",0,(((Lists!F$24-$AA25)-MOD((Lists!F$24-$AA25),$Z25))&gt;=0)*(EDATE($G25,((Lists!F$24-$AA25)-MOD((Lists!F$24-$AA25),$Z25)))&gt;Lists!F$23)*(EDATE($G25,((Lists!F$24-$AA25)-MOD((Lists!F$24-$AA25),$Z25)))&lt;=Lists!F$21)*(EDATE($G25,((Lists!F$24-$AA25)-MOD((Lists!F$24-$AA25),$Z25)))&lt;=$AB25)+((((Lists!F$24-$AA25)-MOD((Lists!F$24-$AA25),$Z25))-$Z25)&gt;=0)*(EDATE($G25,(((Lists!F$24-$AA25)-MOD((Lists!F$24-$AA25),$Z25))-$Z25))&gt;Lists!F$23)*(EDATE($G25,(((Lists!F$24-$AA25)-MOD((Lists!F$24-$AA25),$Z25))-$Z25))&lt;=Lists!F$21)*(EDATE($G25,(((Lists!F$24-$AA25)-MOD((Lists!F$24-$AA25),$Z25))-$Z25))&lt;=$AB25)))))</f>
        <v>0</v>
      </c>
      <c r="N25" s="53" t="n">
        <f aca="false">IF(OR(N($E25)=0,$G25=""),0,$I25*IF($F25="Weekly",((Lists!G$21-MOD(Lists!G$21-$G25,7))&gt;=$G25)*((Lists!G$21-MOD(Lists!G$21-$G25,7))&lt;=$AB25),IF($F25="One-off",($G25&gt;Lists!G$23)*($G25&lt;=Lists!G$21),IF($F25="",0,(((Lists!G$24-$AA25)-MOD((Lists!G$24-$AA25),$Z25))&gt;=0)*(EDATE($G25,((Lists!G$24-$AA25)-MOD((Lists!G$24-$AA25),$Z25)))&gt;Lists!G$23)*(EDATE($G25,((Lists!G$24-$AA25)-MOD((Lists!G$24-$AA25),$Z25)))&lt;=Lists!G$21)*(EDATE($G25,((Lists!G$24-$AA25)-MOD((Lists!G$24-$AA25),$Z25)))&lt;=$AB25)+((((Lists!G$24-$AA25)-MOD((Lists!G$24-$AA25),$Z25))-$Z25)&gt;=0)*(EDATE($G25,(((Lists!G$24-$AA25)-MOD((Lists!G$24-$AA25),$Z25))-$Z25))&gt;Lists!G$23)*(EDATE($G25,(((Lists!G$24-$AA25)-MOD((Lists!G$24-$AA25),$Z25))-$Z25))&lt;=Lists!G$21)*(EDATE($G25,(((Lists!G$24-$AA25)-MOD((Lists!G$24-$AA25),$Z25))-$Z25))&lt;=$AB25)))))</f>
        <v>0</v>
      </c>
      <c r="O25" s="53" t="n">
        <f aca="false">IF(OR(N($E25)=0,$G25=""),0,$I25*IF($F25="Weekly",((Lists!H$21-MOD(Lists!H$21-$G25,7))&gt;=$G25)*((Lists!H$21-MOD(Lists!H$21-$G25,7))&lt;=$AB25),IF($F25="One-off",($G25&gt;Lists!H$23)*($G25&lt;=Lists!H$21),IF($F25="",0,(((Lists!H$24-$AA25)-MOD((Lists!H$24-$AA25),$Z25))&gt;=0)*(EDATE($G25,((Lists!H$24-$AA25)-MOD((Lists!H$24-$AA25),$Z25)))&gt;Lists!H$23)*(EDATE($G25,((Lists!H$24-$AA25)-MOD((Lists!H$24-$AA25),$Z25)))&lt;=Lists!H$21)*(EDATE($G25,((Lists!H$24-$AA25)-MOD((Lists!H$24-$AA25),$Z25)))&lt;=$AB25)+((((Lists!H$24-$AA25)-MOD((Lists!H$24-$AA25),$Z25))-$Z25)&gt;=0)*(EDATE($G25,(((Lists!H$24-$AA25)-MOD((Lists!H$24-$AA25),$Z25))-$Z25))&gt;Lists!H$23)*(EDATE($G25,(((Lists!H$24-$AA25)-MOD((Lists!H$24-$AA25),$Z25))-$Z25))&lt;=Lists!H$21)*(EDATE($G25,(((Lists!H$24-$AA25)-MOD((Lists!H$24-$AA25),$Z25))-$Z25))&lt;=$AB25)))))</f>
        <v>0</v>
      </c>
      <c r="P25" s="53" t="n">
        <f aca="false">IF(OR(N($E25)=0,$G25=""),0,$I25*IF($F25="Weekly",((Lists!I$21-MOD(Lists!I$21-$G25,7))&gt;=$G25)*((Lists!I$21-MOD(Lists!I$21-$G25,7))&lt;=$AB25),IF($F25="One-off",($G25&gt;Lists!I$23)*($G25&lt;=Lists!I$21),IF($F25="",0,(((Lists!I$24-$AA25)-MOD((Lists!I$24-$AA25),$Z25))&gt;=0)*(EDATE($G25,((Lists!I$24-$AA25)-MOD((Lists!I$24-$AA25),$Z25)))&gt;Lists!I$23)*(EDATE($G25,((Lists!I$24-$AA25)-MOD((Lists!I$24-$AA25),$Z25)))&lt;=Lists!I$21)*(EDATE($G25,((Lists!I$24-$AA25)-MOD((Lists!I$24-$AA25),$Z25)))&lt;=$AB25)+((((Lists!I$24-$AA25)-MOD((Lists!I$24-$AA25),$Z25))-$Z25)&gt;=0)*(EDATE($G25,(((Lists!I$24-$AA25)-MOD((Lists!I$24-$AA25),$Z25))-$Z25))&gt;Lists!I$23)*(EDATE($G25,(((Lists!I$24-$AA25)-MOD((Lists!I$24-$AA25),$Z25))-$Z25))&lt;=Lists!I$21)*(EDATE($G25,(((Lists!I$24-$AA25)-MOD((Lists!I$24-$AA25),$Z25))-$Z25))&lt;=$AB25)))))</f>
        <v>0</v>
      </c>
      <c r="Q25" s="53" t="n">
        <f aca="false">IF(OR(N($E25)=0,$G25=""),0,$I25*IF($F25="Weekly",((Lists!J$21-MOD(Lists!J$21-$G25,7))&gt;=$G25)*((Lists!J$21-MOD(Lists!J$21-$G25,7))&lt;=$AB25),IF($F25="One-off",($G25&gt;Lists!J$23)*($G25&lt;=Lists!J$21),IF($F25="",0,(((Lists!J$24-$AA25)-MOD((Lists!J$24-$AA25),$Z25))&gt;=0)*(EDATE($G25,((Lists!J$24-$AA25)-MOD((Lists!J$24-$AA25),$Z25)))&gt;Lists!J$23)*(EDATE($G25,((Lists!J$24-$AA25)-MOD((Lists!J$24-$AA25),$Z25)))&lt;=Lists!J$21)*(EDATE($G25,((Lists!J$24-$AA25)-MOD((Lists!J$24-$AA25),$Z25)))&lt;=$AB25)+((((Lists!J$24-$AA25)-MOD((Lists!J$24-$AA25),$Z25))-$Z25)&gt;=0)*(EDATE($G25,(((Lists!J$24-$AA25)-MOD((Lists!J$24-$AA25),$Z25))-$Z25))&gt;Lists!J$23)*(EDATE($G25,(((Lists!J$24-$AA25)-MOD((Lists!J$24-$AA25),$Z25))-$Z25))&lt;=Lists!J$21)*(EDATE($G25,(((Lists!J$24-$AA25)-MOD((Lists!J$24-$AA25),$Z25))-$Z25))&lt;=$AB25)))))</f>
        <v>0</v>
      </c>
      <c r="R25" s="53" t="n">
        <f aca="false">IF(OR(N($E25)=0,$G25=""),0,$I25*IF($F25="Weekly",((Lists!K$21-MOD(Lists!K$21-$G25,7))&gt;=$G25)*((Lists!K$21-MOD(Lists!K$21-$G25,7))&lt;=$AB25),IF($F25="One-off",($G25&gt;Lists!K$23)*($G25&lt;=Lists!K$21),IF($F25="",0,(((Lists!K$24-$AA25)-MOD((Lists!K$24-$AA25),$Z25))&gt;=0)*(EDATE($G25,((Lists!K$24-$AA25)-MOD((Lists!K$24-$AA25),$Z25)))&gt;Lists!K$23)*(EDATE($G25,((Lists!K$24-$AA25)-MOD((Lists!K$24-$AA25),$Z25)))&lt;=Lists!K$21)*(EDATE($G25,((Lists!K$24-$AA25)-MOD((Lists!K$24-$AA25),$Z25)))&lt;=$AB25)+((((Lists!K$24-$AA25)-MOD((Lists!K$24-$AA25),$Z25))-$Z25)&gt;=0)*(EDATE($G25,(((Lists!K$24-$AA25)-MOD((Lists!K$24-$AA25),$Z25))-$Z25))&gt;Lists!K$23)*(EDATE($G25,(((Lists!K$24-$AA25)-MOD((Lists!K$24-$AA25),$Z25))-$Z25))&lt;=Lists!K$21)*(EDATE($G25,(((Lists!K$24-$AA25)-MOD((Lists!K$24-$AA25),$Z25))-$Z25))&lt;=$AB25)))))</f>
        <v>0</v>
      </c>
      <c r="S25" s="53" t="n">
        <f aca="false">IF(OR(N($E25)=0,$G25=""),0,$I25*IF($F25="Weekly",((Lists!L$21-MOD(Lists!L$21-$G25,7))&gt;=$G25)*((Lists!L$21-MOD(Lists!L$21-$G25,7))&lt;=$AB25),IF($F25="One-off",($G25&gt;Lists!L$23)*($G25&lt;=Lists!L$21),IF($F25="",0,(((Lists!L$24-$AA25)-MOD((Lists!L$24-$AA25),$Z25))&gt;=0)*(EDATE($G25,((Lists!L$24-$AA25)-MOD((Lists!L$24-$AA25),$Z25)))&gt;Lists!L$23)*(EDATE($G25,((Lists!L$24-$AA25)-MOD((Lists!L$24-$AA25),$Z25)))&lt;=Lists!L$21)*(EDATE($G25,((Lists!L$24-$AA25)-MOD((Lists!L$24-$AA25),$Z25)))&lt;=$AB25)+((((Lists!L$24-$AA25)-MOD((Lists!L$24-$AA25),$Z25))-$Z25)&gt;=0)*(EDATE($G25,(((Lists!L$24-$AA25)-MOD((Lists!L$24-$AA25),$Z25))-$Z25))&gt;Lists!L$23)*(EDATE($G25,(((Lists!L$24-$AA25)-MOD((Lists!L$24-$AA25),$Z25))-$Z25))&lt;=Lists!L$21)*(EDATE($G25,(((Lists!L$24-$AA25)-MOD((Lists!L$24-$AA25),$Z25))-$Z25))&lt;=$AB25)))))</f>
        <v>0</v>
      </c>
      <c r="T25" s="53" t="n">
        <f aca="false">IF(OR(N($E25)=0,$G25=""),0,$I25*IF($F25="Weekly",((Lists!M$21-MOD(Lists!M$21-$G25,7))&gt;=$G25)*((Lists!M$21-MOD(Lists!M$21-$G25,7))&lt;=$AB25),IF($F25="One-off",($G25&gt;Lists!M$23)*($G25&lt;=Lists!M$21),IF($F25="",0,(((Lists!M$24-$AA25)-MOD((Lists!M$24-$AA25),$Z25))&gt;=0)*(EDATE($G25,((Lists!M$24-$AA25)-MOD((Lists!M$24-$AA25),$Z25)))&gt;Lists!M$23)*(EDATE($G25,((Lists!M$24-$AA25)-MOD((Lists!M$24-$AA25),$Z25)))&lt;=Lists!M$21)*(EDATE($G25,((Lists!M$24-$AA25)-MOD((Lists!M$24-$AA25),$Z25)))&lt;=$AB25)+((((Lists!M$24-$AA25)-MOD((Lists!M$24-$AA25),$Z25))-$Z25)&gt;=0)*(EDATE($G25,(((Lists!M$24-$AA25)-MOD((Lists!M$24-$AA25),$Z25))-$Z25))&gt;Lists!M$23)*(EDATE($G25,(((Lists!M$24-$AA25)-MOD((Lists!M$24-$AA25),$Z25))-$Z25))&lt;=Lists!M$21)*(EDATE($G25,(((Lists!M$24-$AA25)-MOD((Lists!M$24-$AA25),$Z25))-$Z25))&lt;=$AB25)))))</f>
        <v>0</v>
      </c>
      <c r="U25" s="53" t="n">
        <f aca="false">IF(OR(N($E25)=0,$G25=""),0,$I25*IF($F25="Weekly",((Lists!N$21-MOD(Lists!N$21-$G25,7))&gt;=$G25)*((Lists!N$21-MOD(Lists!N$21-$G25,7))&lt;=$AB25),IF($F25="One-off",($G25&gt;Lists!N$23)*($G25&lt;=Lists!N$21),IF($F25="",0,(((Lists!N$24-$AA25)-MOD((Lists!N$24-$AA25),$Z25))&gt;=0)*(EDATE($G25,((Lists!N$24-$AA25)-MOD((Lists!N$24-$AA25),$Z25)))&gt;Lists!N$23)*(EDATE($G25,((Lists!N$24-$AA25)-MOD((Lists!N$24-$AA25),$Z25)))&lt;=Lists!N$21)*(EDATE($G25,((Lists!N$24-$AA25)-MOD((Lists!N$24-$AA25),$Z25)))&lt;=$AB25)+((((Lists!N$24-$AA25)-MOD((Lists!N$24-$AA25),$Z25))-$Z25)&gt;=0)*(EDATE($G25,(((Lists!N$24-$AA25)-MOD((Lists!N$24-$AA25),$Z25))-$Z25))&gt;Lists!N$23)*(EDATE($G25,(((Lists!N$24-$AA25)-MOD((Lists!N$24-$AA25),$Z25))-$Z25))&lt;=Lists!N$21)*(EDATE($G25,(((Lists!N$24-$AA25)-MOD((Lists!N$24-$AA25),$Z25))-$Z25))&lt;=$AB25)))))</f>
        <v>0</v>
      </c>
      <c r="V25" s="53" t="n">
        <f aca="false">IF(OR(N($E25)=0,$G25=""),0,$I25*IF($F25="Weekly",((Lists!O$21-MOD(Lists!O$21-$G25,7))&gt;=$G25)*((Lists!O$21-MOD(Lists!O$21-$G25,7))&lt;=$AB25),IF($F25="One-off",($G25&gt;Lists!O$23)*($G25&lt;=Lists!O$21),IF($F25="",0,(((Lists!O$24-$AA25)-MOD((Lists!O$24-$AA25),$Z25))&gt;=0)*(EDATE($G25,((Lists!O$24-$AA25)-MOD((Lists!O$24-$AA25),$Z25)))&gt;Lists!O$23)*(EDATE($G25,((Lists!O$24-$AA25)-MOD((Lists!O$24-$AA25),$Z25)))&lt;=Lists!O$21)*(EDATE($G25,((Lists!O$24-$AA25)-MOD((Lists!O$24-$AA25),$Z25)))&lt;=$AB25)+((((Lists!O$24-$AA25)-MOD((Lists!O$24-$AA25),$Z25))-$Z25)&gt;=0)*(EDATE($G25,(((Lists!O$24-$AA25)-MOD((Lists!O$24-$AA25),$Z25))-$Z25))&gt;Lists!O$23)*(EDATE($G25,(((Lists!O$24-$AA25)-MOD((Lists!O$24-$AA25),$Z25))-$Z25))&lt;=Lists!O$21)*(EDATE($G25,(((Lists!O$24-$AA25)-MOD((Lists!O$24-$AA25),$Z25))-$Z25))&lt;=$AB25)))))</f>
        <v>0</v>
      </c>
      <c r="W25" s="46" t="n">
        <f aca="false">SUM(J25:V25)</f>
        <v>0</v>
      </c>
      <c r="X25" s="2"/>
      <c r="Y25" s="104" t="n">
        <f aca="false">IF(AND(Setup!$D$16="Yes",D25&lt;&gt;"No"),1+Setup!$D$17,1)</f>
        <v>1.2</v>
      </c>
      <c r="Z25" s="94" t="n">
        <f aca="false">IF(F25="Quarterly",3,IF(F25="Annually",12,1))</f>
        <v>1</v>
      </c>
      <c r="AA25" s="94" t="n">
        <f aca="false">IF(G25="",0,YEAR(G25)*12+MONTH(G25))</f>
        <v>0</v>
      </c>
      <c r="AB25" s="93" t="n">
        <f aca="false">IF(H25="",2958465,H25)</f>
        <v>2958465</v>
      </c>
      <c r="AC25" s="95" t="str">
        <f aca="false">IF(C25="","Other overheads",C25)</f>
        <v>Other overheads</v>
      </c>
    </row>
    <row r="26" customFormat="false" ht="15" hidden="false" customHeight="false" outlineLevel="0" collapsed="false">
      <c r="A26" s="87" t="n">
        <v>18</v>
      </c>
      <c r="B26" s="55"/>
      <c r="C26" s="55"/>
      <c r="D26" s="58"/>
      <c r="E26" s="88"/>
      <c r="F26" s="58"/>
      <c r="G26" s="90"/>
      <c r="H26" s="90"/>
      <c r="I26" s="92" t="n">
        <f aca="false">N(E26)*Y26</f>
        <v>0</v>
      </c>
      <c r="J26" s="53" t="n">
        <f aca="false">IF(OR(N($E26)=0,$G26=""),0,$I26*IF($F26="Weekly",((Lists!C$21-MOD(Lists!C$21-$G26,7))&gt;=$G26)*((Lists!C$21-MOD(Lists!C$21-$G26,7))&lt;=$AB26),IF($F26="One-off",($G26&gt;Lists!C$23)*($G26&lt;=Lists!C$21),IF($F26="",0,(((Lists!C$24-$AA26)-MOD((Lists!C$24-$AA26),$Z26))&gt;=0)*(EDATE($G26,((Lists!C$24-$AA26)-MOD((Lists!C$24-$AA26),$Z26)))&gt;Lists!C$23)*(EDATE($G26,((Lists!C$24-$AA26)-MOD((Lists!C$24-$AA26),$Z26)))&lt;=Lists!C$21)*(EDATE($G26,((Lists!C$24-$AA26)-MOD((Lists!C$24-$AA26),$Z26)))&lt;=$AB26)+((((Lists!C$24-$AA26)-MOD((Lists!C$24-$AA26),$Z26))-$Z26)&gt;=0)*(EDATE($G26,(((Lists!C$24-$AA26)-MOD((Lists!C$24-$AA26),$Z26))-$Z26))&gt;Lists!C$23)*(EDATE($G26,(((Lists!C$24-$AA26)-MOD((Lists!C$24-$AA26),$Z26))-$Z26))&lt;=Lists!C$21)*(EDATE($G26,(((Lists!C$24-$AA26)-MOD((Lists!C$24-$AA26),$Z26))-$Z26))&lt;=$AB26)))))</f>
        <v>0</v>
      </c>
      <c r="K26" s="53" t="n">
        <f aca="false">IF(OR(N($E26)=0,$G26=""),0,$I26*IF($F26="Weekly",((Lists!D$21-MOD(Lists!D$21-$G26,7))&gt;=$G26)*((Lists!D$21-MOD(Lists!D$21-$G26,7))&lt;=$AB26),IF($F26="One-off",($G26&gt;Lists!D$23)*($G26&lt;=Lists!D$21),IF($F26="",0,(((Lists!D$24-$AA26)-MOD((Lists!D$24-$AA26),$Z26))&gt;=0)*(EDATE($G26,((Lists!D$24-$AA26)-MOD((Lists!D$24-$AA26),$Z26)))&gt;Lists!D$23)*(EDATE($G26,((Lists!D$24-$AA26)-MOD((Lists!D$24-$AA26),$Z26)))&lt;=Lists!D$21)*(EDATE($G26,((Lists!D$24-$AA26)-MOD((Lists!D$24-$AA26),$Z26)))&lt;=$AB26)+((((Lists!D$24-$AA26)-MOD((Lists!D$24-$AA26),$Z26))-$Z26)&gt;=0)*(EDATE($G26,(((Lists!D$24-$AA26)-MOD((Lists!D$24-$AA26),$Z26))-$Z26))&gt;Lists!D$23)*(EDATE($G26,(((Lists!D$24-$AA26)-MOD((Lists!D$24-$AA26),$Z26))-$Z26))&lt;=Lists!D$21)*(EDATE($G26,(((Lists!D$24-$AA26)-MOD((Lists!D$24-$AA26),$Z26))-$Z26))&lt;=$AB26)))))</f>
        <v>0</v>
      </c>
      <c r="L26" s="53" t="n">
        <f aca="false">IF(OR(N($E26)=0,$G26=""),0,$I26*IF($F26="Weekly",((Lists!E$21-MOD(Lists!E$21-$G26,7))&gt;=$G26)*((Lists!E$21-MOD(Lists!E$21-$G26,7))&lt;=$AB26),IF($F26="One-off",($G26&gt;Lists!E$23)*($G26&lt;=Lists!E$21),IF($F26="",0,(((Lists!E$24-$AA26)-MOD((Lists!E$24-$AA26),$Z26))&gt;=0)*(EDATE($G26,((Lists!E$24-$AA26)-MOD((Lists!E$24-$AA26),$Z26)))&gt;Lists!E$23)*(EDATE($G26,((Lists!E$24-$AA26)-MOD((Lists!E$24-$AA26),$Z26)))&lt;=Lists!E$21)*(EDATE($G26,((Lists!E$24-$AA26)-MOD((Lists!E$24-$AA26),$Z26)))&lt;=$AB26)+((((Lists!E$24-$AA26)-MOD((Lists!E$24-$AA26),$Z26))-$Z26)&gt;=0)*(EDATE($G26,(((Lists!E$24-$AA26)-MOD((Lists!E$24-$AA26),$Z26))-$Z26))&gt;Lists!E$23)*(EDATE($G26,(((Lists!E$24-$AA26)-MOD((Lists!E$24-$AA26),$Z26))-$Z26))&lt;=Lists!E$21)*(EDATE($G26,(((Lists!E$24-$AA26)-MOD((Lists!E$24-$AA26),$Z26))-$Z26))&lt;=$AB26)))))</f>
        <v>0</v>
      </c>
      <c r="M26" s="53" t="n">
        <f aca="false">IF(OR(N($E26)=0,$G26=""),0,$I26*IF($F26="Weekly",((Lists!F$21-MOD(Lists!F$21-$G26,7))&gt;=$G26)*((Lists!F$21-MOD(Lists!F$21-$G26,7))&lt;=$AB26),IF($F26="One-off",($G26&gt;Lists!F$23)*($G26&lt;=Lists!F$21),IF($F26="",0,(((Lists!F$24-$AA26)-MOD((Lists!F$24-$AA26),$Z26))&gt;=0)*(EDATE($G26,((Lists!F$24-$AA26)-MOD((Lists!F$24-$AA26),$Z26)))&gt;Lists!F$23)*(EDATE($G26,((Lists!F$24-$AA26)-MOD((Lists!F$24-$AA26),$Z26)))&lt;=Lists!F$21)*(EDATE($G26,((Lists!F$24-$AA26)-MOD((Lists!F$24-$AA26),$Z26)))&lt;=$AB26)+((((Lists!F$24-$AA26)-MOD((Lists!F$24-$AA26),$Z26))-$Z26)&gt;=0)*(EDATE($G26,(((Lists!F$24-$AA26)-MOD((Lists!F$24-$AA26),$Z26))-$Z26))&gt;Lists!F$23)*(EDATE($G26,(((Lists!F$24-$AA26)-MOD((Lists!F$24-$AA26),$Z26))-$Z26))&lt;=Lists!F$21)*(EDATE($G26,(((Lists!F$24-$AA26)-MOD((Lists!F$24-$AA26),$Z26))-$Z26))&lt;=$AB26)))))</f>
        <v>0</v>
      </c>
      <c r="N26" s="53" t="n">
        <f aca="false">IF(OR(N($E26)=0,$G26=""),0,$I26*IF($F26="Weekly",((Lists!G$21-MOD(Lists!G$21-$G26,7))&gt;=$G26)*((Lists!G$21-MOD(Lists!G$21-$G26,7))&lt;=$AB26),IF($F26="One-off",($G26&gt;Lists!G$23)*($G26&lt;=Lists!G$21),IF($F26="",0,(((Lists!G$24-$AA26)-MOD((Lists!G$24-$AA26),$Z26))&gt;=0)*(EDATE($G26,((Lists!G$24-$AA26)-MOD((Lists!G$24-$AA26),$Z26)))&gt;Lists!G$23)*(EDATE($G26,((Lists!G$24-$AA26)-MOD((Lists!G$24-$AA26),$Z26)))&lt;=Lists!G$21)*(EDATE($G26,((Lists!G$24-$AA26)-MOD((Lists!G$24-$AA26),$Z26)))&lt;=$AB26)+((((Lists!G$24-$AA26)-MOD((Lists!G$24-$AA26),$Z26))-$Z26)&gt;=0)*(EDATE($G26,(((Lists!G$24-$AA26)-MOD((Lists!G$24-$AA26),$Z26))-$Z26))&gt;Lists!G$23)*(EDATE($G26,(((Lists!G$24-$AA26)-MOD((Lists!G$24-$AA26),$Z26))-$Z26))&lt;=Lists!G$21)*(EDATE($G26,(((Lists!G$24-$AA26)-MOD((Lists!G$24-$AA26),$Z26))-$Z26))&lt;=$AB26)))))</f>
        <v>0</v>
      </c>
      <c r="O26" s="53" t="n">
        <f aca="false">IF(OR(N($E26)=0,$G26=""),0,$I26*IF($F26="Weekly",((Lists!H$21-MOD(Lists!H$21-$G26,7))&gt;=$G26)*((Lists!H$21-MOD(Lists!H$21-$G26,7))&lt;=$AB26),IF($F26="One-off",($G26&gt;Lists!H$23)*($G26&lt;=Lists!H$21),IF($F26="",0,(((Lists!H$24-$AA26)-MOD((Lists!H$24-$AA26),$Z26))&gt;=0)*(EDATE($G26,((Lists!H$24-$AA26)-MOD((Lists!H$24-$AA26),$Z26)))&gt;Lists!H$23)*(EDATE($G26,((Lists!H$24-$AA26)-MOD((Lists!H$24-$AA26),$Z26)))&lt;=Lists!H$21)*(EDATE($G26,((Lists!H$24-$AA26)-MOD((Lists!H$24-$AA26),$Z26)))&lt;=$AB26)+((((Lists!H$24-$AA26)-MOD((Lists!H$24-$AA26),$Z26))-$Z26)&gt;=0)*(EDATE($G26,(((Lists!H$24-$AA26)-MOD((Lists!H$24-$AA26),$Z26))-$Z26))&gt;Lists!H$23)*(EDATE($G26,(((Lists!H$24-$AA26)-MOD((Lists!H$24-$AA26),$Z26))-$Z26))&lt;=Lists!H$21)*(EDATE($G26,(((Lists!H$24-$AA26)-MOD((Lists!H$24-$AA26),$Z26))-$Z26))&lt;=$AB26)))))</f>
        <v>0</v>
      </c>
      <c r="P26" s="53" t="n">
        <f aca="false">IF(OR(N($E26)=0,$G26=""),0,$I26*IF($F26="Weekly",((Lists!I$21-MOD(Lists!I$21-$G26,7))&gt;=$G26)*((Lists!I$21-MOD(Lists!I$21-$G26,7))&lt;=$AB26),IF($F26="One-off",($G26&gt;Lists!I$23)*($G26&lt;=Lists!I$21),IF($F26="",0,(((Lists!I$24-$AA26)-MOD((Lists!I$24-$AA26),$Z26))&gt;=0)*(EDATE($G26,((Lists!I$24-$AA26)-MOD((Lists!I$24-$AA26),$Z26)))&gt;Lists!I$23)*(EDATE($G26,((Lists!I$24-$AA26)-MOD((Lists!I$24-$AA26),$Z26)))&lt;=Lists!I$21)*(EDATE($G26,((Lists!I$24-$AA26)-MOD((Lists!I$24-$AA26),$Z26)))&lt;=$AB26)+((((Lists!I$24-$AA26)-MOD((Lists!I$24-$AA26),$Z26))-$Z26)&gt;=0)*(EDATE($G26,(((Lists!I$24-$AA26)-MOD((Lists!I$24-$AA26),$Z26))-$Z26))&gt;Lists!I$23)*(EDATE($G26,(((Lists!I$24-$AA26)-MOD((Lists!I$24-$AA26),$Z26))-$Z26))&lt;=Lists!I$21)*(EDATE($G26,(((Lists!I$24-$AA26)-MOD((Lists!I$24-$AA26),$Z26))-$Z26))&lt;=$AB26)))))</f>
        <v>0</v>
      </c>
      <c r="Q26" s="53" t="n">
        <f aca="false">IF(OR(N($E26)=0,$G26=""),0,$I26*IF($F26="Weekly",((Lists!J$21-MOD(Lists!J$21-$G26,7))&gt;=$G26)*((Lists!J$21-MOD(Lists!J$21-$G26,7))&lt;=$AB26),IF($F26="One-off",($G26&gt;Lists!J$23)*($G26&lt;=Lists!J$21),IF($F26="",0,(((Lists!J$24-$AA26)-MOD((Lists!J$24-$AA26),$Z26))&gt;=0)*(EDATE($G26,((Lists!J$24-$AA26)-MOD((Lists!J$24-$AA26),$Z26)))&gt;Lists!J$23)*(EDATE($G26,((Lists!J$24-$AA26)-MOD((Lists!J$24-$AA26),$Z26)))&lt;=Lists!J$21)*(EDATE($G26,((Lists!J$24-$AA26)-MOD((Lists!J$24-$AA26),$Z26)))&lt;=$AB26)+((((Lists!J$24-$AA26)-MOD((Lists!J$24-$AA26),$Z26))-$Z26)&gt;=0)*(EDATE($G26,(((Lists!J$24-$AA26)-MOD((Lists!J$24-$AA26),$Z26))-$Z26))&gt;Lists!J$23)*(EDATE($G26,(((Lists!J$24-$AA26)-MOD((Lists!J$24-$AA26),$Z26))-$Z26))&lt;=Lists!J$21)*(EDATE($G26,(((Lists!J$24-$AA26)-MOD((Lists!J$24-$AA26),$Z26))-$Z26))&lt;=$AB26)))))</f>
        <v>0</v>
      </c>
      <c r="R26" s="53" t="n">
        <f aca="false">IF(OR(N($E26)=0,$G26=""),0,$I26*IF($F26="Weekly",((Lists!K$21-MOD(Lists!K$21-$G26,7))&gt;=$G26)*((Lists!K$21-MOD(Lists!K$21-$G26,7))&lt;=$AB26),IF($F26="One-off",($G26&gt;Lists!K$23)*($G26&lt;=Lists!K$21),IF($F26="",0,(((Lists!K$24-$AA26)-MOD((Lists!K$24-$AA26),$Z26))&gt;=0)*(EDATE($G26,((Lists!K$24-$AA26)-MOD((Lists!K$24-$AA26),$Z26)))&gt;Lists!K$23)*(EDATE($G26,((Lists!K$24-$AA26)-MOD((Lists!K$24-$AA26),$Z26)))&lt;=Lists!K$21)*(EDATE($G26,((Lists!K$24-$AA26)-MOD((Lists!K$24-$AA26),$Z26)))&lt;=$AB26)+((((Lists!K$24-$AA26)-MOD((Lists!K$24-$AA26),$Z26))-$Z26)&gt;=0)*(EDATE($G26,(((Lists!K$24-$AA26)-MOD((Lists!K$24-$AA26),$Z26))-$Z26))&gt;Lists!K$23)*(EDATE($G26,(((Lists!K$24-$AA26)-MOD((Lists!K$24-$AA26),$Z26))-$Z26))&lt;=Lists!K$21)*(EDATE($G26,(((Lists!K$24-$AA26)-MOD((Lists!K$24-$AA26),$Z26))-$Z26))&lt;=$AB26)))))</f>
        <v>0</v>
      </c>
      <c r="S26" s="53" t="n">
        <f aca="false">IF(OR(N($E26)=0,$G26=""),0,$I26*IF($F26="Weekly",((Lists!L$21-MOD(Lists!L$21-$G26,7))&gt;=$G26)*((Lists!L$21-MOD(Lists!L$21-$G26,7))&lt;=$AB26),IF($F26="One-off",($G26&gt;Lists!L$23)*($G26&lt;=Lists!L$21),IF($F26="",0,(((Lists!L$24-$AA26)-MOD((Lists!L$24-$AA26),$Z26))&gt;=0)*(EDATE($G26,((Lists!L$24-$AA26)-MOD((Lists!L$24-$AA26),$Z26)))&gt;Lists!L$23)*(EDATE($G26,((Lists!L$24-$AA26)-MOD((Lists!L$24-$AA26),$Z26)))&lt;=Lists!L$21)*(EDATE($G26,((Lists!L$24-$AA26)-MOD((Lists!L$24-$AA26),$Z26)))&lt;=$AB26)+((((Lists!L$24-$AA26)-MOD((Lists!L$24-$AA26),$Z26))-$Z26)&gt;=0)*(EDATE($G26,(((Lists!L$24-$AA26)-MOD((Lists!L$24-$AA26),$Z26))-$Z26))&gt;Lists!L$23)*(EDATE($G26,(((Lists!L$24-$AA26)-MOD((Lists!L$24-$AA26),$Z26))-$Z26))&lt;=Lists!L$21)*(EDATE($G26,(((Lists!L$24-$AA26)-MOD((Lists!L$24-$AA26),$Z26))-$Z26))&lt;=$AB26)))))</f>
        <v>0</v>
      </c>
      <c r="T26" s="53" t="n">
        <f aca="false">IF(OR(N($E26)=0,$G26=""),0,$I26*IF($F26="Weekly",((Lists!M$21-MOD(Lists!M$21-$G26,7))&gt;=$G26)*((Lists!M$21-MOD(Lists!M$21-$G26,7))&lt;=$AB26),IF($F26="One-off",($G26&gt;Lists!M$23)*($G26&lt;=Lists!M$21),IF($F26="",0,(((Lists!M$24-$AA26)-MOD((Lists!M$24-$AA26),$Z26))&gt;=0)*(EDATE($G26,((Lists!M$24-$AA26)-MOD((Lists!M$24-$AA26),$Z26)))&gt;Lists!M$23)*(EDATE($G26,((Lists!M$24-$AA26)-MOD((Lists!M$24-$AA26),$Z26)))&lt;=Lists!M$21)*(EDATE($G26,((Lists!M$24-$AA26)-MOD((Lists!M$24-$AA26),$Z26)))&lt;=$AB26)+((((Lists!M$24-$AA26)-MOD((Lists!M$24-$AA26),$Z26))-$Z26)&gt;=0)*(EDATE($G26,(((Lists!M$24-$AA26)-MOD((Lists!M$24-$AA26),$Z26))-$Z26))&gt;Lists!M$23)*(EDATE($G26,(((Lists!M$24-$AA26)-MOD((Lists!M$24-$AA26),$Z26))-$Z26))&lt;=Lists!M$21)*(EDATE($G26,(((Lists!M$24-$AA26)-MOD((Lists!M$24-$AA26),$Z26))-$Z26))&lt;=$AB26)))))</f>
        <v>0</v>
      </c>
      <c r="U26" s="53" t="n">
        <f aca="false">IF(OR(N($E26)=0,$G26=""),0,$I26*IF($F26="Weekly",((Lists!N$21-MOD(Lists!N$21-$G26,7))&gt;=$G26)*((Lists!N$21-MOD(Lists!N$21-$G26,7))&lt;=$AB26),IF($F26="One-off",($G26&gt;Lists!N$23)*($G26&lt;=Lists!N$21),IF($F26="",0,(((Lists!N$24-$AA26)-MOD((Lists!N$24-$AA26),$Z26))&gt;=0)*(EDATE($G26,((Lists!N$24-$AA26)-MOD((Lists!N$24-$AA26),$Z26)))&gt;Lists!N$23)*(EDATE($G26,((Lists!N$24-$AA26)-MOD((Lists!N$24-$AA26),$Z26)))&lt;=Lists!N$21)*(EDATE($G26,((Lists!N$24-$AA26)-MOD((Lists!N$24-$AA26),$Z26)))&lt;=$AB26)+((((Lists!N$24-$AA26)-MOD((Lists!N$24-$AA26),$Z26))-$Z26)&gt;=0)*(EDATE($G26,(((Lists!N$24-$AA26)-MOD((Lists!N$24-$AA26),$Z26))-$Z26))&gt;Lists!N$23)*(EDATE($G26,(((Lists!N$24-$AA26)-MOD((Lists!N$24-$AA26),$Z26))-$Z26))&lt;=Lists!N$21)*(EDATE($G26,(((Lists!N$24-$AA26)-MOD((Lists!N$24-$AA26),$Z26))-$Z26))&lt;=$AB26)))))</f>
        <v>0</v>
      </c>
      <c r="V26" s="53" t="n">
        <f aca="false">IF(OR(N($E26)=0,$G26=""),0,$I26*IF($F26="Weekly",((Lists!O$21-MOD(Lists!O$21-$G26,7))&gt;=$G26)*((Lists!O$21-MOD(Lists!O$21-$G26,7))&lt;=$AB26),IF($F26="One-off",($G26&gt;Lists!O$23)*($G26&lt;=Lists!O$21),IF($F26="",0,(((Lists!O$24-$AA26)-MOD((Lists!O$24-$AA26),$Z26))&gt;=0)*(EDATE($G26,((Lists!O$24-$AA26)-MOD((Lists!O$24-$AA26),$Z26)))&gt;Lists!O$23)*(EDATE($G26,((Lists!O$24-$AA26)-MOD((Lists!O$24-$AA26),$Z26)))&lt;=Lists!O$21)*(EDATE($G26,((Lists!O$24-$AA26)-MOD((Lists!O$24-$AA26),$Z26)))&lt;=$AB26)+((((Lists!O$24-$AA26)-MOD((Lists!O$24-$AA26),$Z26))-$Z26)&gt;=0)*(EDATE($G26,(((Lists!O$24-$AA26)-MOD((Lists!O$24-$AA26),$Z26))-$Z26))&gt;Lists!O$23)*(EDATE($G26,(((Lists!O$24-$AA26)-MOD((Lists!O$24-$AA26),$Z26))-$Z26))&lt;=Lists!O$21)*(EDATE($G26,(((Lists!O$24-$AA26)-MOD((Lists!O$24-$AA26),$Z26))-$Z26))&lt;=$AB26)))))</f>
        <v>0</v>
      </c>
      <c r="W26" s="46" t="n">
        <f aca="false">SUM(J26:V26)</f>
        <v>0</v>
      </c>
      <c r="X26" s="2"/>
      <c r="Y26" s="104" t="n">
        <f aca="false">IF(AND(Setup!$D$16="Yes",D26&lt;&gt;"No"),1+Setup!$D$17,1)</f>
        <v>1.2</v>
      </c>
      <c r="Z26" s="94" t="n">
        <f aca="false">IF(F26="Quarterly",3,IF(F26="Annually",12,1))</f>
        <v>1</v>
      </c>
      <c r="AA26" s="94" t="n">
        <f aca="false">IF(G26="",0,YEAR(G26)*12+MONTH(G26))</f>
        <v>0</v>
      </c>
      <c r="AB26" s="93" t="n">
        <f aca="false">IF(H26="",2958465,H26)</f>
        <v>2958465</v>
      </c>
      <c r="AC26" s="95" t="str">
        <f aca="false">IF(C26="","Other overheads",C26)</f>
        <v>Other overheads</v>
      </c>
    </row>
    <row r="27" customFormat="false" ht="15" hidden="false" customHeight="false" outlineLevel="0" collapsed="false">
      <c r="A27" s="87" t="n">
        <v>19</v>
      </c>
      <c r="B27" s="55"/>
      <c r="C27" s="55"/>
      <c r="D27" s="58"/>
      <c r="E27" s="88"/>
      <c r="F27" s="58"/>
      <c r="G27" s="90"/>
      <c r="H27" s="90"/>
      <c r="I27" s="92" t="n">
        <f aca="false">N(E27)*Y27</f>
        <v>0</v>
      </c>
      <c r="J27" s="53" t="n">
        <f aca="false">IF(OR(N($E27)=0,$G27=""),0,$I27*IF($F27="Weekly",((Lists!C$21-MOD(Lists!C$21-$G27,7))&gt;=$G27)*((Lists!C$21-MOD(Lists!C$21-$G27,7))&lt;=$AB27),IF($F27="One-off",($G27&gt;Lists!C$23)*($G27&lt;=Lists!C$21),IF($F27="",0,(((Lists!C$24-$AA27)-MOD((Lists!C$24-$AA27),$Z27))&gt;=0)*(EDATE($G27,((Lists!C$24-$AA27)-MOD((Lists!C$24-$AA27),$Z27)))&gt;Lists!C$23)*(EDATE($G27,((Lists!C$24-$AA27)-MOD((Lists!C$24-$AA27),$Z27)))&lt;=Lists!C$21)*(EDATE($G27,((Lists!C$24-$AA27)-MOD((Lists!C$24-$AA27),$Z27)))&lt;=$AB27)+((((Lists!C$24-$AA27)-MOD((Lists!C$24-$AA27),$Z27))-$Z27)&gt;=0)*(EDATE($G27,(((Lists!C$24-$AA27)-MOD((Lists!C$24-$AA27),$Z27))-$Z27))&gt;Lists!C$23)*(EDATE($G27,(((Lists!C$24-$AA27)-MOD((Lists!C$24-$AA27),$Z27))-$Z27))&lt;=Lists!C$21)*(EDATE($G27,(((Lists!C$24-$AA27)-MOD((Lists!C$24-$AA27),$Z27))-$Z27))&lt;=$AB27)))))</f>
        <v>0</v>
      </c>
      <c r="K27" s="53" t="n">
        <f aca="false">IF(OR(N($E27)=0,$G27=""),0,$I27*IF($F27="Weekly",((Lists!D$21-MOD(Lists!D$21-$G27,7))&gt;=$G27)*((Lists!D$21-MOD(Lists!D$21-$G27,7))&lt;=$AB27),IF($F27="One-off",($G27&gt;Lists!D$23)*($G27&lt;=Lists!D$21),IF($F27="",0,(((Lists!D$24-$AA27)-MOD((Lists!D$24-$AA27),$Z27))&gt;=0)*(EDATE($G27,((Lists!D$24-$AA27)-MOD((Lists!D$24-$AA27),$Z27)))&gt;Lists!D$23)*(EDATE($G27,((Lists!D$24-$AA27)-MOD((Lists!D$24-$AA27),$Z27)))&lt;=Lists!D$21)*(EDATE($G27,((Lists!D$24-$AA27)-MOD((Lists!D$24-$AA27),$Z27)))&lt;=$AB27)+((((Lists!D$24-$AA27)-MOD((Lists!D$24-$AA27),$Z27))-$Z27)&gt;=0)*(EDATE($G27,(((Lists!D$24-$AA27)-MOD((Lists!D$24-$AA27),$Z27))-$Z27))&gt;Lists!D$23)*(EDATE($G27,(((Lists!D$24-$AA27)-MOD((Lists!D$24-$AA27),$Z27))-$Z27))&lt;=Lists!D$21)*(EDATE($G27,(((Lists!D$24-$AA27)-MOD((Lists!D$24-$AA27),$Z27))-$Z27))&lt;=$AB27)))))</f>
        <v>0</v>
      </c>
      <c r="L27" s="53" t="n">
        <f aca="false">IF(OR(N($E27)=0,$G27=""),0,$I27*IF($F27="Weekly",((Lists!E$21-MOD(Lists!E$21-$G27,7))&gt;=$G27)*((Lists!E$21-MOD(Lists!E$21-$G27,7))&lt;=$AB27),IF($F27="One-off",($G27&gt;Lists!E$23)*($G27&lt;=Lists!E$21),IF($F27="",0,(((Lists!E$24-$AA27)-MOD((Lists!E$24-$AA27),$Z27))&gt;=0)*(EDATE($G27,((Lists!E$24-$AA27)-MOD((Lists!E$24-$AA27),$Z27)))&gt;Lists!E$23)*(EDATE($G27,((Lists!E$24-$AA27)-MOD((Lists!E$24-$AA27),$Z27)))&lt;=Lists!E$21)*(EDATE($G27,((Lists!E$24-$AA27)-MOD((Lists!E$24-$AA27),$Z27)))&lt;=$AB27)+((((Lists!E$24-$AA27)-MOD((Lists!E$24-$AA27),$Z27))-$Z27)&gt;=0)*(EDATE($G27,(((Lists!E$24-$AA27)-MOD((Lists!E$24-$AA27),$Z27))-$Z27))&gt;Lists!E$23)*(EDATE($G27,(((Lists!E$24-$AA27)-MOD((Lists!E$24-$AA27),$Z27))-$Z27))&lt;=Lists!E$21)*(EDATE($G27,(((Lists!E$24-$AA27)-MOD((Lists!E$24-$AA27),$Z27))-$Z27))&lt;=$AB27)))))</f>
        <v>0</v>
      </c>
      <c r="M27" s="53" t="n">
        <f aca="false">IF(OR(N($E27)=0,$G27=""),0,$I27*IF($F27="Weekly",((Lists!F$21-MOD(Lists!F$21-$G27,7))&gt;=$G27)*((Lists!F$21-MOD(Lists!F$21-$G27,7))&lt;=$AB27),IF($F27="One-off",($G27&gt;Lists!F$23)*($G27&lt;=Lists!F$21),IF($F27="",0,(((Lists!F$24-$AA27)-MOD((Lists!F$24-$AA27),$Z27))&gt;=0)*(EDATE($G27,((Lists!F$24-$AA27)-MOD((Lists!F$24-$AA27),$Z27)))&gt;Lists!F$23)*(EDATE($G27,((Lists!F$24-$AA27)-MOD((Lists!F$24-$AA27),$Z27)))&lt;=Lists!F$21)*(EDATE($G27,((Lists!F$24-$AA27)-MOD((Lists!F$24-$AA27),$Z27)))&lt;=$AB27)+((((Lists!F$24-$AA27)-MOD((Lists!F$24-$AA27),$Z27))-$Z27)&gt;=0)*(EDATE($G27,(((Lists!F$24-$AA27)-MOD((Lists!F$24-$AA27),$Z27))-$Z27))&gt;Lists!F$23)*(EDATE($G27,(((Lists!F$24-$AA27)-MOD((Lists!F$24-$AA27),$Z27))-$Z27))&lt;=Lists!F$21)*(EDATE($G27,(((Lists!F$24-$AA27)-MOD((Lists!F$24-$AA27),$Z27))-$Z27))&lt;=$AB27)))))</f>
        <v>0</v>
      </c>
      <c r="N27" s="53" t="n">
        <f aca="false">IF(OR(N($E27)=0,$G27=""),0,$I27*IF($F27="Weekly",((Lists!G$21-MOD(Lists!G$21-$G27,7))&gt;=$G27)*((Lists!G$21-MOD(Lists!G$21-$G27,7))&lt;=$AB27),IF($F27="One-off",($G27&gt;Lists!G$23)*($G27&lt;=Lists!G$21),IF($F27="",0,(((Lists!G$24-$AA27)-MOD((Lists!G$24-$AA27),$Z27))&gt;=0)*(EDATE($G27,((Lists!G$24-$AA27)-MOD((Lists!G$24-$AA27),$Z27)))&gt;Lists!G$23)*(EDATE($G27,((Lists!G$24-$AA27)-MOD((Lists!G$24-$AA27),$Z27)))&lt;=Lists!G$21)*(EDATE($G27,((Lists!G$24-$AA27)-MOD((Lists!G$24-$AA27),$Z27)))&lt;=$AB27)+((((Lists!G$24-$AA27)-MOD((Lists!G$24-$AA27),$Z27))-$Z27)&gt;=0)*(EDATE($G27,(((Lists!G$24-$AA27)-MOD((Lists!G$24-$AA27),$Z27))-$Z27))&gt;Lists!G$23)*(EDATE($G27,(((Lists!G$24-$AA27)-MOD((Lists!G$24-$AA27),$Z27))-$Z27))&lt;=Lists!G$21)*(EDATE($G27,(((Lists!G$24-$AA27)-MOD((Lists!G$24-$AA27),$Z27))-$Z27))&lt;=$AB27)))))</f>
        <v>0</v>
      </c>
      <c r="O27" s="53" t="n">
        <f aca="false">IF(OR(N($E27)=0,$G27=""),0,$I27*IF($F27="Weekly",((Lists!H$21-MOD(Lists!H$21-$G27,7))&gt;=$G27)*((Lists!H$21-MOD(Lists!H$21-$G27,7))&lt;=$AB27),IF($F27="One-off",($G27&gt;Lists!H$23)*($G27&lt;=Lists!H$21),IF($F27="",0,(((Lists!H$24-$AA27)-MOD((Lists!H$24-$AA27),$Z27))&gt;=0)*(EDATE($G27,((Lists!H$24-$AA27)-MOD((Lists!H$24-$AA27),$Z27)))&gt;Lists!H$23)*(EDATE($G27,((Lists!H$24-$AA27)-MOD((Lists!H$24-$AA27),$Z27)))&lt;=Lists!H$21)*(EDATE($G27,((Lists!H$24-$AA27)-MOD((Lists!H$24-$AA27),$Z27)))&lt;=$AB27)+((((Lists!H$24-$AA27)-MOD((Lists!H$24-$AA27),$Z27))-$Z27)&gt;=0)*(EDATE($G27,(((Lists!H$24-$AA27)-MOD((Lists!H$24-$AA27),$Z27))-$Z27))&gt;Lists!H$23)*(EDATE($G27,(((Lists!H$24-$AA27)-MOD((Lists!H$24-$AA27),$Z27))-$Z27))&lt;=Lists!H$21)*(EDATE($G27,(((Lists!H$24-$AA27)-MOD((Lists!H$24-$AA27),$Z27))-$Z27))&lt;=$AB27)))))</f>
        <v>0</v>
      </c>
      <c r="P27" s="53" t="n">
        <f aca="false">IF(OR(N($E27)=0,$G27=""),0,$I27*IF($F27="Weekly",((Lists!I$21-MOD(Lists!I$21-$G27,7))&gt;=$G27)*((Lists!I$21-MOD(Lists!I$21-$G27,7))&lt;=$AB27),IF($F27="One-off",($G27&gt;Lists!I$23)*($G27&lt;=Lists!I$21),IF($F27="",0,(((Lists!I$24-$AA27)-MOD((Lists!I$24-$AA27),$Z27))&gt;=0)*(EDATE($G27,((Lists!I$24-$AA27)-MOD((Lists!I$24-$AA27),$Z27)))&gt;Lists!I$23)*(EDATE($G27,((Lists!I$24-$AA27)-MOD((Lists!I$24-$AA27),$Z27)))&lt;=Lists!I$21)*(EDATE($G27,((Lists!I$24-$AA27)-MOD((Lists!I$24-$AA27),$Z27)))&lt;=$AB27)+((((Lists!I$24-$AA27)-MOD((Lists!I$24-$AA27),$Z27))-$Z27)&gt;=0)*(EDATE($G27,(((Lists!I$24-$AA27)-MOD((Lists!I$24-$AA27),$Z27))-$Z27))&gt;Lists!I$23)*(EDATE($G27,(((Lists!I$24-$AA27)-MOD((Lists!I$24-$AA27),$Z27))-$Z27))&lt;=Lists!I$21)*(EDATE($G27,(((Lists!I$24-$AA27)-MOD((Lists!I$24-$AA27),$Z27))-$Z27))&lt;=$AB27)))))</f>
        <v>0</v>
      </c>
      <c r="Q27" s="53" t="n">
        <f aca="false">IF(OR(N($E27)=0,$G27=""),0,$I27*IF($F27="Weekly",((Lists!J$21-MOD(Lists!J$21-$G27,7))&gt;=$G27)*((Lists!J$21-MOD(Lists!J$21-$G27,7))&lt;=$AB27),IF($F27="One-off",($G27&gt;Lists!J$23)*($G27&lt;=Lists!J$21),IF($F27="",0,(((Lists!J$24-$AA27)-MOD((Lists!J$24-$AA27),$Z27))&gt;=0)*(EDATE($G27,((Lists!J$24-$AA27)-MOD((Lists!J$24-$AA27),$Z27)))&gt;Lists!J$23)*(EDATE($G27,((Lists!J$24-$AA27)-MOD((Lists!J$24-$AA27),$Z27)))&lt;=Lists!J$21)*(EDATE($G27,((Lists!J$24-$AA27)-MOD((Lists!J$24-$AA27),$Z27)))&lt;=$AB27)+((((Lists!J$24-$AA27)-MOD((Lists!J$24-$AA27),$Z27))-$Z27)&gt;=0)*(EDATE($G27,(((Lists!J$24-$AA27)-MOD((Lists!J$24-$AA27),$Z27))-$Z27))&gt;Lists!J$23)*(EDATE($G27,(((Lists!J$24-$AA27)-MOD((Lists!J$24-$AA27),$Z27))-$Z27))&lt;=Lists!J$21)*(EDATE($G27,(((Lists!J$24-$AA27)-MOD((Lists!J$24-$AA27),$Z27))-$Z27))&lt;=$AB27)))))</f>
        <v>0</v>
      </c>
      <c r="R27" s="53" t="n">
        <f aca="false">IF(OR(N($E27)=0,$G27=""),0,$I27*IF($F27="Weekly",((Lists!K$21-MOD(Lists!K$21-$G27,7))&gt;=$G27)*((Lists!K$21-MOD(Lists!K$21-$G27,7))&lt;=$AB27),IF($F27="One-off",($G27&gt;Lists!K$23)*($G27&lt;=Lists!K$21),IF($F27="",0,(((Lists!K$24-$AA27)-MOD((Lists!K$24-$AA27),$Z27))&gt;=0)*(EDATE($G27,((Lists!K$24-$AA27)-MOD((Lists!K$24-$AA27),$Z27)))&gt;Lists!K$23)*(EDATE($G27,((Lists!K$24-$AA27)-MOD((Lists!K$24-$AA27),$Z27)))&lt;=Lists!K$21)*(EDATE($G27,((Lists!K$24-$AA27)-MOD((Lists!K$24-$AA27),$Z27)))&lt;=$AB27)+((((Lists!K$24-$AA27)-MOD((Lists!K$24-$AA27),$Z27))-$Z27)&gt;=0)*(EDATE($G27,(((Lists!K$24-$AA27)-MOD((Lists!K$24-$AA27),$Z27))-$Z27))&gt;Lists!K$23)*(EDATE($G27,(((Lists!K$24-$AA27)-MOD((Lists!K$24-$AA27),$Z27))-$Z27))&lt;=Lists!K$21)*(EDATE($G27,(((Lists!K$24-$AA27)-MOD((Lists!K$24-$AA27),$Z27))-$Z27))&lt;=$AB27)))))</f>
        <v>0</v>
      </c>
      <c r="S27" s="53" t="n">
        <f aca="false">IF(OR(N($E27)=0,$G27=""),0,$I27*IF($F27="Weekly",((Lists!L$21-MOD(Lists!L$21-$G27,7))&gt;=$G27)*((Lists!L$21-MOD(Lists!L$21-$G27,7))&lt;=$AB27),IF($F27="One-off",($G27&gt;Lists!L$23)*($G27&lt;=Lists!L$21),IF($F27="",0,(((Lists!L$24-$AA27)-MOD((Lists!L$24-$AA27),$Z27))&gt;=0)*(EDATE($G27,((Lists!L$24-$AA27)-MOD((Lists!L$24-$AA27),$Z27)))&gt;Lists!L$23)*(EDATE($G27,((Lists!L$24-$AA27)-MOD((Lists!L$24-$AA27),$Z27)))&lt;=Lists!L$21)*(EDATE($G27,((Lists!L$24-$AA27)-MOD((Lists!L$24-$AA27),$Z27)))&lt;=$AB27)+((((Lists!L$24-$AA27)-MOD((Lists!L$24-$AA27),$Z27))-$Z27)&gt;=0)*(EDATE($G27,(((Lists!L$24-$AA27)-MOD((Lists!L$24-$AA27),$Z27))-$Z27))&gt;Lists!L$23)*(EDATE($G27,(((Lists!L$24-$AA27)-MOD((Lists!L$24-$AA27),$Z27))-$Z27))&lt;=Lists!L$21)*(EDATE($G27,(((Lists!L$24-$AA27)-MOD((Lists!L$24-$AA27),$Z27))-$Z27))&lt;=$AB27)))))</f>
        <v>0</v>
      </c>
      <c r="T27" s="53" t="n">
        <f aca="false">IF(OR(N($E27)=0,$G27=""),0,$I27*IF($F27="Weekly",((Lists!M$21-MOD(Lists!M$21-$G27,7))&gt;=$G27)*((Lists!M$21-MOD(Lists!M$21-$G27,7))&lt;=$AB27),IF($F27="One-off",($G27&gt;Lists!M$23)*($G27&lt;=Lists!M$21),IF($F27="",0,(((Lists!M$24-$AA27)-MOD((Lists!M$24-$AA27),$Z27))&gt;=0)*(EDATE($G27,((Lists!M$24-$AA27)-MOD((Lists!M$24-$AA27),$Z27)))&gt;Lists!M$23)*(EDATE($G27,((Lists!M$24-$AA27)-MOD((Lists!M$24-$AA27),$Z27)))&lt;=Lists!M$21)*(EDATE($G27,((Lists!M$24-$AA27)-MOD((Lists!M$24-$AA27),$Z27)))&lt;=$AB27)+((((Lists!M$24-$AA27)-MOD((Lists!M$24-$AA27),$Z27))-$Z27)&gt;=0)*(EDATE($G27,(((Lists!M$24-$AA27)-MOD((Lists!M$24-$AA27),$Z27))-$Z27))&gt;Lists!M$23)*(EDATE($G27,(((Lists!M$24-$AA27)-MOD((Lists!M$24-$AA27),$Z27))-$Z27))&lt;=Lists!M$21)*(EDATE($G27,(((Lists!M$24-$AA27)-MOD((Lists!M$24-$AA27),$Z27))-$Z27))&lt;=$AB27)))))</f>
        <v>0</v>
      </c>
      <c r="U27" s="53" t="n">
        <f aca="false">IF(OR(N($E27)=0,$G27=""),0,$I27*IF($F27="Weekly",((Lists!N$21-MOD(Lists!N$21-$G27,7))&gt;=$G27)*((Lists!N$21-MOD(Lists!N$21-$G27,7))&lt;=$AB27),IF($F27="One-off",($G27&gt;Lists!N$23)*($G27&lt;=Lists!N$21),IF($F27="",0,(((Lists!N$24-$AA27)-MOD((Lists!N$24-$AA27),$Z27))&gt;=0)*(EDATE($G27,((Lists!N$24-$AA27)-MOD((Lists!N$24-$AA27),$Z27)))&gt;Lists!N$23)*(EDATE($G27,((Lists!N$24-$AA27)-MOD((Lists!N$24-$AA27),$Z27)))&lt;=Lists!N$21)*(EDATE($G27,((Lists!N$24-$AA27)-MOD((Lists!N$24-$AA27),$Z27)))&lt;=$AB27)+((((Lists!N$24-$AA27)-MOD((Lists!N$24-$AA27),$Z27))-$Z27)&gt;=0)*(EDATE($G27,(((Lists!N$24-$AA27)-MOD((Lists!N$24-$AA27),$Z27))-$Z27))&gt;Lists!N$23)*(EDATE($G27,(((Lists!N$24-$AA27)-MOD((Lists!N$24-$AA27),$Z27))-$Z27))&lt;=Lists!N$21)*(EDATE($G27,(((Lists!N$24-$AA27)-MOD((Lists!N$24-$AA27),$Z27))-$Z27))&lt;=$AB27)))))</f>
        <v>0</v>
      </c>
      <c r="V27" s="53" t="n">
        <f aca="false">IF(OR(N($E27)=0,$G27=""),0,$I27*IF($F27="Weekly",((Lists!O$21-MOD(Lists!O$21-$G27,7))&gt;=$G27)*((Lists!O$21-MOD(Lists!O$21-$G27,7))&lt;=$AB27),IF($F27="One-off",($G27&gt;Lists!O$23)*($G27&lt;=Lists!O$21),IF($F27="",0,(((Lists!O$24-$AA27)-MOD((Lists!O$24-$AA27),$Z27))&gt;=0)*(EDATE($G27,((Lists!O$24-$AA27)-MOD((Lists!O$24-$AA27),$Z27)))&gt;Lists!O$23)*(EDATE($G27,((Lists!O$24-$AA27)-MOD((Lists!O$24-$AA27),$Z27)))&lt;=Lists!O$21)*(EDATE($G27,((Lists!O$24-$AA27)-MOD((Lists!O$24-$AA27),$Z27)))&lt;=$AB27)+((((Lists!O$24-$AA27)-MOD((Lists!O$24-$AA27),$Z27))-$Z27)&gt;=0)*(EDATE($G27,(((Lists!O$24-$AA27)-MOD((Lists!O$24-$AA27),$Z27))-$Z27))&gt;Lists!O$23)*(EDATE($G27,(((Lists!O$24-$AA27)-MOD((Lists!O$24-$AA27),$Z27))-$Z27))&lt;=Lists!O$21)*(EDATE($G27,(((Lists!O$24-$AA27)-MOD((Lists!O$24-$AA27),$Z27))-$Z27))&lt;=$AB27)))))</f>
        <v>0</v>
      </c>
      <c r="W27" s="46" t="n">
        <f aca="false">SUM(J27:V27)</f>
        <v>0</v>
      </c>
      <c r="X27" s="2"/>
      <c r="Y27" s="104" t="n">
        <f aca="false">IF(AND(Setup!$D$16="Yes",D27&lt;&gt;"No"),1+Setup!$D$17,1)</f>
        <v>1.2</v>
      </c>
      <c r="Z27" s="94" t="n">
        <f aca="false">IF(F27="Quarterly",3,IF(F27="Annually",12,1))</f>
        <v>1</v>
      </c>
      <c r="AA27" s="94" t="n">
        <f aca="false">IF(G27="",0,YEAR(G27)*12+MONTH(G27))</f>
        <v>0</v>
      </c>
      <c r="AB27" s="93" t="n">
        <f aca="false">IF(H27="",2958465,H27)</f>
        <v>2958465</v>
      </c>
      <c r="AC27" s="95" t="str">
        <f aca="false">IF(C27="","Other overheads",C27)</f>
        <v>Other overheads</v>
      </c>
    </row>
    <row r="28" customFormat="false" ht="15" hidden="false" customHeight="false" outlineLevel="0" collapsed="false">
      <c r="A28" s="87" t="n">
        <v>20</v>
      </c>
      <c r="B28" s="55"/>
      <c r="C28" s="55"/>
      <c r="D28" s="58"/>
      <c r="E28" s="88"/>
      <c r="F28" s="58"/>
      <c r="G28" s="90"/>
      <c r="H28" s="90"/>
      <c r="I28" s="92" t="n">
        <f aca="false">N(E28)*Y28</f>
        <v>0</v>
      </c>
      <c r="J28" s="53" t="n">
        <f aca="false">IF(OR(N($E28)=0,$G28=""),0,$I28*IF($F28="Weekly",((Lists!C$21-MOD(Lists!C$21-$G28,7))&gt;=$G28)*((Lists!C$21-MOD(Lists!C$21-$G28,7))&lt;=$AB28),IF($F28="One-off",($G28&gt;Lists!C$23)*($G28&lt;=Lists!C$21),IF($F28="",0,(((Lists!C$24-$AA28)-MOD((Lists!C$24-$AA28),$Z28))&gt;=0)*(EDATE($G28,((Lists!C$24-$AA28)-MOD((Lists!C$24-$AA28),$Z28)))&gt;Lists!C$23)*(EDATE($G28,((Lists!C$24-$AA28)-MOD((Lists!C$24-$AA28),$Z28)))&lt;=Lists!C$21)*(EDATE($G28,((Lists!C$24-$AA28)-MOD((Lists!C$24-$AA28),$Z28)))&lt;=$AB28)+((((Lists!C$24-$AA28)-MOD((Lists!C$24-$AA28),$Z28))-$Z28)&gt;=0)*(EDATE($G28,(((Lists!C$24-$AA28)-MOD((Lists!C$24-$AA28),$Z28))-$Z28))&gt;Lists!C$23)*(EDATE($G28,(((Lists!C$24-$AA28)-MOD((Lists!C$24-$AA28),$Z28))-$Z28))&lt;=Lists!C$21)*(EDATE($G28,(((Lists!C$24-$AA28)-MOD((Lists!C$24-$AA28),$Z28))-$Z28))&lt;=$AB28)))))</f>
        <v>0</v>
      </c>
      <c r="K28" s="53" t="n">
        <f aca="false">IF(OR(N($E28)=0,$G28=""),0,$I28*IF($F28="Weekly",((Lists!D$21-MOD(Lists!D$21-$G28,7))&gt;=$G28)*((Lists!D$21-MOD(Lists!D$21-$G28,7))&lt;=$AB28),IF($F28="One-off",($G28&gt;Lists!D$23)*($G28&lt;=Lists!D$21),IF($F28="",0,(((Lists!D$24-$AA28)-MOD((Lists!D$24-$AA28),$Z28))&gt;=0)*(EDATE($G28,((Lists!D$24-$AA28)-MOD((Lists!D$24-$AA28),$Z28)))&gt;Lists!D$23)*(EDATE($G28,((Lists!D$24-$AA28)-MOD((Lists!D$24-$AA28),$Z28)))&lt;=Lists!D$21)*(EDATE($G28,((Lists!D$24-$AA28)-MOD((Lists!D$24-$AA28),$Z28)))&lt;=$AB28)+((((Lists!D$24-$AA28)-MOD((Lists!D$24-$AA28),$Z28))-$Z28)&gt;=0)*(EDATE($G28,(((Lists!D$24-$AA28)-MOD((Lists!D$24-$AA28),$Z28))-$Z28))&gt;Lists!D$23)*(EDATE($G28,(((Lists!D$24-$AA28)-MOD((Lists!D$24-$AA28),$Z28))-$Z28))&lt;=Lists!D$21)*(EDATE($G28,(((Lists!D$24-$AA28)-MOD((Lists!D$24-$AA28),$Z28))-$Z28))&lt;=$AB28)))))</f>
        <v>0</v>
      </c>
      <c r="L28" s="53" t="n">
        <f aca="false">IF(OR(N($E28)=0,$G28=""),0,$I28*IF($F28="Weekly",((Lists!E$21-MOD(Lists!E$21-$G28,7))&gt;=$G28)*((Lists!E$21-MOD(Lists!E$21-$G28,7))&lt;=$AB28),IF($F28="One-off",($G28&gt;Lists!E$23)*($G28&lt;=Lists!E$21),IF($F28="",0,(((Lists!E$24-$AA28)-MOD((Lists!E$24-$AA28),$Z28))&gt;=0)*(EDATE($G28,((Lists!E$24-$AA28)-MOD((Lists!E$24-$AA28),$Z28)))&gt;Lists!E$23)*(EDATE($G28,((Lists!E$24-$AA28)-MOD((Lists!E$24-$AA28),$Z28)))&lt;=Lists!E$21)*(EDATE($G28,((Lists!E$24-$AA28)-MOD((Lists!E$24-$AA28),$Z28)))&lt;=$AB28)+((((Lists!E$24-$AA28)-MOD((Lists!E$24-$AA28),$Z28))-$Z28)&gt;=0)*(EDATE($G28,(((Lists!E$24-$AA28)-MOD((Lists!E$24-$AA28),$Z28))-$Z28))&gt;Lists!E$23)*(EDATE($G28,(((Lists!E$24-$AA28)-MOD((Lists!E$24-$AA28),$Z28))-$Z28))&lt;=Lists!E$21)*(EDATE($G28,(((Lists!E$24-$AA28)-MOD((Lists!E$24-$AA28),$Z28))-$Z28))&lt;=$AB28)))))</f>
        <v>0</v>
      </c>
      <c r="M28" s="53" t="n">
        <f aca="false">IF(OR(N($E28)=0,$G28=""),0,$I28*IF($F28="Weekly",((Lists!F$21-MOD(Lists!F$21-$G28,7))&gt;=$G28)*((Lists!F$21-MOD(Lists!F$21-$G28,7))&lt;=$AB28),IF($F28="One-off",($G28&gt;Lists!F$23)*($G28&lt;=Lists!F$21),IF($F28="",0,(((Lists!F$24-$AA28)-MOD((Lists!F$24-$AA28),$Z28))&gt;=0)*(EDATE($G28,((Lists!F$24-$AA28)-MOD((Lists!F$24-$AA28),$Z28)))&gt;Lists!F$23)*(EDATE($G28,((Lists!F$24-$AA28)-MOD((Lists!F$24-$AA28),$Z28)))&lt;=Lists!F$21)*(EDATE($G28,((Lists!F$24-$AA28)-MOD((Lists!F$24-$AA28),$Z28)))&lt;=$AB28)+((((Lists!F$24-$AA28)-MOD((Lists!F$24-$AA28),$Z28))-$Z28)&gt;=0)*(EDATE($G28,(((Lists!F$24-$AA28)-MOD((Lists!F$24-$AA28),$Z28))-$Z28))&gt;Lists!F$23)*(EDATE($G28,(((Lists!F$24-$AA28)-MOD((Lists!F$24-$AA28),$Z28))-$Z28))&lt;=Lists!F$21)*(EDATE($G28,(((Lists!F$24-$AA28)-MOD((Lists!F$24-$AA28),$Z28))-$Z28))&lt;=$AB28)))))</f>
        <v>0</v>
      </c>
      <c r="N28" s="53" t="n">
        <f aca="false">IF(OR(N($E28)=0,$G28=""),0,$I28*IF($F28="Weekly",((Lists!G$21-MOD(Lists!G$21-$G28,7))&gt;=$G28)*((Lists!G$21-MOD(Lists!G$21-$G28,7))&lt;=$AB28),IF($F28="One-off",($G28&gt;Lists!G$23)*($G28&lt;=Lists!G$21),IF($F28="",0,(((Lists!G$24-$AA28)-MOD((Lists!G$24-$AA28),$Z28))&gt;=0)*(EDATE($G28,((Lists!G$24-$AA28)-MOD((Lists!G$24-$AA28),$Z28)))&gt;Lists!G$23)*(EDATE($G28,((Lists!G$24-$AA28)-MOD((Lists!G$24-$AA28),$Z28)))&lt;=Lists!G$21)*(EDATE($G28,((Lists!G$24-$AA28)-MOD((Lists!G$24-$AA28),$Z28)))&lt;=$AB28)+((((Lists!G$24-$AA28)-MOD((Lists!G$24-$AA28),$Z28))-$Z28)&gt;=0)*(EDATE($G28,(((Lists!G$24-$AA28)-MOD((Lists!G$24-$AA28),$Z28))-$Z28))&gt;Lists!G$23)*(EDATE($G28,(((Lists!G$24-$AA28)-MOD((Lists!G$24-$AA28),$Z28))-$Z28))&lt;=Lists!G$21)*(EDATE($G28,(((Lists!G$24-$AA28)-MOD((Lists!G$24-$AA28),$Z28))-$Z28))&lt;=$AB28)))))</f>
        <v>0</v>
      </c>
      <c r="O28" s="53" t="n">
        <f aca="false">IF(OR(N($E28)=0,$G28=""),0,$I28*IF($F28="Weekly",((Lists!H$21-MOD(Lists!H$21-$G28,7))&gt;=$G28)*((Lists!H$21-MOD(Lists!H$21-$G28,7))&lt;=$AB28),IF($F28="One-off",($G28&gt;Lists!H$23)*($G28&lt;=Lists!H$21),IF($F28="",0,(((Lists!H$24-$AA28)-MOD((Lists!H$24-$AA28),$Z28))&gt;=0)*(EDATE($G28,((Lists!H$24-$AA28)-MOD((Lists!H$24-$AA28),$Z28)))&gt;Lists!H$23)*(EDATE($G28,((Lists!H$24-$AA28)-MOD((Lists!H$24-$AA28),$Z28)))&lt;=Lists!H$21)*(EDATE($G28,((Lists!H$24-$AA28)-MOD((Lists!H$24-$AA28),$Z28)))&lt;=$AB28)+((((Lists!H$24-$AA28)-MOD((Lists!H$24-$AA28),$Z28))-$Z28)&gt;=0)*(EDATE($G28,(((Lists!H$24-$AA28)-MOD((Lists!H$24-$AA28),$Z28))-$Z28))&gt;Lists!H$23)*(EDATE($G28,(((Lists!H$24-$AA28)-MOD((Lists!H$24-$AA28),$Z28))-$Z28))&lt;=Lists!H$21)*(EDATE($G28,(((Lists!H$24-$AA28)-MOD((Lists!H$24-$AA28),$Z28))-$Z28))&lt;=$AB28)))))</f>
        <v>0</v>
      </c>
      <c r="P28" s="53" t="n">
        <f aca="false">IF(OR(N($E28)=0,$G28=""),0,$I28*IF($F28="Weekly",((Lists!I$21-MOD(Lists!I$21-$G28,7))&gt;=$G28)*((Lists!I$21-MOD(Lists!I$21-$G28,7))&lt;=$AB28),IF($F28="One-off",($G28&gt;Lists!I$23)*($G28&lt;=Lists!I$21),IF($F28="",0,(((Lists!I$24-$AA28)-MOD((Lists!I$24-$AA28),$Z28))&gt;=0)*(EDATE($G28,((Lists!I$24-$AA28)-MOD((Lists!I$24-$AA28),$Z28)))&gt;Lists!I$23)*(EDATE($G28,((Lists!I$24-$AA28)-MOD((Lists!I$24-$AA28),$Z28)))&lt;=Lists!I$21)*(EDATE($G28,((Lists!I$24-$AA28)-MOD((Lists!I$24-$AA28),$Z28)))&lt;=$AB28)+((((Lists!I$24-$AA28)-MOD((Lists!I$24-$AA28),$Z28))-$Z28)&gt;=0)*(EDATE($G28,(((Lists!I$24-$AA28)-MOD((Lists!I$24-$AA28),$Z28))-$Z28))&gt;Lists!I$23)*(EDATE($G28,(((Lists!I$24-$AA28)-MOD((Lists!I$24-$AA28),$Z28))-$Z28))&lt;=Lists!I$21)*(EDATE($G28,(((Lists!I$24-$AA28)-MOD((Lists!I$24-$AA28),$Z28))-$Z28))&lt;=$AB28)))))</f>
        <v>0</v>
      </c>
      <c r="Q28" s="53" t="n">
        <f aca="false">IF(OR(N($E28)=0,$G28=""),0,$I28*IF($F28="Weekly",((Lists!J$21-MOD(Lists!J$21-$G28,7))&gt;=$G28)*((Lists!J$21-MOD(Lists!J$21-$G28,7))&lt;=$AB28),IF($F28="One-off",($G28&gt;Lists!J$23)*($G28&lt;=Lists!J$21),IF($F28="",0,(((Lists!J$24-$AA28)-MOD((Lists!J$24-$AA28),$Z28))&gt;=0)*(EDATE($G28,((Lists!J$24-$AA28)-MOD((Lists!J$24-$AA28),$Z28)))&gt;Lists!J$23)*(EDATE($G28,((Lists!J$24-$AA28)-MOD((Lists!J$24-$AA28),$Z28)))&lt;=Lists!J$21)*(EDATE($G28,((Lists!J$24-$AA28)-MOD((Lists!J$24-$AA28),$Z28)))&lt;=$AB28)+((((Lists!J$24-$AA28)-MOD((Lists!J$24-$AA28),$Z28))-$Z28)&gt;=0)*(EDATE($G28,(((Lists!J$24-$AA28)-MOD((Lists!J$24-$AA28),$Z28))-$Z28))&gt;Lists!J$23)*(EDATE($G28,(((Lists!J$24-$AA28)-MOD((Lists!J$24-$AA28),$Z28))-$Z28))&lt;=Lists!J$21)*(EDATE($G28,(((Lists!J$24-$AA28)-MOD((Lists!J$24-$AA28),$Z28))-$Z28))&lt;=$AB28)))))</f>
        <v>0</v>
      </c>
      <c r="R28" s="53" t="n">
        <f aca="false">IF(OR(N($E28)=0,$G28=""),0,$I28*IF($F28="Weekly",((Lists!K$21-MOD(Lists!K$21-$G28,7))&gt;=$G28)*((Lists!K$21-MOD(Lists!K$21-$G28,7))&lt;=$AB28),IF($F28="One-off",($G28&gt;Lists!K$23)*($G28&lt;=Lists!K$21),IF($F28="",0,(((Lists!K$24-$AA28)-MOD((Lists!K$24-$AA28),$Z28))&gt;=0)*(EDATE($G28,((Lists!K$24-$AA28)-MOD((Lists!K$24-$AA28),$Z28)))&gt;Lists!K$23)*(EDATE($G28,((Lists!K$24-$AA28)-MOD((Lists!K$24-$AA28),$Z28)))&lt;=Lists!K$21)*(EDATE($G28,((Lists!K$24-$AA28)-MOD((Lists!K$24-$AA28),$Z28)))&lt;=$AB28)+((((Lists!K$24-$AA28)-MOD((Lists!K$24-$AA28),$Z28))-$Z28)&gt;=0)*(EDATE($G28,(((Lists!K$24-$AA28)-MOD((Lists!K$24-$AA28),$Z28))-$Z28))&gt;Lists!K$23)*(EDATE($G28,(((Lists!K$24-$AA28)-MOD((Lists!K$24-$AA28),$Z28))-$Z28))&lt;=Lists!K$21)*(EDATE($G28,(((Lists!K$24-$AA28)-MOD((Lists!K$24-$AA28),$Z28))-$Z28))&lt;=$AB28)))))</f>
        <v>0</v>
      </c>
      <c r="S28" s="53" t="n">
        <f aca="false">IF(OR(N($E28)=0,$G28=""),0,$I28*IF($F28="Weekly",((Lists!L$21-MOD(Lists!L$21-$G28,7))&gt;=$G28)*((Lists!L$21-MOD(Lists!L$21-$G28,7))&lt;=$AB28),IF($F28="One-off",($G28&gt;Lists!L$23)*($G28&lt;=Lists!L$21),IF($F28="",0,(((Lists!L$24-$AA28)-MOD((Lists!L$24-$AA28),$Z28))&gt;=0)*(EDATE($G28,((Lists!L$24-$AA28)-MOD((Lists!L$24-$AA28),$Z28)))&gt;Lists!L$23)*(EDATE($G28,((Lists!L$24-$AA28)-MOD((Lists!L$24-$AA28),$Z28)))&lt;=Lists!L$21)*(EDATE($G28,((Lists!L$24-$AA28)-MOD((Lists!L$24-$AA28),$Z28)))&lt;=$AB28)+((((Lists!L$24-$AA28)-MOD((Lists!L$24-$AA28),$Z28))-$Z28)&gt;=0)*(EDATE($G28,(((Lists!L$24-$AA28)-MOD((Lists!L$24-$AA28),$Z28))-$Z28))&gt;Lists!L$23)*(EDATE($G28,(((Lists!L$24-$AA28)-MOD((Lists!L$24-$AA28),$Z28))-$Z28))&lt;=Lists!L$21)*(EDATE($G28,(((Lists!L$24-$AA28)-MOD((Lists!L$24-$AA28),$Z28))-$Z28))&lt;=$AB28)))))</f>
        <v>0</v>
      </c>
      <c r="T28" s="53" t="n">
        <f aca="false">IF(OR(N($E28)=0,$G28=""),0,$I28*IF($F28="Weekly",((Lists!M$21-MOD(Lists!M$21-$G28,7))&gt;=$G28)*((Lists!M$21-MOD(Lists!M$21-$G28,7))&lt;=$AB28),IF($F28="One-off",($G28&gt;Lists!M$23)*($G28&lt;=Lists!M$21),IF($F28="",0,(((Lists!M$24-$AA28)-MOD((Lists!M$24-$AA28),$Z28))&gt;=0)*(EDATE($G28,((Lists!M$24-$AA28)-MOD((Lists!M$24-$AA28),$Z28)))&gt;Lists!M$23)*(EDATE($G28,((Lists!M$24-$AA28)-MOD((Lists!M$24-$AA28),$Z28)))&lt;=Lists!M$21)*(EDATE($G28,((Lists!M$24-$AA28)-MOD((Lists!M$24-$AA28),$Z28)))&lt;=$AB28)+((((Lists!M$24-$AA28)-MOD((Lists!M$24-$AA28),$Z28))-$Z28)&gt;=0)*(EDATE($G28,(((Lists!M$24-$AA28)-MOD((Lists!M$24-$AA28),$Z28))-$Z28))&gt;Lists!M$23)*(EDATE($G28,(((Lists!M$24-$AA28)-MOD((Lists!M$24-$AA28),$Z28))-$Z28))&lt;=Lists!M$21)*(EDATE($G28,(((Lists!M$24-$AA28)-MOD((Lists!M$24-$AA28),$Z28))-$Z28))&lt;=$AB28)))))</f>
        <v>0</v>
      </c>
      <c r="U28" s="53" t="n">
        <f aca="false">IF(OR(N($E28)=0,$G28=""),0,$I28*IF($F28="Weekly",((Lists!N$21-MOD(Lists!N$21-$G28,7))&gt;=$G28)*((Lists!N$21-MOD(Lists!N$21-$G28,7))&lt;=$AB28),IF($F28="One-off",($G28&gt;Lists!N$23)*($G28&lt;=Lists!N$21),IF($F28="",0,(((Lists!N$24-$AA28)-MOD((Lists!N$24-$AA28),$Z28))&gt;=0)*(EDATE($G28,((Lists!N$24-$AA28)-MOD((Lists!N$24-$AA28),$Z28)))&gt;Lists!N$23)*(EDATE($G28,((Lists!N$24-$AA28)-MOD((Lists!N$24-$AA28),$Z28)))&lt;=Lists!N$21)*(EDATE($G28,((Lists!N$24-$AA28)-MOD((Lists!N$24-$AA28),$Z28)))&lt;=$AB28)+((((Lists!N$24-$AA28)-MOD((Lists!N$24-$AA28),$Z28))-$Z28)&gt;=0)*(EDATE($G28,(((Lists!N$24-$AA28)-MOD((Lists!N$24-$AA28),$Z28))-$Z28))&gt;Lists!N$23)*(EDATE($G28,(((Lists!N$24-$AA28)-MOD((Lists!N$24-$AA28),$Z28))-$Z28))&lt;=Lists!N$21)*(EDATE($G28,(((Lists!N$24-$AA28)-MOD((Lists!N$24-$AA28),$Z28))-$Z28))&lt;=$AB28)))))</f>
        <v>0</v>
      </c>
      <c r="V28" s="53" t="n">
        <f aca="false">IF(OR(N($E28)=0,$G28=""),0,$I28*IF($F28="Weekly",((Lists!O$21-MOD(Lists!O$21-$G28,7))&gt;=$G28)*((Lists!O$21-MOD(Lists!O$21-$G28,7))&lt;=$AB28),IF($F28="One-off",($G28&gt;Lists!O$23)*($G28&lt;=Lists!O$21),IF($F28="",0,(((Lists!O$24-$AA28)-MOD((Lists!O$24-$AA28),$Z28))&gt;=0)*(EDATE($G28,((Lists!O$24-$AA28)-MOD((Lists!O$24-$AA28),$Z28)))&gt;Lists!O$23)*(EDATE($G28,((Lists!O$24-$AA28)-MOD((Lists!O$24-$AA28),$Z28)))&lt;=Lists!O$21)*(EDATE($G28,((Lists!O$24-$AA28)-MOD((Lists!O$24-$AA28),$Z28)))&lt;=$AB28)+((((Lists!O$24-$AA28)-MOD((Lists!O$24-$AA28),$Z28))-$Z28)&gt;=0)*(EDATE($G28,(((Lists!O$24-$AA28)-MOD((Lists!O$24-$AA28),$Z28))-$Z28))&gt;Lists!O$23)*(EDATE($G28,(((Lists!O$24-$AA28)-MOD((Lists!O$24-$AA28),$Z28))-$Z28))&lt;=Lists!O$21)*(EDATE($G28,(((Lists!O$24-$AA28)-MOD((Lists!O$24-$AA28),$Z28))-$Z28))&lt;=$AB28)))))</f>
        <v>0</v>
      </c>
      <c r="W28" s="46" t="n">
        <f aca="false">SUM(J28:V28)</f>
        <v>0</v>
      </c>
      <c r="X28" s="2"/>
      <c r="Y28" s="104" t="n">
        <f aca="false">IF(AND(Setup!$D$16="Yes",D28&lt;&gt;"No"),1+Setup!$D$17,1)</f>
        <v>1.2</v>
      </c>
      <c r="Z28" s="94" t="n">
        <f aca="false">IF(F28="Quarterly",3,IF(F28="Annually",12,1))</f>
        <v>1</v>
      </c>
      <c r="AA28" s="94" t="n">
        <f aca="false">IF(G28="",0,YEAR(G28)*12+MONTH(G28))</f>
        <v>0</v>
      </c>
      <c r="AB28" s="93" t="n">
        <f aca="false">IF(H28="",2958465,H28)</f>
        <v>2958465</v>
      </c>
      <c r="AC28" s="95" t="str">
        <f aca="false">IF(C28="","Other overheads",C28)</f>
        <v>Other overheads</v>
      </c>
    </row>
    <row r="29" customFormat="false" ht="15" hidden="false" customHeight="false" outlineLevel="0" collapsed="false">
      <c r="A29" s="87" t="n">
        <v>21</v>
      </c>
      <c r="B29" s="55"/>
      <c r="C29" s="55"/>
      <c r="D29" s="58"/>
      <c r="E29" s="88"/>
      <c r="F29" s="58"/>
      <c r="G29" s="90"/>
      <c r="H29" s="90"/>
      <c r="I29" s="92" t="n">
        <f aca="false">N(E29)*Y29</f>
        <v>0</v>
      </c>
      <c r="J29" s="53" t="n">
        <f aca="false">IF(OR(N($E29)=0,$G29=""),0,$I29*IF($F29="Weekly",((Lists!C$21-MOD(Lists!C$21-$G29,7))&gt;=$G29)*((Lists!C$21-MOD(Lists!C$21-$G29,7))&lt;=$AB29),IF($F29="One-off",($G29&gt;Lists!C$23)*($G29&lt;=Lists!C$21),IF($F29="",0,(((Lists!C$24-$AA29)-MOD((Lists!C$24-$AA29),$Z29))&gt;=0)*(EDATE($G29,((Lists!C$24-$AA29)-MOD((Lists!C$24-$AA29),$Z29)))&gt;Lists!C$23)*(EDATE($G29,((Lists!C$24-$AA29)-MOD((Lists!C$24-$AA29),$Z29)))&lt;=Lists!C$21)*(EDATE($G29,((Lists!C$24-$AA29)-MOD((Lists!C$24-$AA29),$Z29)))&lt;=$AB29)+((((Lists!C$24-$AA29)-MOD((Lists!C$24-$AA29),$Z29))-$Z29)&gt;=0)*(EDATE($G29,(((Lists!C$24-$AA29)-MOD((Lists!C$24-$AA29),$Z29))-$Z29))&gt;Lists!C$23)*(EDATE($G29,(((Lists!C$24-$AA29)-MOD((Lists!C$24-$AA29),$Z29))-$Z29))&lt;=Lists!C$21)*(EDATE($G29,(((Lists!C$24-$AA29)-MOD((Lists!C$24-$AA29),$Z29))-$Z29))&lt;=$AB29)))))</f>
        <v>0</v>
      </c>
      <c r="K29" s="53" t="n">
        <f aca="false">IF(OR(N($E29)=0,$G29=""),0,$I29*IF($F29="Weekly",((Lists!D$21-MOD(Lists!D$21-$G29,7))&gt;=$G29)*((Lists!D$21-MOD(Lists!D$21-$G29,7))&lt;=$AB29),IF($F29="One-off",($G29&gt;Lists!D$23)*($G29&lt;=Lists!D$21),IF($F29="",0,(((Lists!D$24-$AA29)-MOD((Lists!D$24-$AA29),$Z29))&gt;=0)*(EDATE($G29,((Lists!D$24-$AA29)-MOD((Lists!D$24-$AA29),$Z29)))&gt;Lists!D$23)*(EDATE($G29,((Lists!D$24-$AA29)-MOD((Lists!D$24-$AA29),$Z29)))&lt;=Lists!D$21)*(EDATE($G29,((Lists!D$24-$AA29)-MOD((Lists!D$24-$AA29),$Z29)))&lt;=$AB29)+((((Lists!D$24-$AA29)-MOD((Lists!D$24-$AA29),$Z29))-$Z29)&gt;=0)*(EDATE($G29,(((Lists!D$24-$AA29)-MOD((Lists!D$24-$AA29),$Z29))-$Z29))&gt;Lists!D$23)*(EDATE($G29,(((Lists!D$24-$AA29)-MOD((Lists!D$24-$AA29),$Z29))-$Z29))&lt;=Lists!D$21)*(EDATE($G29,(((Lists!D$24-$AA29)-MOD((Lists!D$24-$AA29),$Z29))-$Z29))&lt;=$AB29)))))</f>
        <v>0</v>
      </c>
      <c r="L29" s="53" t="n">
        <f aca="false">IF(OR(N($E29)=0,$G29=""),0,$I29*IF($F29="Weekly",((Lists!E$21-MOD(Lists!E$21-$G29,7))&gt;=$G29)*((Lists!E$21-MOD(Lists!E$21-$G29,7))&lt;=$AB29),IF($F29="One-off",($G29&gt;Lists!E$23)*($G29&lt;=Lists!E$21),IF($F29="",0,(((Lists!E$24-$AA29)-MOD((Lists!E$24-$AA29),$Z29))&gt;=0)*(EDATE($G29,((Lists!E$24-$AA29)-MOD((Lists!E$24-$AA29),$Z29)))&gt;Lists!E$23)*(EDATE($G29,((Lists!E$24-$AA29)-MOD((Lists!E$24-$AA29),$Z29)))&lt;=Lists!E$21)*(EDATE($G29,((Lists!E$24-$AA29)-MOD((Lists!E$24-$AA29),$Z29)))&lt;=$AB29)+((((Lists!E$24-$AA29)-MOD((Lists!E$24-$AA29),$Z29))-$Z29)&gt;=0)*(EDATE($G29,(((Lists!E$24-$AA29)-MOD((Lists!E$24-$AA29),$Z29))-$Z29))&gt;Lists!E$23)*(EDATE($G29,(((Lists!E$24-$AA29)-MOD((Lists!E$24-$AA29),$Z29))-$Z29))&lt;=Lists!E$21)*(EDATE($G29,(((Lists!E$24-$AA29)-MOD((Lists!E$24-$AA29),$Z29))-$Z29))&lt;=$AB29)))))</f>
        <v>0</v>
      </c>
      <c r="M29" s="53" t="n">
        <f aca="false">IF(OR(N($E29)=0,$G29=""),0,$I29*IF($F29="Weekly",((Lists!F$21-MOD(Lists!F$21-$G29,7))&gt;=$G29)*((Lists!F$21-MOD(Lists!F$21-$G29,7))&lt;=$AB29),IF($F29="One-off",($G29&gt;Lists!F$23)*($G29&lt;=Lists!F$21),IF($F29="",0,(((Lists!F$24-$AA29)-MOD((Lists!F$24-$AA29),$Z29))&gt;=0)*(EDATE($G29,((Lists!F$24-$AA29)-MOD((Lists!F$24-$AA29),$Z29)))&gt;Lists!F$23)*(EDATE($G29,((Lists!F$24-$AA29)-MOD((Lists!F$24-$AA29),$Z29)))&lt;=Lists!F$21)*(EDATE($G29,((Lists!F$24-$AA29)-MOD((Lists!F$24-$AA29),$Z29)))&lt;=$AB29)+((((Lists!F$24-$AA29)-MOD((Lists!F$24-$AA29),$Z29))-$Z29)&gt;=0)*(EDATE($G29,(((Lists!F$24-$AA29)-MOD((Lists!F$24-$AA29),$Z29))-$Z29))&gt;Lists!F$23)*(EDATE($G29,(((Lists!F$24-$AA29)-MOD((Lists!F$24-$AA29),$Z29))-$Z29))&lt;=Lists!F$21)*(EDATE($G29,(((Lists!F$24-$AA29)-MOD((Lists!F$24-$AA29),$Z29))-$Z29))&lt;=$AB29)))))</f>
        <v>0</v>
      </c>
      <c r="N29" s="53" t="n">
        <f aca="false">IF(OR(N($E29)=0,$G29=""),0,$I29*IF($F29="Weekly",((Lists!G$21-MOD(Lists!G$21-$G29,7))&gt;=$G29)*((Lists!G$21-MOD(Lists!G$21-$G29,7))&lt;=$AB29),IF($F29="One-off",($G29&gt;Lists!G$23)*($G29&lt;=Lists!G$21),IF($F29="",0,(((Lists!G$24-$AA29)-MOD((Lists!G$24-$AA29),$Z29))&gt;=0)*(EDATE($G29,((Lists!G$24-$AA29)-MOD((Lists!G$24-$AA29),$Z29)))&gt;Lists!G$23)*(EDATE($G29,((Lists!G$24-$AA29)-MOD((Lists!G$24-$AA29),$Z29)))&lt;=Lists!G$21)*(EDATE($G29,((Lists!G$24-$AA29)-MOD((Lists!G$24-$AA29),$Z29)))&lt;=$AB29)+((((Lists!G$24-$AA29)-MOD((Lists!G$24-$AA29),$Z29))-$Z29)&gt;=0)*(EDATE($G29,(((Lists!G$24-$AA29)-MOD((Lists!G$24-$AA29),$Z29))-$Z29))&gt;Lists!G$23)*(EDATE($G29,(((Lists!G$24-$AA29)-MOD((Lists!G$24-$AA29),$Z29))-$Z29))&lt;=Lists!G$21)*(EDATE($G29,(((Lists!G$24-$AA29)-MOD((Lists!G$24-$AA29),$Z29))-$Z29))&lt;=$AB29)))))</f>
        <v>0</v>
      </c>
      <c r="O29" s="53" t="n">
        <f aca="false">IF(OR(N($E29)=0,$G29=""),0,$I29*IF($F29="Weekly",((Lists!H$21-MOD(Lists!H$21-$G29,7))&gt;=$G29)*((Lists!H$21-MOD(Lists!H$21-$G29,7))&lt;=$AB29),IF($F29="One-off",($G29&gt;Lists!H$23)*($G29&lt;=Lists!H$21),IF($F29="",0,(((Lists!H$24-$AA29)-MOD((Lists!H$24-$AA29),$Z29))&gt;=0)*(EDATE($G29,((Lists!H$24-$AA29)-MOD((Lists!H$24-$AA29),$Z29)))&gt;Lists!H$23)*(EDATE($G29,((Lists!H$24-$AA29)-MOD((Lists!H$24-$AA29),$Z29)))&lt;=Lists!H$21)*(EDATE($G29,((Lists!H$24-$AA29)-MOD((Lists!H$24-$AA29),$Z29)))&lt;=$AB29)+((((Lists!H$24-$AA29)-MOD((Lists!H$24-$AA29),$Z29))-$Z29)&gt;=0)*(EDATE($G29,(((Lists!H$24-$AA29)-MOD((Lists!H$24-$AA29),$Z29))-$Z29))&gt;Lists!H$23)*(EDATE($G29,(((Lists!H$24-$AA29)-MOD((Lists!H$24-$AA29),$Z29))-$Z29))&lt;=Lists!H$21)*(EDATE($G29,(((Lists!H$24-$AA29)-MOD((Lists!H$24-$AA29),$Z29))-$Z29))&lt;=$AB29)))))</f>
        <v>0</v>
      </c>
      <c r="P29" s="53" t="n">
        <f aca="false">IF(OR(N($E29)=0,$G29=""),0,$I29*IF($F29="Weekly",((Lists!I$21-MOD(Lists!I$21-$G29,7))&gt;=$G29)*((Lists!I$21-MOD(Lists!I$21-$G29,7))&lt;=$AB29),IF($F29="One-off",($G29&gt;Lists!I$23)*($G29&lt;=Lists!I$21),IF($F29="",0,(((Lists!I$24-$AA29)-MOD((Lists!I$24-$AA29),$Z29))&gt;=0)*(EDATE($G29,((Lists!I$24-$AA29)-MOD((Lists!I$24-$AA29),$Z29)))&gt;Lists!I$23)*(EDATE($G29,((Lists!I$24-$AA29)-MOD((Lists!I$24-$AA29),$Z29)))&lt;=Lists!I$21)*(EDATE($G29,((Lists!I$24-$AA29)-MOD((Lists!I$24-$AA29),$Z29)))&lt;=$AB29)+((((Lists!I$24-$AA29)-MOD((Lists!I$24-$AA29),$Z29))-$Z29)&gt;=0)*(EDATE($G29,(((Lists!I$24-$AA29)-MOD((Lists!I$24-$AA29),$Z29))-$Z29))&gt;Lists!I$23)*(EDATE($G29,(((Lists!I$24-$AA29)-MOD((Lists!I$24-$AA29),$Z29))-$Z29))&lt;=Lists!I$21)*(EDATE($G29,(((Lists!I$24-$AA29)-MOD((Lists!I$24-$AA29),$Z29))-$Z29))&lt;=$AB29)))))</f>
        <v>0</v>
      </c>
      <c r="Q29" s="53" t="n">
        <f aca="false">IF(OR(N($E29)=0,$G29=""),0,$I29*IF($F29="Weekly",((Lists!J$21-MOD(Lists!J$21-$G29,7))&gt;=$G29)*((Lists!J$21-MOD(Lists!J$21-$G29,7))&lt;=$AB29),IF($F29="One-off",($G29&gt;Lists!J$23)*($G29&lt;=Lists!J$21),IF($F29="",0,(((Lists!J$24-$AA29)-MOD((Lists!J$24-$AA29),$Z29))&gt;=0)*(EDATE($G29,((Lists!J$24-$AA29)-MOD((Lists!J$24-$AA29),$Z29)))&gt;Lists!J$23)*(EDATE($G29,((Lists!J$24-$AA29)-MOD((Lists!J$24-$AA29),$Z29)))&lt;=Lists!J$21)*(EDATE($G29,((Lists!J$24-$AA29)-MOD((Lists!J$24-$AA29),$Z29)))&lt;=$AB29)+((((Lists!J$24-$AA29)-MOD((Lists!J$24-$AA29),$Z29))-$Z29)&gt;=0)*(EDATE($G29,(((Lists!J$24-$AA29)-MOD((Lists!J$24-$AA29),$Z29))-$Z29))&gt;Lists!J$23)*(EDATE($G29,(((Lists!J$24-$AA29)-MOD((Lists!J$24-$AA29),$Z29))-$Z29))&lt;=Lists!J$21)*(EDATE($G29,(((Lists!J$24-$AA29)-MOD((Lists!J$24-$AA29),$Z29))-$Z29))&lt;=$AB29)))))</f>
        <v>0</v>
      </c>
      <c r="R29" s="53" t="n">
        <f aca="false">IF(OR(N($E29)=0,$G29=""),0,$I29*IF($F29="Weekly",((Lists!K$21-MOD(Lists!K$21-$G29,7))&gt;=$G29)*((Lists!K$21-MOD(Lists!K$21-$G29,7))&lt;=$AB29),IF($F29="One-off",($G29&gt;Lists!K$23)*($G29&lt;=Lists!K$21),IF($F29="",0,(((Lists!K$24-$AA29)-MOD((Lists!K$24-$AA29),$Z29))&gt;=0)*(EDATE($G29,((Lists!K$24-$AA29)-MOD((Lists!K$24-$AA29),$Z29)))&gt;Lists!K$23)*(EDATE($G29,((Lists!K$24-$AA29)-MOD((Lists!K$24-$AA29),$Z29)))&lt;=Lists!K$21)*(EDATE($G29,((Lists!K$24-$AA29)-MOD((Lists!K$24-$AA29),$Z29)))&lt;=$AB29)+((((Lists!K$24-$AA29)-MOD((Lists!K$24-$AA29),$Z29))-$Z29)&gt;=0)*(EDATE($G29,(((Lists!K$24-$AA29)-MOD((Lists!K$24-$AA29),$Z29))-$Z29))&gt;Lists!K$23)*(EDATE($G29,(((Lists!K$24-$AA29)-MOD((Lists!K$24-$AA29),$Z29))-$Z29))&lt;=Lists!K$21)*(EDATE($G29,(((Lists!K$24-$AA29)-MOD((Lists!K$24-$AA29),$Z29))-$Z29))&lt;=$AB29)))))</f>
        <v>0</v>
      </c>
      <c r="S29" s="53" t="n">
        <f aca="false">IF(OR(N($E29)=0,$G29=""),0,$I29*IF($F29="Weekly",((Lists!L$21-MOD(Lists!L$21-$G29,7))&gt;=$G29)*((Lists!L$21-MOD(Lists!L$21-$G29,7))&lt;=$AB29),IF($F29="One-off",($G29&gt;Lists!L$23)*($G29&lt;=Lists!L$21),IF($F29="",0,(((Lists!L$24-$AA29)-MOD((Lists!L$24-$AA29),$Z29))&gt;=0)*(EDATE($G29,((Lists!L$24-$AA29)-MOD((Lists!L$24-$AA29),$Z29)))&gt;Lists!L$23)*(EDATE($G29,((Lists!L$24-$AA29)-MOD((Lists!L$24-$AA29),$Z29)))&lt;=Lists!L$21)*(EDATE($G29,((Lists!L$24-$AA29)-MOD((Lists!L$24-$AA29),$Z29)))&lt;=$AB29)+((((Lists!L$24-$AA29)-MOD((Lists!L$24-$AA29),$Z29))-$Z29)&gt;=0)*(EDATE($G29,(((Lists!L$24-$AA29)-MOD((Lists!L$24-$AA29),$Z29))-$Z29))&gt;Lists!L$23)*(EDATE($G29,(((Lists!L$24-$AA29)-MOD((Lists!L$24-$AA29),$Z29))-$Z29))&lt;=Lists!L$21)*(EDATE($G29,(((Lists!L$24-$AA29)-MOD((Lists!L$24-$AA29),$Z29))-$Z29))&lt;=$AB29)))))</f>
        <v>0</v>
      </c>
      <c r="T29" s="53" t="n">
        <f aca="false">IF(OR(N($E29)=0,$G29=""),0,$I29*IF($F29="Weekly",((Lists!M$21-MOD(Lists!M$21-$G29,7))&gt;=$G29)*((Lists!M$21-MOD(Lists!M$21-$G29,7))&lt;=$AB29),IF($F29="One-off",($G29&gt;Lists!M$23)*($G29&lt;=Lists!M$21),IF($F29="",0,(((Lists!M$24-$AA29)-MOD((Lists!M$24-$AA29),$Z29))&gt;=0)*(EDATE($G29,((Lists!M$24-$AA29)-MOD((Lists!M$24-$AA29),$Z29)))&gt;Lists!M$23)*(EDATE($G29,((Lists!M$24-$AA29)-MOD((Lists!M$24-$AA29),$Z29)))&lt;=Lists!M$21)*(EDATE($G29,((Lists!M$24-$AA29)-MOD((Lists!M$24-$AA29),$Z29)))&lt;=$AB29)+((((Lists!M$24-$AA29)-MOD((Lists!M$24-$AA29),$Z29))-$Z29)&gt;=0)*(EDATE($G29,(((Lists!M$24-$AA29)-MOD((Lists!M$24-$AA29),$Z29))-$Z29))&gt;Lists!M$23)*(EDATE($G29,(((Lists!M$24-$AA29)-MOD((Lists!M$24-$AA29),$Z29))-$Z29))&lt;=Lists!M$21)*(EDATE($G29,(((Lists!M$24-$AA29)-MOD((Lists!M$24-$AA29),$Z29))-$Z29))&lt;=$AB29)))))</f>
        <v>0</v>
      </c>
      <c r="U29" s="53" t="n">
        <f aca="false">IF(OR(N($E29)=0,$G29=""),0,$I29*IF($F29="Weekly",((Lists!N$21-MOD(Lists!N$21-$G29,7))&gt;=$G29)*((Lists!N$21-MOD(Lists!N$21-$G29,7))&lt;=$AB29),IF($F29="One-off",($G29&gt;Lists!N$23)*($G29&lt;=Lists!N$21),IF($F29="",0,(((Lists!N$24-$AA29)-MOD((Lists!N$24-$AA29),$Z29))&gt;=0)*(EDATE($G29,((Lists!N$24-$AA29)-MOD((Lists!N$24-$AA29),$Z29)))&gt;Lists!N$23)*(EDATE($G29,((Lists!N$24-$AA29)-MOD((Lists!N$24-$AA29),$Z29)))&lt;=Lists!N$21)*(EDATE($G29,((Lists!N$24-$AA29)-MOD((Lists!N$24-$AA29),$Z29)))&lt;=$AB29)+((((Lists!N$24-$AA29)-MOD((Lists!N$24-$AA29),$Z29))-$Z29)&gt;=0)*(EDATE($G29,(((Lists!N$24-$AA29)-MOD((Lists!N$24-$AA29),$Z29))-$Z29))&gt;Lists!N$23)*(EDATE($G29,(((Lists!N$24-$AA29)-MOD((Lists!N$24-$AA29),$Z29))-$Z29))&lt;=Lists!N$21)*(EDATE($G29,(((Lists!N$24-$AA29)-MOD((Lists!N$24-$AA29),$Z29))-$Z29))&lt;=$AB29)))))</f>
        <v>0</v>
      </c>
      <c r="V29" s="53" t="n">
        <f aca="false">IF(OR(N($E29)=0,$G29=""),0,$I29*IF($F29="Weekly",((Lists!O$21-MOD(Lists!O$21-$G29,7))&gt;=$G29)*((Lists!O$21-MOD(Lists!O$21-$G29,7))&lt;=$AB29),IF($F29="One-off",($G29&gt;Lists!O$23)*($G29&lt;=Lists!O$21),IF($F29="",0,(((Lists!O$24-$AA29)-MOD((Lists!O$24-$AA29),$Z29))&gt;=0)*(EDATE($G29,((Lists!O$24-$AA29)-MOD((Lists!O$24-$AA29),$Z29)))&gt;Lists!O$23)*(EDATE($G29,((Lists!O$24-$AA29)-MOD((Lists!O$24-$AA29),$Z29)))&lt;=Lists!O$21)*(EDATE($G29,((Lists!O$24-$AA29)-MOD((Lists!O$24-$AA29),$Z29)))&lt;=$AB29)+((((Lists!O$24-$AA29)-MOD((Lists!O$24-$AA29),$Z29))-$Z29)&gt;=0)*(EDATE($G29,(((Lists!O$24-$AA29)-MOD((Lists!O$24-$AA29),$Z29))-$Z29))&gt;Lists!O$23)*(EDATE($G29,(((Lists!O$24-$AA29)-MOD((Lists!O$24-$AA29),$Z29))-$Z29))&lt;=Lists!O$21)*(EDATE($G29,(((Lists!O$24-$AA29)-MOD((Lists!O$24-$AA29),$Z29))-$Z29))&lt;=$AB29)))))</f>
        <v>0</v>
      </c>
      <c r="W29" s="46" t="n">
        <f aca="false">SUM(J29:V29)</f>
        <v>0</v>
      </c>
      <c r="X29" s="2"/>
      <c r="Y29" s="104" t="n">
        <f aca="false">IF(AND(Setup!$D$16="Yes",D29&lt;&gt;"No"),1+Setup!$D$17,1)</f>
        <v>1.2</v>
      </c>
      <c r="Z29" s="94" t="n">
        <f aca="false">IF(F29="Quarterly",3,IF(F29="Annually",12,1))</f>
        <v>1</v>
      </c>
      <c r="AA29" s="94" t="n">
        <f aca="false">IF(G29="",0,YEAR(G29)*12+MONTH(G29))</f>
        <v>0</v>
      </c>
      <c r="AB29" s="93" t="n">
        <f aca="false">IF(H29="",2958465,H29)</f>
        <v>2958465</v>
      </c>
      <c r="AC29" s="95" t="str">
        <f aca="false">IF(C29="","Other overheads",C29)</f>
        <v>Other overheads</v>
      </c>
    </row>
    <row r="30" customFormat="false" ht="15" hidden="false" customHeight="false" outlineLevel="0" collapsed="false">
      <c r="A30" s="87" t="n">
        <v>22</v>
      </c>
      <c r="B30" s="55"/>
      <c r="C30" s="55"/>
      <c r="D30" s="58"/>
      <c r="E30" s="88"/>
      <c r="F30" s="58"/>
      <c r="G30" s="90"/>
      <c r="H30" s="90"/>
      <c r="I30" s="92" t="n">
        <f aca="false">N(E30)*Y30</f>
        <v>0</v>
      </c>
      <c r="J30" s="53" t="n">
        <f aca="false">IF(OR(N($E30)=0,$G30=""),0,$I30*IF($F30="Weekly",((Lists!C$21-MOD(Lists!C$21-$G30,7))&gt;=$G30)*((Lists!C$21-MOD(Lists!C$21-$G30,7))&lt;=$AB30),IF($F30="One-off",($G30&gt;Lists!C$23)*($G30&lt;=Lists!C$21),IF($F30="",0,(((Lists!C$24-$AA30)-MOD((Lists!C$24-$AA30),$Z30))&gt;=0)*(EDATE($G30,((Lists!C$24-$AA30)-MOD((Lists!C$24-$AA30),$Z30)))&gt;Lists!C$23)*(EDATE($G30,((Lists!C$24-$AA30)-MOD((Lists!C$24-$AA30),$Z30)))&lt;=Lists!C$21)*(EDATE($G30,((Lists!C$24-$AA30)-MOD((Lists!C$24-$AA30),$Z30)))&lt;=$AB30)+((((Lists!C$24-$AA30)-MOD((Lists!C$24-$AA30),$Z30))-$Z30)&gt;=0)*(EDATE($G30,(((Lists!C$24-$AA30)-MOD((Lists!C$24-$AA30),$Z30))-$Z30))&gt;Lists!C$23)*(EDATE($G30,(((Lists!C$24-$AA30)-MOD((Lists!C$24-$AA30),$Z30))-$Z30))&lt;=Lists!C$21)*(EDATE($G30,(((Lists!C$24-$AA30)-MOD((Lists!C$24-$AA30),$Z30))-$Z30))&lt;=$AB30)))))</f>
        <v>0</v>
      </c>
      <c r="K30" s="53" t="n">
        <f aca="false">IF(OR(N($E30)=0,$G30=""),0,$I30*IF($F30="Weekly",((Lists!D$21-MOD(Lists!D$21-$G30,7))&gt;=$G30)*((Lists!D$21-MOD(Lists!D$21-$G30,7))&lt;=$AB30),IF($F30="One-off",($G30&gt;Lists!D$23)*($G30&lt;=Lists!D$21),IF($F30="",0,(((Lists!D$24-$AA30)-MOD((Lists!D$24-$AA30),$Z30))&gt;=0)*(EDATE($G30,((Lists!D$24-$AA30)-MOD((Lists!D$24-$AA30),$Z30)))&gt;Lists!D$23)*(EDATE($G30,((Lists!D$24-$AA30)-MOD((Lists!D$24-$AA30),$Z30)))&lt;=Lists!D$21)*(EDATE($G30,((Lists!D$24-$AA30)-MOD((Lists!D$24-$AA30),$Z30)))&lt;=$AB30)+((((Lists!D$24-$AA30)-MOD((Lists!D$24-$AA30),$Z30))-$Z30)&gt;=0)*(EDATE($G30,(((Lists!D$24-$AA30)-MOD((Lists!D$24-$AA30),$Z30))-$Z30))&gt;Lists!D$23)*(EDATE($G30,(((Lists!D$24-$AA30)-MOD((Lists!D$24-$AA30),$Z30))-$Z30))&lt;=Lists!D$21)*(EDATE($G30,(((Lists!D$24-$AA30)-MOD((Lists!D$24-$AA30),$Z30))-$Z30))&lt;=$AB30)))))</f>
        <v>0</v>
      </c>
      <c r="L30" s="53" t="n">
        <f aca="false">IF(OR(N($E30)=0,$G30=""),0,$I30*IF($F30="Weekly",((Lists!E$21-MOD(Lists!E$21-$G30,7))&gt;=$G30)*((Lists!E$21-MOD(Lists!E$21-$G30,7))&lt;=$AB30),IF($F30="One-off",($G30&gt;Lists!E$23)*($G30&lt;=Lists!E$21),IF($F30="",0,(((Lists!E$24-$AA30)-MOD((Lists!E$24-$AA30),$Z30))&gt;=0)*(EDATE($G30,((Lists!E$24-$AA30)-MOD((Lists!E$24-$AA30),$Z30)))&gt;Lists!E$23)*(EDATE($G30,((Lists!E$24-$AA30)-MOD((Lists!E$24-$AA30),$Z30)))&lt;=Lists!E$21)*(EDATE($G30,((Lists!E$24-$AA30)-MOD((Lists!E$24-$AA30),$Z30)))&lt;=$AB30)+((((Lists!E$24-$AA30)-MOD((Lists!E$24-$AA30),$Z30))-$Z30)&gt;=0)*(EDATE($G30,(((Lists!E$24-$AA30)-MOD((Lists!E$24-$AA30),$Z30))-$Z30))&gt;Lists!E$23)*(EDATE($G30,(((Lists!E$24-$AA30)-MOD((Lists!E$24-$AA30),$Z30))-$Z30))&lt;=Lists!E$21)*(EDATE($G30,(((Lists!E$24-$AA30)-MOD((Lists!E$24-$AA30),$Z30))-$Z30))&lt;=$AB30)))))</f>
        <v>0</v>
      </c>
      <c r="M30" s="53" t="n">
        <f aca="false">IF(OR(N($E30)=0,$G30=""),0,$I30*IF($F30="Weekly",((Lists!F$21-MOD(Lists!F$21-$G30,7))&gt;=$G30)*((Lists!F$21-MOD(Lists!F$21-$G30,7))&lt;=$AB30),IF($F30="One-off",($G30&gt;Lists!F$23)*($G30&lt;=Lists!F$21),IF($F30="",0,(((Lists!F$24-$AA30)-MOD((Lists!F$24-$AA30),$Z30))&gt;=0)*(EDATE($G30,((Lists!F$24-$AA30)-MOD((Lists!F$24-$AA30),$Z30)))&gt;Lists!F$23)*(EDATE($G30,((Lists!F$24-$AA30)-MOD((Lists!F$24-$AA30),$Z30)))&lt;=Lists!F$21)*(EDATE($G30,((Lists!F$24-$AA30)-MOD((Lists!F$24-$AA30),$Z30)))&lt;=$AB30)+((((Lists!F$24-$AA30)-MOD((Lists!F$24-$AA30),$Z30))-$Z30)&gt;=0)*(EDATE($G30,(((Lists!F$24-$AA30)-MOD((Lists!F$24-$AA30),$Z30))-$Z30))&gt;Lists!F$23)*(EDATE($G30,(((Lists!F$24-$AA30)-MOD((Lists!F$24-$AA30),$Z30))-$Z30))&lt;=Lists!F$21)*(EDATE($G30,(((Lists!F$24-$AA30)-MOD((Lists!F$24-$AA30),$Z30))-$Z30))&lt;=$AB30)))))</f>
        <v>0</v>
      </c>
      <c r="N30" s="53" t="n">
        <f aca="false">IF(OR(N($E30)=0,$G30=""),0,$I30*IF($F30="Weekly",((Lists!G$21-MOD(Lists!G$21-$G30,7))&gt;=$G30)*((Lists!G$21-MOD(Lists!G$21-$G30,7))&lt;=$AB30),IF($F30="One-off",($G30&gt;Lists!G$23)*($G30&lt;=Lists!G$21),IF($F30="",0,(((Lists!G$24-$AA30)-MOD((Lists!G$24-$AA30),$Z30))&gt;=0)*(EDATE($G30,((Lists!G$24-$AA30)-MOD((Lists!G$24-$AA30),$Z30)))&gt;Lists!G$23)*(EDATE($G30,((Lists!G$24-$AA30)-MOD((Lists!G$24-$AA30),$Z30)))&lt;=Lists!G$21)*(EDATE($G30,((Lists!G$24-$AA30)-MOD((Lists!G$24-$AA30),$Z30)))&lt;=$AB30)+((((Lists!G$24-$AA30)-MOD((Lists!G$24-$AA30),$Z30))-$Z30)&gt;=0)*(EDATE($G30,(((Lists!G$24-$AA30)-MOD((Lists!G$24-$AA30),$Z30))-$Z30))&gt;Lists!G$23)*(EDATE($G30,(((Lists!G$24-$AA30)-MOD((Lists!G$24-$AA30),$Z30))-$Z30))&lt;=Lists!G$21)*(EDATE($G30,(((Lists!G$24-$AA30)-MOD((Lists!G$24-$AA30),$Z30))-$Z30))&lt;=$AB30)))))</f>
        <v>0</v>
      </c>
      <c r="O30" s="53" t="n">
        <f aca="false">IF(OR(N($E30)=0,$G30=""),0,$I30*IF($F30="Weekly",((Lists!H$21-MOD(Lists!H$21-$G30,7))&gt;=$G30)*((Lists!H$21-MOD(Lists!H$21-$G30,7))&lt;=$AB30),IF($F30="One-off",($G30&gt;Lists!H$23)*($G30&lt;=Lists!H$21),IF($F30="",0,(((Lists!H$24-$AA30)-MOD((Lists!H$24-$AA30),$Z30))&gt;=0)*(EDATE($G30,((Lists!H$24-$AA30)-MOD((Lists!H$24-$AA30),$Z30)))&gt;Lists!H$23)*(EDATE($G30,((Lists!H$24-$AA30)-MOD((Lists!H$24-$AA30),$Z30)))&lt;=Lists!H$21)*(EDATE($G30,((Lists!H$24-$AA30)-MOD((Lists!H$24-$AA30),$Z30)))&lt;=$AB30)+((((Lists!H$24-$AA30)-MOD((Lists!H$24-$AA30),$Z30))-$Z30)&gt;=0)*(EDATE($G30,(((Lists!H$24-$AA30)-MOD((Lists!H$24-$AA30),$Z30))-$Z30))&gt;Lists!H$23)*(EDATE($G30,(((Lists!H$24-$AA30)-MOD((Lists!H$24-$AA30),$Z30))-$Z30))&lt;=Lists!H$21)*(EDATE($G30,(((Lists!H$24-$AA30)-MOD((Lists!H$24-$AA30),$Z30))-$Z30))&lt;=$AB30)))))</f>
        <v>0</v>
      </c>
      <c r="P30" s="53" t="n">
        <f aca="false">IF(OR(N($E30)=0,$G30=""),0,$I30*IF($F30="Weekly",((Lists!I$21-MOD(Lists!I$21-$G30,7))&gt;=$G30)*((Lists!I$21-MOD(Lists!I$21-$G30,7))&lt;=$AB30),IF($F30="One-off",($G30&gt;Lists!I$23)*($G30&lt;=Lists!I$21),IF($F30="",0,(((Lists!I$24-$AA30)-MOD((Lists!I$24-$AA30),$Z30))&gt;=0)*(EDATE($G30,((Lists!I$24-$AA30)-MOD((Lists!I$24-$AA30),$Z30)))&gt;Lists!I$23)*(EDATE($G30,((Lists!I$24-$AA30)-MOD((Lists!I$24-$AA30),$Z30)))&lt;=Lists!I$21)*(EDATE($G30,((Lists!I$24-$AA30)-MOD((Lists!I$24-$AA30),$Z30)))&lt;=$AB30)+((((Lists!I$24-$AA30)-MOD((Lists!I$24-$AA30),$Z30))-$Z30)&gt;=0)*(EDATE($G30,(((Lists!I$24-$AA30)-MOD((Lists!I$24-$AA30),$Z30))-$Z30))&gt;Lists!I$23)*(EDATE($G30,(((Lists!I$24-$AA30)-MOD((Lists!I$24-$AA30),$Z30))-$Z30))&lt;=Lists!I$21)*(EDATE($G30,(((Lists!I$24-$AA30)-MOD((Lists!I$24-$AA30),$Z30))-$Z30))&lt;=$AB30)))))</f>
        <v>0</v>
      </c>
      <c r="Q30" s="53" t="n">
        <f aca="false">IF(OR(N($E30)=0,$G30=""),0,$I30*IF($F30="Weekly",((Lists!J$21-MOD(Lists!J$21-$G30,7))&gt;=$G30)*((Lists!J$21-MOD(Lists!J$21-$G30,7))&lt;=$AB30),IF($F30="One-off",($G30&gt;Lists!J$23)*($G30&lt;=Lists!J$21),IF($F30="",0,(((Lists!J$24-$AA30)-MOD((Lists!J$24-$AA30),$Z30))&gt;=0)*(EDATE($G30,((Lists!J$24-$AA30)-MOD((Lists!J$24-$AA30),$Z30)))&gt;Lists!J$23)*(EDATE($G30,((Lists!J$24-$AA30)-MOD((Lists!J$24-$AA30),$Z30)))&lt;=Lists!J$21)*(EDATE($G30,((Lists!J$24-$AA30)-MOD((Lists!J$24-$AA30),$Z30)))&lt;=$AB30)+((((Lists!J$24-$AA30)-MOD((Lists!J$24-$AA30),$Z30))-$Z30)&gt;=0)*(EDATE($G30,(((Lists!J$24-$AA30)-MOD((Lists!J$24-$AA30),$Z30))-$Z30))&gt;Lists!J$23)*(EDATE($G30,(((Lists!J$24-$AA30)-MOD((Lists!J$24-$AA30),$Z30))-$Z30))&lt;=Lists!J$21)*(EDATE($G30,(((Lists!J$24-$AA30)-MOD((Lists!J$24-$AA30),$Z30))-$Z30))&lt;=$AB30)))))</f>
        <v>0</v>
      </c>
      <c r="R30" s="53" t="n">
        <f aca="false">IF(OR(N($E30)=0,$G30=""),0,$I30*IF($F30="Weekly",((Lists!K$21-MOD(Lists!K$21-$G30,7))&gt;=$G30)*((Lists!K$21-MOD(Lists!K$21-$G30,7))&lt;=$AB30),IF($F30="One-off",($G30&gt;Lists!K$23)*($G30&lt;=Lists!K$21),IF($F30="",0,(((Lists!K$24-$AA30)-MOD((Lists!K$24-$AA30),$Z30))&gt;=0)*(EDATE($G30,((Lists!K$24-$AA30)-MOD((Lists!K$24-$AA30),$Z30)))&gt;Lists!K$23)*(EDATE($G30,((Lists!K$24-$AA30)-MOD((Lists!K$24-$AA30),$Z30)))&lt;=Lists!K$21)*(EDATE($G30,((Lists!K$24-$AA30)-MOD((Lists!K$24-$AA30),$Z30)))&lt;=$AB30)+((((Lists!K$24-$AA30)-MOD((Lists!K$24-$AA30),$Z30))-$Z30)&gt;=0)*(EDATE($G30,(((Lists!K$24-$AA30)-MOD((Lists!K$24-$AA30),$Z30))-$Z30))&gt;Lists!K$23)*(EDATE($G30,(((Lists!K$24-$AA30)-MOD((Lists!K$24-$AA30),$Z30))-$Z30))&lt;=Lists!K$21)*(EDATE($G30,(((Lists!K$24-$AA30)-MOD((Lists!K$24-$AA30),$Z30))-$Z30))&lt;=$AB30)))))</f>
        <v>0</v>
      </c>
      <c r="S30" s="53" t="n">
        <f aca="false">IF(OR(N($E30)=0,$G30=""),0,$I30*IF($F30="Weekly",((Lists!L$21-MOD(Lists!L$21-$G30,7))&gt;=$G30)*((Lists!L$21-MOD(Lists!L$21-$G30,7))&lt;=$AB30),IF($F30="One-off",($G30&gt;Lists!L$23)*($G30&lt;=Lists!L$21),IF($F30="",0,(((Lists!L$24-$AA30)-MOD((Lists!L$24-$AA30),$Z30))&gt;=0)*(EDATE($G30,((Lists!L$24-$AA30)-MOD((Lists!L$24-$AA30),$Z30)))&gt;Lists!L$23)*(EDATE($G30,((Lists!L$24-$AA30)-MOD((Lists!L$24-$AA30),$Z30)))&lt;=Lists!L$21)*(EDATE($G30,((Lists!L$24-$AA30)-MOD((Lists!L$24-$AA30),$Z30)))&lt;=$AB30)+((((Lists!L$24-$AA30)-MOD((Lists!L$24-$AA30),$Z30))-$Z30)&gt;=0)*(EDATE($G30,(((Lists!L$24-$AA30)-MOD((Lists!L$24-$AA30),$Z30))-$Z30))&gt;Lists!L$23)*(EDATE($G30,(((Lists!L$24-$AA30)-MOD((Lists!L$24-$AA30),$Z30))-$Z30))&lt;=Lists!L$21)*(EDATE($G30,(((Lists!L$24-$AA30)-MOD((Lists!L$24-$AA30),$Z30))-$Z30))&lt;=$AB30)))))</f>
        <v>0</v>
      </c>
      <c r="T30" s="53" t="n">
        <f aca="false">IF(OR(N($E30)=0,$G30=""),0,$I30*IF($F30="Weekly",((Lists!M$21-MOD(Lists!M$21-$G30,7))&gt;=$G30)*((Lists!M$21-MOD(Lists!M$21-$G30,7))&lt;=$AB30),IF($F30="One-off",($G30&gt;Lists!M$23)*($G30&lt;=Lists!M$21),IF($F30="",0,(((Lists!M$24-$AA30)-MOD((Lists!M$24-$AA30),$Z30))&gt;=0)*(EDATE($G30,((Lists!M$24-$AA30)-MOD((Lists!M$24-$AA30),$Z30)))&gt;Lists!M$23)*(EDATE($G30,((Lists!M$24-$AA30)-MOD((Lists!M$24-$AA30),$Z30)))&lt;=Lists!M$21)*(EDATE($G30,((Lists!M$24-$AA30)-MOD((Lists!M$24-$AA30),$Z30)))&lt;=$AB30)+((((Lists!M$24-$AA30)-MOD((Lists!M$24-$AA30),$Z30))-$Z30)&gt;=0)*(EDATE($G30,(((Lists!M$24-$AA30)-MOD((Lists!M$24-$AA30),$Z30))-$Z30))&gt;Lists!M$23)*(EDATE($G30,(((Lists!M$24-$AA30)-MOD((Lists!M$24-$AA30),$Z30))-$Z30))&lt;=Lists!M$21)*(EDATE($G30,(((Lists!M$24-$AA30)-MOD((Lists!M$24-$AA30),$Z30))-$Z30))&lt;=$AB30)))))</f>
        <v>0</v>
      </c>
      <c r="U30" s="53" t="n">
        <f aca="false">IF(OR(N($E30)=0,$G30=""),0,$I30*IF($F30="Weekly",((Lists!N$21-MOD(Lists!N$21-$G30,7))&gt;=$G30)*((Lists!N$21-MOD(Lists!N$21-$G30,7))&lt;=$AB30),IF($F30="One-off",($G30&gt;Lists!N$23)*($G30&lt;=Lists!N$21),IF($F30="",0,(((Lists!N$24-$AA30)-MOD((Lists!N$24-$AA30),$Z30))&gt;=0)*(EDATE($G30,((Lists!N$24-$AA30)-MOD((Lists!N$24-$AA30),$Z30)))&gt;Lists!N$23)*(EDATE($G30,((Lists!N$24-$AA30)-MOD((Lists!N$24-$AA30),$Z30)))&lt;=Lists!N$21)*(EDATE($G30,((Lists!N$24-$AA30)-MOD((Lists!N$24-$AA30),$Z30)))&lt;=$AB30)+((((Lists!N$24-$AA30)-MOD((Lists!N$24-$AA30),$Z30))-$Z30)&gt;=0)*(EDATE($G30,(((Lists!N$24-$AA30)-MOD((Lists!N$24-$AA30),$Z30))-$Z30))&gt;Lists!N$23)*(EDATE($G30,(((Lists!N$24-$AA30)-MOD((Lists!N$24-$AA30),$Z30))-$Z30))&lt;=Lists!N$21)*(EDATE($G30,(((Lists!N$24-$AA30)-MOD((Lists!N$24-$AA30),$Z30))-$Z30))&lt;=$AB30)))))</f>
        <v>0</v>
      </c>
      <c r="V30" s="53" t="n">
        <f aca="false">IF(OR(N($E30)=0,$G30=""),0,$I30*IF($F30="Weekly",((Lists!O$21-MOD(Lists!O$21-$G30,7))&gt;=$G30)*((Lists!O$21-MOD(Lists!O$21-$G30,7))&lt;=$AB30),IF($F30="One-off",($G30&gt;Lists!O$23)*($G30&lt;=Lists!O$21),IF($F30="",0,(((Lists!O$24-$AA30)-MOD((Lists!O$24-$AA30),$Z30))&gt;=0)*(EDATE($G30,((Lists!O$24-$AA30)-MOD((Lists!O$24-$AA30),$Z30)))&gt;Lists!O$23)*(EDATE($G30,((Lists!O$24-$AA30)-MOD((Lists!O$24-$AA30),$Z30)))&lt;=Lists!O$21)*(EDATE($G30,((Lists!O$24-$AA30)-MOD((Lists!O$24-$AA30),$Z30)))&lt;=$AB30)+((((Lists!O$24-$AA30)-MOD((Lists!O$24-$AA30),$Z30))-$Z30)&gt;=0)*(EDATE($G30,(((Lists!O$24-$AA30)-MOD((Lists!O$24-$AA30),$Z30))-$Z30))&gt;Lists!O$23)*(EDATE($G30,(((Lists!O$24-$AA30)-MOD((Lists!O$24-$AA30),$Z30))-$Z30))&lt;=Lists!O$21)*(EDATE($G30,(((Lists!O$24-$AA30)-MOD((Lists!O$24-$AA30),$Z30))-$Z30))&lt;=$AB30)))))</f>
        <v>0</v>
      </c>
      <c r="W30" s="46" t="n">
        <f aca="false">SUM(J30:V30)</f>
        <v>0</v>
      </c>
      <c r="X30" s="2"/>
      <c r="Y30" s="104" t="n">
        <f aca="false">IF(AND(Setup!$D$16="Yes",D30&lt;&gt;"No"),1+Setup!$D$17,1)</f>
        <v>1.2</v>
      </c>
      <c r="Z30" s="94" t="n">
        <f aca="false">IF(F30="Quarterly",3,IF(F30="Annually",12,1))</f>
        <v>1</v>
      </c>
      <c r="AA30" s="94" t="n">
        <f aca="false">IF(G30="",0,YEAR(G30)*12+MONTH(G30))</f>
        <v>0</v>
      </c>
      <c r="AB30" s="93" t="n">
        <f aca="false">IF(H30="",2958465,H30)</f>
        <v>2958465</v>
      </c>
      <c r="AC30" s="95" t="str">
        <f aca="false">IF(C30="","Other overheads",C30)</f>
        <v>Other overheads</v>
      </c>
    </row>
    <row r="31" customFormat="false" ht="15" hidden="false" customHeight="false" outlineLevel="0" collapsed="false">
      <c r="A31" s="87" t="n">
        <v>23</v>
      </c>
      <c r="B31" s="55"/>
      <c r="C31" s="55"/>
      <c r="D31" s="58"/>
      <c r="E31" s="88"/>
      <c r="F31" s="58"/>
      <c r="G31" s="90"/>
      <c r="H31" s="90"/>
      <c r="I31" s="92" t="n">
        <f aca="false">N(E31)*Y31</f>
        <v>0</v>
      </c>
      <c r="J31" s="53" t="n">
        <f aca="false">IF(OR(N($E31)=0,$G31=""),0,$I31*IF($F31="Weekly",((Lists!C$21-MOD(Lists!C$21-$G31,7))&gt;=$G31)*((Lists!C$21-MOD(Lists!C$21-$G31,7))&lt;=$AB31),IF($F31="One-off",($G31&gt;Lists!C$23)*($G31&lt;=Lists!C$21),IF($F31="",0,(((Lists!C$24-$AA31)-MOD((Lists!C$24-$AA31),$Z31))&gt;=0)*(EDATE($G31,((Lists!C$24-$AA31)-MOD((Lists!C$24-$AA31),$Z31)))&gt;Lists!C$23)*(EDATE($G31,((Lists!C$24-$AA31)-MOD((Lists!C$24-$AA31),$Z31)))&lt;=Lists!C$21)*(EDATE($G31,((Lists!C$24-$AA31)-MOD((Lists!C$24-$AA31),$Z31)))&lt;=$AB31)+((((Lists!C$24-$AA31)-MOD((Lists!C$24-$AA31),$Z31))-$Z31)&gt;=0)*(EDATE($G31,(((Lists!C$24-$AA31)-MOD((Lists!C$24-$AA31),$Z31))-$Z31))&gt;Lists!C$23)*(EDATE($G31,(((Lists!C$24-$AA31)-MOD((Lists!C$24-$AA31),$Z31))-$Z31))&lt;=Lists!C$21)*(EDATE($G31,(((Lists!C$24-$AA31)-MOD((Lists!C$24-$AA31),$Z31))-$Z31))&lt;=$AB31)))))</f>
        <v>0</v>
      </c>
      <c r="K31" s="53" t="n">
        <f aca="false">IF(OR(N($E31)=0,$G31=""),0,$I31*IF($F31="Weekly",((Lists!D$21-MOD(Lists!D$21-$G31,7))&gt;=$G31)*((Lists!D$21-MOD(Lists!D$21-$G31,7))&lt;=$AB31),IF($F31="One-off",($G31&gt;Lists!D$23)*($G31&lt;=Lists!D$21),IF($F31="",0,(((Lists!D$24-$AA31)-MOD((Lists!D$24-$AA31),$Z31))&gt;=0)*(EDATE($G31,((Lists!D$24-$AA31)-MOD((Lists!D$24-$AA31),$Z31)))&gt;Lists!D$23)*(EDATE($G31,((Lists!D$24-$AA31)-MOD((Lists!D$24-$AA31),$Z31)))&lt;=Lists!D$21)*(EDATE($G31,((Lists!D$24-$AA31)-MOD((Lists!D$24-$AA31),$Z31)))&lt;=$AB31)+((((Lists!D$24-$AA31)-MOD((Lists!D$24-$AA31),$Z31))-$Z31)&gt;=0)*(EDATE($G31,(((Lists!D$24-$AA31)-MOD((Lists!D$24-$AA31),$Z31))-$Z31))&gt;Lists!D$23)*(EDATE($G31,(((Lists!D$24-$AA31)-MOD((Lists!D$24-$AA31),$Z31))-$Z31))&lt;=Lists!D$21)*(EDATE($G31,(((Lists!D$24-$AA31)-MOD((Lists!D$24-$AA31),$Z31))-$Z31))&lt;=$AB31)))))</f>
        <v>0</v>
      </c>
      <c r="L31" s="53" t="n">
        <f aca="false">IF(OR(N($E31)=0,$G31=""),0,$I31*IF($F31="Weekly",((Lists!E$21-MOD(Lists!E$21-$G31,7))&gt;=$G31)*((Lists!E$21-MOD(Lists!E$21-$G31,7))&lt;=$AB31),IF($F31="One-off",($G31&gt;Lists!E$23)*($G31&lt;=Lists!E$21),IF($F31="",0,(((Lists!E$24-$AA31)-MOD((Lists!E$24-$AA31),$Z31))&gt;=0)*(EDATE($G31,((Lists!E$24-$AA31)-MOD((Lists!E$24-$AA31),$Z31)))&gt;Lists!E$23)*(EDATE($G31,((Lists!E$24-$AA31)-MOD((Lists!E$24-$AA31),$Z31)))&lt;=Lists!E$21)*(EDATE($G31,((Lists!E$24-$AA31)-MOD((Lists!E$24-$AA31),$Z31)))&lt;=$AB31)+((((Lists!E$24-$AA31)-MOD((Lists!E$24-$AA31),$Z31))-$Z31)&gt;=0)*(EDATE($G31,(((Lists!E$24-$AA31)-MOD((Lists!E$24-$AA31),$Z31))-$Z31))&gt;Lists!E$23)*(EDATE($G31,(((Lists!E$24-$AA31)-MOD((Lists!E$24-$AA31),$Z31))-$Z31))&lt;=Lists!E$21)*(EDATE($G31,(((Lists!E$24-$AA31)-MOD((Lists!E$24-$AA31),$Z31))-$Z31))&lt;=$AB31)))))</f>
        <v>0</v>
      </c>
      <c r="M31" s="53" t="n">
        <f aca="false">IF(OR(N($E31)=0,$G31=""),0,$I31*IF($F31="Weekly",((Lists!F$21-MOD(Lists!F$21-$G31,7))&gt;=$G31)*((Lists!F$21-MOD(Lists!F$21-$G31,7))&lt;=$AB31),IF($F31="One-off",($G31&gt;Lists!F$23)*($G31&lt;=Lists!F$21),IF($F31="",0,(((Lists!F$24-$AA31)-MOD((Lists!F$24-$AA31),$Z31))&gt;=0)*(EDATE($G31,((Lists!F$24-$AA31)-MOD((Lists!F$24-$AA31),$Z31)))&gt;Lists!F$23)*(EDATE($G31,((Lists!F$24-$AA31)-MOD((Lists!F$24-$AA31),$Z31)))&lt;=Lists!F$21)*(EDATE($G31,((Lists!F$24-$AA31)-MOD((Lists!F$24-$AA31),$Z31)))&lt;=$AB31)+((((Lists!F$24-$AA31)-MOD((Lists!F$24-$AA31),$Z31))-$Z31)&gt;=0)*(EDATE($G31,(((Lists!F$24-$AA31)-MOD((Lists!F$24-$AA31),$Z31))-$Z31))&gt;Lists!F$23)*(EDATE($G31,(((Lists!F$24-$AA31)-MOD((Lists!F$24-$AA31),$Z31))-$Z31))&lt;=Lists!F$21)*(EDATE($G31,(((Lists!F$24-$AA31)-MOD((Lists!F$24-$AA31),$Z31))-$Z31))&lt;=$AB31)))))</f>
        <v>0</v>
      </c>
      <c r="N31" s="53" t="n">
        <f aca="false">IF(OR(N($E31)=0,$G31=""),0,$I31*IF($F31="Weekly",((Lists!G$21-MOD(Lists!G$21-$G31,7))&gt;=$G31)*((Lists!G$21-MOD(Lists!G$21-$G31,7))&lt;=$AB31),IF($F31="One-off",($G31&gt;Lists!G$23)*($G31&lt;=Lists!G$21),IF($F31="",0,(((Lists!G$24-$AA31)-MOD((Lists!G$24-$AA31),$Z31))&gt;=0)*(EDATE($G31,((Lists!G$24-$AA31)-MOD((Lists!G$24-$AA31),$Z31)))&gt;Lists!G$23)*(EDATE($G31,((Lists!G$24-$AA31)-MOD((Lists!G$24-$AA31),$Z31)))&lt;=Lists!G$21)*(EDATE($G31,((Lists!G$24-$AA31)-MOD((Lists!G$24-$AA31),$Z31)))&lt;=$AB31)+((((Lists!G$24-$AA31)-MOD((Lists!G$24-$AA31),$Z31))-$Z31)&gt;=0)*(EDATE($G31,(((Lists!G$24-$AA31)-MOD((Lists!G$24-$AA31),$Z31))-$Z31))&gt;Lists!G$23)*(EDATE($G31,(((Lists!G$24-$AA31)-MOD((Lists!G$24-$AA31),$Z31))-$Z31))&lt;=Lists!G$21)*(EDATE($G31,(((Lists!G$24-$AA31)-MOD((Lists!G$24-$AA31),$Z31))-$Z31))&lt;=$AB31)))))</f>
        <v>0</v>
      </c>
      <c r="O31" s="53" t="n">
        <f aca="false">IF(OR(N($E31)=0,$G31=""),0,$I31*IF($F31="Weekly",((Lists!H$21-MOD(Lists!H$21-$G31,7))&gt;=$G31)*((Lists!H$21-MOD(Lists!H$21-$G31,7))&lt;=$AB31),IF($F31="One-off",($G31&gt;Lists!H$23)*($G31&lt;=Lists!H$21),IF($F31="",0,(((Lists!H$24-$AA31)-MOD((Lists!H$24-$AA31),$Z31))&gt;=0)*(EDATE($G31,((Lists!H$24-$AA31)-MOD((Lists!H$24-$AA31),$Z31)))&gt;Lists!H$23)*(EDATE($G31,((Lists!H$24-$AA31)-MOD((Lists!H$24-$AA31),$Z31)))&lt;=Lists!H$21)*(EDATE($G31,((Lists!H$24-$AA31)-MOD((Lists!H$24-$AA31),$Z31)))&lt;=$AB31)+((((Lists!H$24-$AA31)-MOD((Lists!H$24-$AA31),$Z31))-$Z31)&gt;=0)*(EDATE($G31,(((Lists!H$24-$AA31)-MOD((Lists!H$24-$AA31),$Z31))-$Z31))&gt;Lists!H$23)*(EDATE($G31,(((Lists!H$24-$AA31)-MOD((Lists!H$24-$AA31),$Z31))-$Z31))&lt;=Lists!H$21)*(EDATE($G31,(((Lists!H$24-$AA31)-MOD((Lists!H$24-$AA31),$Z31))-$Z31))&lt;=$AB31)))))</f>
        <v>0</v>
      </c>
      <c r="P31" s="53" t="n">
        <f aca="false">IF(OR(N($E31)=0,$G31=""),0,$I31*IF($F31="Weekly",((Lists!I$21-MOD(Lists!I$21-$G31,7))&gt;=$G31)*((Lists!I$21-MOD(Lists!I$21-$G31,7))&lt;=$AB31),IF($F31="One-off",($G31&gt;Lists!I$23)*($G31&lt;=Lists!I$21),IF($F31="",0,(((Lists!I$24-$AA31)-MOD((Lists!I$24-$AA31),$Z31))&gt;=0)*(EDATE($G31,((Lists!I$24-$AA31)-MOD((Lists!I$24-$AA31),$Z31)))&gt;Lists!I$23)*(EDATE($G31,((Lists!I$24-$AA31)-MOD((Lists!I$24-$AA31),$Z31)))&lt;=Lists!I$21)*(EDATE($G31,((Lists!I$24-$AA31)-MOD((Lists!I$24-$AA31),$Z31)))&lt;=$AB31)+((((Lists!I$24-$AA31)-MOD((Lists!I$24-$AA31),$Z31))-$Z31)&gt;=0)*(EDATE($G31,(((Lists!I$24-$AA31)-MOD((Lists!I$24-$AA31),$Z31))-$Z31))&gt;Lists!I$23)*(EDATE($G31,(((Lists!I$24-$AA31)-MOD((Lists!I$24-$AA31),$Z31))-$Z31))&lt;=Lists!I$21)*(EDATE($G31,(((Lists!I$24-$AA31)-MOD((Lists!I$24-$AA31),$Z31))-$Z31))&lt;=$AB31)))))</f>
        <v>0</v>
      </c>
      <c r="Q31" s="53" t="n">
        <f aca="false">IF(OR(N($E31)=0,$G31=""),0,$I31*IF($F31="Weekly",((Lists!J$21-MOD(Lists!J$21-$G31,7))&gt;=$G31)*((Lists!J$21-MOD(Lists!J$21-$G31,7))&lt;=$AB31),IF($F31="One-off",($G31&gt;Lists!J$23)*($G31&lt;=Lists!J$21),IF($F31="",0,(((Lists!J$24-$AA31)-MOD((Lists!J$24-$AA31),$Z31))&gt;=0)*(EDATE($G31,((Lists!J$24-$AA31)-MOD((Lists!J$24-$AA31),$Z31)))&gt;Lists!J$23)*(EDATE($G31,((Lists!J$24-$AA31)-MOD((Lists!J$24-$AA31),$Z31)))&lt;=Lists!J$21)*(EDATE($G31,((Lists!J$24-$AA31)-MOD((Lists!J$24-$AA31),$Z31)))&lt;=$AB31)+((((Lists!J$24-$AA31)-MOD((Lists!J$24-$AA31),$Z31))-$Z31)&gt;=0)*(EDATE($G31,(((Lists!J$24-$AA31)-MOD((Lists!J$24-$AA31),$Z31))-$Z31))&gt;Lists!J$23)*(EDATE($G31,(((Lists!J$24-$AA31)-MOD((Lists!J$24-$AA31),$Z31))-$Z31))&lt;=Lists!J$21)*(EDATE($G31,(((Lists!J$24-$AA31)-MOD((Lists!J$24-$AA31),$Z31))-$Z31))&lt;=$AB31)))))</f>
        <v>0</v>
      </c>
      <c r="R31" s="53" t="n">
        <f aca="false">IF(OR(N($E31)=0,$G31=""),0,$I31*IF($F31="Weekly",((Lists!K$21-MOD(Lists!K$21-$G31,7))&gt;=$G31)*((Lists!K$21-MOD(Lists!K$21-$G31,7))&lt;=$AB31),IF($F31="One-off",($G31&gt;Lists!K$23)*($G31&lt;=Lists!K$21),IF($F31="",0,(((Lists!K$24-$AA31)-MOD((Lists!K$24-$AA31),$Z31))&gt;=0)*(EDATE($G31,((Lists!K$24-$AA31)-MOD((Lists!K$24-$AA31),$Z31)))&gt;Lists!K$23)*(EDATE($G31,((Lists!K$24-$AA31)-MOD((Lists!K$24-$AA31),$Z31)))&lt;=Lists!K$21)*(EDATE($G31,((Lists!K$24-$AA31)-MOD((Lists!K$24-$AA31),$Z31)))&lt;=$AB31)+((((Lists!K$24-$AA31)-MOD((Lists!K$24-$AA31),$Z31))-$Z31)&gt;=0)*(EDATE($G31,(((Lists!K$24-$AA31)-MOD((Lists!K$24-$AA31),$Z31))-$Z31))&gt;Lists!K$23)*(EDATE($G31,(((Lists!K$24-$AA31)-MOD((Lists!K$24-$AA31),$Z31))-$Z31))&lt;=Lists!K$21)*(EDATE($G31,(((Lists!K$24-$AA31)-MOD((Lists!K$24-$AA31),$Z31))-$Z31))&lt;=$AB31)))))</f>
        <v>0</v>
      </c>
      <c r="S31" s="53" t="n">
        <f aca="false">IF(OR(N($E31)=0,$G31=""),0,$I31*IF($F31="Weekly",((Lists!L$21-MOD(Lists!L$21-$G31,7))&gt;=$G31)*((Lists!L$21-MOD(Lists!L$21-$G31,7))&lt;=$AB31),IF($F31="One-off",($G31&gt;Lists!L$23)*($G31&lt;=Lists!L$21),IF($F31="",0,(((Lists!L$24-$AA31)-MOD((Lists!L$24-$AA31),$Z31))&gt;=0)*(EDATE($G31,((Lists!L$24-$AA31)-MOD((Lists!L$24-$AA31),$Z31)))&gt;Lists!L$23)*(EDATE($G31,((Lists!L$24-$AA31)-MOD((Lists!L$24-$AA31),$Z31)))&lt;=Lists!L$21)*(EDATE($G31,((Lists!L$24-$AA31)-MOD((Lists!L$24-$AA31),$Z31)))&lt;=$AB31)+((((Lists!L$24-$AA31)-MOD((Lists!L$24-$AA31),$Z31))-$Z31)&gt;=0)*(EDATE($G31,(((Lists!L$24-$AA31)-MOD((Lists!L$24-$AA31),$Z31))-$Z31))&gt;Lists!L$23)*(EDATE($G31,(((Lists!L$24-$AA31)-MOD((Lists!L$24-$AA31),$Z31))-$Z31))&lt;=Lists!L$21)*(EDATE($G31,(((Lists!L$24-$AA31)-MOD((Lists!L$24-$AA31),$Z31))-$Z31))&lt;=$AB31)))))</f>
        <v>0</v>
      </c>
      <c r="T31" s="53" t="n">
        <f aca="false">IF(OR(N($E31)=0,$G31=""),0,$I31*IF($F31="Weekly",((Lists!M$21-MOD(Lists!M$21-$G31,7))&gt;=$G31)*((Lists!M$21-MOD(Lists!M$21-$G31,7))&lt;=$AB31),IF($F31="One-off",($G31&gt;Lists!M$23)*($G31&lt;=Lists!M$21),IF($F31="",0,(((Lists!M$24-$AA31)-MOD((Lists!M$24-$AA31),$Z31))&gt;=0)*(EDATE($G31,((Lists!M$24-$AA31)-MOD((Lists!M$24-$AA31),$Z31)))&gt;Lists!M$23)*(EDATE($G31,((Lists!M$24-$AA31)-MOD((Lists!M$24-$AA31),$Z31)))&lt;=Lists!M$21)*(EDATE($G31,((Lists!M$24-$AA31)-MOD((Lists!M$24-$AA31),$Z31)))&lt;=$AB31)+((((Lists!M$24-$AA31)-MOD((Lists!M$24-$AA31),$Z31))-$Z31)&gt;=0)*(EDATE($G31,(((Lists!M$24-$AA31)-MOD((Lists!M$24-$AA31),$Z31))-$Z31))&gt;Lists!M$23)*(EDATE($G31,(((Lists!M$24-$AA31)-MOD((Lists!M$24-$AA31),$Z31))-$Z31))&lt;=Lists!M$21)*(EDATE($G31,(((Lists!M$24-$AA31)-MOD((Lists!M$24-$AA31),$Z31))-$Z31))&lt;=$AB31)))))</f>
        <v>0</v>
      </c>
      <c r="U31" s="53" t="n">
        <f aca="false">IF(OR(N($E31)=0,$G31=""),0,$I31*IF($F31="Weekly",((Lists!N$21-MOD(Lists!N$21-$G31,7))&gt;=$G31)*((Lists!N$21-MOD(Lists!N$21-$G31,7))&lt;=$AB31),IF($F31="One-off",($G31&gt;Lists!N$23)*($G31&lt;=Lists!N$21),IF($F31="",0,(((Lists!N$24-$AA31)-MOD((Lists!N$24-$AA31),$Z31))&gt;=0)*(EDATE($G31,((Lists!N$24-$AA31)-MOD((Lists!N$24-$AA31),$Z31)))&gt;Lists!N$23)*(EDATE($G31,((Lists!N$24-$AA31)-MOD((Lists!N$24-$AA31),$Z31)))&lt;=Lists!N$21)*(EDATE($G31,((Lists!N$24-$AA31)-MOD((Lists!N$24-$AA31),$Z31)))&lt;=$AB31)+((((Lists!N$24-$AA31)-MOD((Lists!N$24-$AA31),$Z31))-$Z31)&gt;=0)*(EDATE($G31,(((Lists!N$24-$AA31)-MOD((Lists!N$24-$AA31),$Z31))-$Z31))&gt;Lists!N$23)*(EDATE($G31,(((Lists!N$24-$AA31)-MOD((Lists!N$24-$AA31),$Z31))-$Z31))&lt;=Lists!N$21)*(EDATE($G31,(((Lists!N$24-$AA31)-MOD((Lists!N$24-$AA31),$Z31))-$Z31))&lt;=$AB31)))))</f>
        <v>0</v>
      </c>
      <c r="V31" s="53" t="n">
        <f aca="false">IF(OR(N($E31)=0,$G31=""),0,$I31*IF($F31="Weekly",((Lists!O$21-MOD(Lists!O$21-$G31,7))&gt;=$G31)*((Lists!O$21-MOD(Lists!O$21-$G31,7))&lt;=$AB31),IF($F31="One-off",($G31&gt;Lists!O$23)*($G31&lt;=Lists!O$21),IF($F31="",0,(((Lists!O$24-$AA31)-MOD((Lists!O$24-$AA31),$Z31))&gt;=0)*(EDATE($G31,((Lists!O$24-$AA31)-MOD((Lists!O$24-$AA31),$Z31)))&gt;Lists!O$23)*(EDATE($G31,((Lists!O$24-$AA31)-MOD((Lists!O$24-$AA31),$Z31)))&lt;=Lists!O$21)*(EDATE($G31,((Lists!O$24-$AA31)-MOD((Lists!O$24-$AA31),$Z31)))&lt;=$AB31)+((((Lists!O$24-$AA31)-MOD((Lists!O$24-$AA31),$Z31))-$Z31)&gt;=0)*(EDATE($G31,(((Lists!O$24-$AA31)-MOD((Lists!O$24-$AA31),$Z31))-$Z31))&gt;Lists!O$23)*(EDATE($G31,(((Lists!O$24-$AA31)-MOD((Lists!O$24-$AA31),$Z31))-$Z31))&lt;=Lists!O$21)*(EDATE($G31,(((Lists!O$24-$AA31)-MOD((Lists!O$24-$AA31),$Z31))-$Z31))&lt;=$AB31)))))</f>
        <v>0</v>
      </c>
      <c r="W31" s="46" t="n">
        <f aca="false">SUM(J31:V31)</f>
        <v>0</v>
      </c>
      <c r="X31" s="2"/>
      <c r="Y31" s="104" t="n">
        <f aca="false">IF(AND(Setup!$D$16="Yes",D31&lt;&gt;"No"),1+Setup!$D$17,1)</f>
        <v>1.2</v>
      </c>
      <c r="Z31" s="94" t="n">
        <f aca="false">IF(F31="Quarterly",3,IF(F31="Annually",12,1))</f>
        <v>1</v>
      </c>
      <c r="AA31" s="94" t="n">
        <f aca="false">IF(G31="",0,YEAR(G31)*12+MONTH(G31))</f>
        <v>0</v>
      </c>
      <c r="AB31" s="93" t="n">
        <f aca="false">IF(H31="",2958465,H31)</f>
        <v>2958465</v>
      </c>
      <c r="AC31" s="95" t="str">
        <f aca="false">IF(C31="","Other overheads",C31)</f>
        <v>Other overheads</v>
      </c>
    </row>
    <row r="32" customFormat="false" ht="15" hidden="false" customHeight="false" outlineLevel="0" collapsed="false">
      <c r="A32" s="87" t="n">
        <v>24</v>
      </c>
      <c r="B32" s="55"/>
      <c r="C32" s="55"/>
      <c r="D32" s="58"/>
      <c r="E32" s="88"/>
      <c r="F32" s="58"/>
      <c r="G32" s="90"/>
      <c r="H32" s="90"/>
      <c r="I32" s="92" t="n">
        <f aca="false">N(E32)*Y32</f>
        <v>0</v>
      </c>
      <c r="J32" s="53" t="n">
        <f aca="false">IF(OR(N($E32)=0,$G32=""),0,$I32*IF($F32="Weekly",((Lists!C$21-MOD(Lists!C$21-$G32,7))&gt;=$G32)*((Lists!C$21-MOD(Lists!C$21-$G32,7))&lt;=$AB32),IF($F32="One-off",($G32&gt;Lists!C$23)*($G32&lt;=Lists!C$21),IF($F32="",0,(((Lists!C$24-$AA32)-MOD((Lists!C$24-$AA32),$Z32))&gt;=0)*(EDATE($G32,((Lists!C$24-$AA32)-MOD((Lists!C$24-$AA32),$Z32)))&gt;Lists!C$23)*(EDATE($G32,((Lists!C$24-$AA32)-MOD((Lists!C$24-$AA32),$Z32)))&lt;=Lists!C$21)*(EDATE($G32,((Lists!C$24-$AA32)-MOD((Lists!C$24-$AA32),$Z32)))&lt;=$AB32)+((((Lists!C$24-$AA32)-MOD((Lists!C$24-$AA32),$Z32))-$Z32)&gt;=0)*(EDATE($G32,(((Lists!C$24-$AA32)-MOD((Lists!C$24-$AA32),$Z32))-$Z32))&gt;Lists!C$23)*(EDATE($G32,(((Lists!C$24-$AA32)-MOD((Lists!C$24-$AA32),$Z32))-$Z32))&lt;=Lists!C$21)*(EDATE($G32,(((Lists!C$24-$AA32)-MOD((Lists!C$24-$AA32),$Z32))-$Z32))&lt;=$AB32)))))</f>
        <v>0</v>
      </c>
      <c r="K32" s="53" t="n">
        <f aca="false">IF(OR(N($E32)=0,$G32=""),0,$I32*IF($F32="Weekly",((Lists!D$21-MOD(Lists!D$21-$G32,7))&gt;=$G32)*((Lists!D$21-MOD(Lists!D$21-$G32,7))&lt;=$AB32),IF($F32="One-off",($G32&gt;Lists!D$23)*($G32&lt;=Lists!D$21),IF($F32="",0,(((Lists!D$24-$AA32)-MOD((Lists!D$24-$AA32),$Z32))&gt;=0)*(EDATE($G32,((Lists!D$24-$AA32)-MOD((Lists!D$24-$AA32),$Z32)))&gt;Lists!D$23)*(EDATE($G32,((Lists!D$24-$AA32)-MOD((Lists!D$24-$AA32),$Z32)))&lt;=Lists!D$21)*(EDATE($G32,((Lists!D$24-$AA32)-MOD((Lists!D$24-$AA32),$Z32)))&lt;=$AB32)+((((Lists!D$24-$AA32)-MOD((Lists!D$24-$AA32),$Z32))-$Z32)&gt;=0)*(EDATE($G32,(((Lists!D$24-$AA32)-MOD((Lists!D$24-$AA32),$Z32))-$Z32))&gt;Lists!D$23)*(EDATE($G32,(((Lists!D$24-$AA32)-MOD((Lists!D$24-$AA32),$Z32))-$Z32))&lt;=Lists!D$21)*(EDATE($G32,(((Lists!D$24-$AA32)-MOD((Lists!D$24-$AA32),$Z32))-$Z32))&lt;=$AB32)))))</f>
        <v>0</v>
      </c>
      <c r="L32" s="53" t="n">
        <f aca="false">IF(OR(N($E32)=0,$G32=""),0,$I32*IF($F32="Weekly",((Lists!E$21-MOD(Lists!E$21-$G32,7))&gt;=$G32)*((Lists!E$21-MOD(Lists!E$21-$G32,7))&lt;=$AB32),IF($F32="One-off",($G32&gt;Lists!E$23)*($G32&lt;=Lists!E$21),IF($F32="",0,(((Lists!E$24-$AA32)-MOD((Lists!E$24-$AA32),$Z32))&gt;=0)*(EDATE($G32,((Lists!E$24-$AA32)-MOD((Lists!E$24-$AA32),$Z32)))&gt;Lists!E$23)*(EDATE($G32,((Lists!E$24-$AA32)-MOD((Lists!E$24-$AA32),$Z32)))&lt;=Lists!E$21)*(EDATE($G32,((Lists!E$24-$AA32)-MOD((Lists!E$24-$AA32),$Z32)))&lt;=$AB32)+((((Lists!E$24-$AA32)-MOD((Lists!E$24-$AA32),$Z32))-$Z32)&gt;=0)*(EDATE($G32,(((Lists!E$24-$AA32)-MOD((Lists!E$24-$AA32),$Z32))-$Z32))&gt;Lists!E$23)*(EDATE($G32,(((Lists!E$24-$AA32)-MOD((Lists!E$24-$AA32),$Z32))-$Z32))&lt;=Lists!E$21)*(EDATE($G32,(((Lists!E$24-$AA32)-MOD((Lists!E$24-$AA32),$Z32))-$Z32))&lt;=$AB32)))))</f>
        <v>0</v>
      </c>
      <c r="M32" s="53" t="n">
        <f aca="false">IF(OR(N($E32)=0,$G32=""),0,$I32*IF($F32="Weekly",((Lists!F$21-MOD(Lists!F$21-$G32,7))&gt;=$G32)*((Lists!F$21-MOD(Lists!F$21-$G32,7))&lt;=$AB32),IF($F32="One-off",($G32&gt;Lists!F$23)*($G32&lt;=Lists!F$21),IF($F32="",0,(((Lists!F$24-$AA32)-MOD((Lists!F$24-$AA32),$Z32))&gt;=0)*(EDATE($G32,((Lists!F$24-$AA32)-MOD((Lists!F$24-$AA32),$Z32)))&gt;Lists!F$23)*(EDATE($G32,((Lists!F$24-$AA32)-MOD((Lists!F$24-$AA32),$Z32)))&lt;=Lists!F$21)*(EDATE($G32,((Lists!F$24-$AA32)-MOD((Lists!F$24-$AA32),$Z32)))&lt;=$AB32)+((((Lists!F$24-$AA32)-MOD((Lists!F$24-$AA32),$Z32))-$Z32)&gt;=0)*(EDATE($G32,(((Lists!F$24-$AA32)-MOD((Lists!F$24-$AA32),$Z32))-$Z32))&gt;Lists!F$23)*(EDATE($G32,(((Lists!F$24-$AA32)-MOD((Lists!F$24-$AA32),$Z32))-$Z32))&lt;=Lists!F$21)*(EDATE($G32,(((Lists!F$24-$AA32)-MOD((Lists!F$24-$AA32),$Z32))-$Z32))&lt;=$AB32)))))</f>
        <v>0</v>
      </c>
      <c r="N32" s="53" t="n">
        <f aca="false">IF(OR(N($E32)=0,$G32=""),0,$I32*IF($F32="Weekly",((Lists!G$21-MOD(Lists!G$21-$G32,7))&gt;=$G32)*((Lists!G$21-MOD(Lists!G$21-$G32,7))&lt;=$AB32),IF($F32="One-off",($G32&gt;Lists!G$23)*($G32&lt;=Lists!G$21),IF($F32="",0,(((Lists!G$24-$AA32)-MOD((Lists!G$24-$AA32),$Z32))&gt;=0)*(EDATE($G32,((Lists!G$24-$AA32)-MOD((Lists!G$24-$AA32),$Z32)))&gt;Lists!G$23)*(EDATE($G32,((Lists!G$24-$AA32)-MOD((Lists!G$24-$AA32),$Z32)))&lt;=Lists!G$21)*(EDATE($G32,((Lists!G$24-$AA32)-MOD((Lists!G$24-$AA32),$Z32)))&lt;=$AB32)+((((Lists!G$24-$AA32)-MOD((Lists!G$24-$AA32),$Z32))-$Z32)&gt;=0)*(EDATE($G32,(((Lists!G$24-$AA32)-MOD((Lists!G$24-$AA32),$Z32))-$Z32))&gt;Lists!G$23)*(EDATE($G32,(((Lists!G$24-$AA32)-MOD((Lists!G$24-$AA32),$Z32))-$Z32))&lt;=Lists!G$21)*(EDATE($G32,(((Lists!G$24-$AA32)-MOD((Lists!G$24-$AA32),$Z32))-$Z32))&lt;=$AB32)))))</f>
        <v>0</v>
      </c>
      <c r="O32" s="53" t="n">
        <f aca="false">IF(OR(N($E32)=0,$G32=""),0,$I32*IF($F32="Weekly",((Lists!H$21-MOD(Lists!H$21-$G32,7))&gt;=$G32)*((Lists!H$21-MOD(Lists!H$21-$G32,7))&lt;=$AB32),IF($F32="One-off",($G32&gt;Lists!H$23)*($G32&lt;=Lists!H$21),IF($F32="",0,(((Lists!H$24-$AA32)-MOD((Lists!H$24-$AA32),$Z32))&gt;=0)*(EDATE($G32,((Lists!H$24-$AA32)-MOD((Lists!H$24-$AA32),$Z32)))&gt;Lists!H$23)*(EDATE($G32,((Lists!H$24-$AA32)-MOD((Lists!H$24-$AA32),$Z32)))&lt;=Lists!H$21)*(EDATE($G32,((Lists!H$24-$AA32)-MOD((Lists!H$24-$AA32),$Z32)))&lt;=$AB32)+((((Lists!H$24-$AA32)-MOD((Lists!H$24-$AA32),$Z32))-$Z32)&gt;=0)*(EDATE($G32,(((Lists!H$24-$AA32)-MOD((Lists!H$24-$AA32),$Z32))-$Z32))&gt;Lists!H$23)*(EDATE($G32,(((Lists!H$24-$AA32)-MOD((Lists!H$24-$AA32),$Z32))-$Z32))&lt;=Lists!H$21)*(EDATE($G32,(((Lists!H$24-$AA32)-MOD((Lists!H$24-$AA32),$Z32))-$Z32))&lt;=$AB32)))))</f>
        <v>0</v>
      </c>
      <c r="P32" s="53" t="n">
        <f aca="false">IF(OR(N($E32)=0,$G32=""),0,$I32*IF($F32="Weekly",((Lists!I$21-MOD(Lists!I$21-$G32,7))&gt;=$G32)*((Lists!I$21-MOD(Lists!I$21-$G32,7))&lt;=$AB32),IF($F32="One-off",($G32&gt;Lists!I$23)*($G32&lt;=Lists!I$21),IF($F32="",0,(((Lists!I$24-$AA32)-MOD((Lists!I$24-$AA32),$Z32))&gt;=0)*(EDATE($G32,((Lists!I$24-$AA32)-MOD((Lists!I$24-$AA32),$Z32)))&gt;Lists!I$23)*(EDATE($G32,((Lists!I$24-$AA32)-MOD((Lists!I$24-$AA32),$Z32)))&lt;=Lists!I$21)*(EDATE($G32,((Lists!I$24-$AA32)-MOD((Lists!I$24-$AA32),$Z32)))&lt;=$AB32)+((((Lists!I$24-$AA32)-MOD((Lists!I$24-$AA32),$Z32))-$Z32)&gt;=0)*(EDATE($G32,(((Lists!I$24-$AA32)-MOD((Lists!I$24-$AA32),$Z32))-$Z32))&gt;Lists!I$23)*(EDATE($G32,(((Lists!I$24-$AA32)-MOD((Lists!I$24-$AA32),$Z32))-$Z32))&lt;=Lists!I$21)*(EDATE($G32,(((Lists!I$24-$AA32)-MOD((Lists!I$24-$AA32),$Z32))-$Z32))&lt;=$AB32)))))</f>
        <v>0</v>
      </c>
      <c r="Q32" s="53" t="n">
        <f aca="false">IF(OR(N($E32)=0,$G32=""),0,$I32*IF($F32="Weekly",((Lists!J$21-MOD(Lists!J$21-$G32,7))&gt;=$G32)*((Lists!J$21-MOD(Lists!J$21-$G32,7))&lt;=$AB32),IF($F32="One-off",($G32&gt;Lists!J$23)*($G32&lt;=Lists!J$21),IF($F32="",0,(((Lists!J$24-$AA32)-MOD((Lists!J$24-$AA32),$Z32))&gt;=0)*(EDATE($G32,((Lists!J$24-$AA32)-MOD((Lists!J$24-$AA32),$Z32)))&gt;Lists!J$23)*(EDATE($G32,((Lists!J$24-$AA32)-MOD((Lists!J$24-$AA32),$Z32)))&lt;=Lists!J$21)*(EDATE($G32,((Lists!J$24-$AA32)-MOD((Lists!J$24-$AA32),$Z32)))&lt;=$AB32)+((((Lists!J$24-$AA32)-MOD((Lists!J$24-$AA32),$Z32))-$Z32)&gt;=0)*(EDATE($G32,(((Lists!J$24-$AA32)-MOD((Lists!J$24-$AA32),$Z32))-$Z32))&gt;Lists!J$23)*(EDATE($G32,(((Lists!J$24-$AA32)-MOD((Lists!J$24-$AA32),$Z32))-$Z32))&lt;=Lists!J$21)*(EDATE($G32,(((Lists!J$24-$AA32)-MOD((Lists!J$24-$AA32),$Z32))-$Z32))&lt;=$AB32)))))</f>
        <v>0</v>
      </c>
      <c r="R32" s="53" t="n">
        <f aca="false">IF(OR(N($E32)=0,$G32=""),0,$I32*IF($F32="Weekly",((Lists!K$21-MOD(Lists!K$21-$G32,7))&gt;=$G32)*((Lists!K$21-MOD(Lists!K$21-$G32,7))&lt;=$AB32),IF($F32="One-off",($G32&gt;Lists!K$23)*($G32&lt;=Lists!K$21),IF($F32="",0,(((Lists!K$24-$AA32)-MOD((Lists!K$24-$AA32),$Z32))&gt;=0)*(EDATE($G32,((Lists!K$24-$AA32)-MOD((Lists!K$24-$AA32),$Z32)))&gt;Lists!K$23)*(EDATE($G32,((Lists!K$24-$AA32)-MOD((Lists!K$24-$AA32),$Z32)))&lt;=Lists!K$21)*(EDATE($G32,((Lists!K$24-$AA32)-MOD((Lists!K$24-$AA32),$Z32)))&lt;=$AB32)+((((Lists!K$24-$AA32)-MOD((Lists!K$24-$AA32),$Z32))-$Z32)&gt;=0)*(EDATE($G32,(((Lists!K$24-$AA32)-MOD((Lists!K$24-$AA32),$Z32))-$Z32))&gt;Lists!K$23)*(EDATE($G32,(((Lists!K$24-$AA32)-MOD((Lists!K$24-$AA32),$Z32))-$Z32))&lt;=Lists!K$21)*(EDATE($G32,(((Lists!K$24-$AA32)-MOD((Lists!K$24-$AA32),$Z32))-$Z32))&lt;=$AB32)))))</f>
        <v>0</v>
      </c>
      <c r="S32" s="53" t="n">
        <f aca="false">IF(OR(N($E32)=0,$G32=""),0,$I32*IF($F32="Weekly",((Lists!L$21-MOD(Lists!L$21-$G32,7))&gt;=$G32)*((Lists!L$21-MOD(Lists!L$21-$G32,7))&lt;=$AB32),IF($F32="One-off",($G32&gt;Lists!L$23)*($G32&lt;=Lists!L$21),IF($F32="",0,(((Lists!L$24-$AA32)-MOD((Lists!L$24-$AA32),$Z32))&gt;=0)*(EDATE($G32,((Lists!L$24-$AA32)-MOD((Lists!L$24-$AA32),$Z32)))&gt;Lists!L$23)*(EDATE($G32,((Lists!L$24-$AA32)-MOD((Lists!L$24-$AA32),$Z32)))&lt;=Lists!L$21)*(EDATE($G32,((Lists!L$24-$AA32)-MOD((Lists!L$24-$AA32),$Z32)))&lt;=$AB32)+((((Lists!L$24-$AA32)-MOD((Lists!L$24-$AA32),$Z32))-$Z32)&gt;=0)*(EDATE($G32,(((Lists!L$24-$AA32)-MOD((Lists!L$24-$AA32),$Z32))-$Z32))&gt;Lists!L$23)*(EDATE($G32,(((Lists!L$24-$AA32)-MOD((Lists!L$24-$AA32),$Z32))-$Z32))&lt;=Lists!L$21)*(EDATE($G32,(((Lists!L$24-$AA32)-MOD((Lists!L$24-$AA32),$Z32))-$Z32))&lt;=$AB32)))))</f>
        <v>0</v>
      </c>
      <c r="T32" s="53" t="n">
        <f aca="false">IF(OR(N($E32)=0,$G32=""),0,$I32*IF($F32="Weekly",((Lists!M$21-MOD(Lists!M$21-$G32,7))&gt;=$G32)*((Lists!M$21-MOD(Lists!M$21-$G32,7))&lt;=$AB32),IF($F32="One-off",($G32&gt;Lists!M$23)*($G32&lt;=Lists!M$21),IF($F32="",0,(((Lists!M$24-$AA32)-MOD((Lists!M$24-$AA32),$Z32))&gt;=0)*(EDATE($G32,((Lists!M$24-$AA32)-MOD((Lists!M$24-$AA32),$Z32)))&gt;Lists!M$23)*(EDATE($G32,((Lists!M$24-$AA32)-MOD((Lists!M$24-$AA32),$Z32)))&lt;=Lists!M$21)*(EDATE($G32,((Lists!M$24-$AA32)-MOD((Lists!M$24-$AA32),$Z32)))&lt;=$AB32)+((((Lists!M$24-$AA32)-MOD((Lists!M$24-$AA32),$Z32))-$Z32)&gt;=0)*(EDATE($G32,(((Lists!M$24-$AA32)-MOD((Lists!M$24-$AA32),$Z32))-$Z32))&gt;Lists!M$23)*(EDATE($G32,(((Lists!M$24-$AA32)-MOD((Lists!M$24-$AA32),$Z32))-$Z32))&lt;=Lists!M$21)*(EDATE($G32,(((Lists!M$24-$AA32)-MOD((Lists!M$24-$AA32),$Z32))-$Z32))&lt;=$AB32)))))</f>
        <v>0</v>
      </c>
      <c r="U32" s="53" t="n">
        <f aca="false">IF(OR(N($E32)=0,$G32=""),0,$I32*IF($F32="Weekly",((Lists!N$21-MOD(Lists!N$21-$G32,7))&gt;=$G32)*((Lists!N$21-MOD(Lists!N$21-$G32,7))&lt;=$AB32),IF($F32="One-off",($G32&gt;Lists!N$23)*($G32&lt;=Lists!N$21),IF($F32="",0,(((Lists!N$24-$AA32)-MOD((Lists!N$24-$AA32),$Z32))&gt;=0)*(EDATE($G32,((Lists!N$24-$AA32)-MOD((Lists!N$24-$AA32),$Z32)))&gt;Lists!N$23)*(EDATE($G32,((Lists!N$24-$AA32)-MOD((Lists!N$24-$AA32),$Z32)))&lt;=Lists!N$21)*(EDATE($G32,((Lists!N$24-$AA32)-MOD((Lists!N$24-$AA32),$Z32)))&lt;=$AB32)+((((Lists!N$24-$AA32)-MOD((Lists!N$24-$AA32),$Z32))-$Z32)&gt;=0)*(EDATE($G32,(((Lists!N$24-$AA32)-MOD((Lists!N$24-$AA32),$Z32))-$Z32))&gt;Lists!N$23)*(EDATE($G32,(((Lists!N$24-$AA32)-MOD((Lists!N$24-$AA32),$Z32))-$Z32))&lt;=Lists!N$21)*(EDATE($G32,(((Lists!N$24-$AA32)-MOD((Lists!N$24-$AA32),$Z32))-$Z32))&lt;=$AB32)))))</f>
        <v>0</v>
      </c>
      <c r="V32" s="53" t="n">
        <f aca="false">IF(OR(N($E32)=0,$G32=""),0,$I32*IF($F32="Weekly",((Lists!O$21-MOD(Lists!O$21-$G32,7))&gt;=$G32)*((Lists!O$21-MOD(Lists!O$21-$G32,7))&lt;=$AB32),IF($F32="One-off",($G32&gt;Lists!O$23)*($G32&lt;=Lists!O$21),IF($F32="",0,(((Lists!O$24-$AA32)-MOD((Lists!O$24-$AA32),$Z32))&gt;=0)*(EDATE($G32,((Lists!O$24-$AA32)-MOD((Lists!O$24-$AA32),$Z32)))&gt;Lists!O$23)*(EDATE($G32,((Lists!O$24-$AA32)-MOD((Lists!O$24-$AA32),$Z32)))&lt;=Lists!O$21)*(EDATE($G32,((Lists!O$24-$AA32)-MOD((Lists!O$24-$AA32),$Z32)))&lt;=$AB32)+((((Lists!O$24-$AA32)-MOD((Lists!O$24-$AA32),$Z32))-$Z32)&gt;=0)*(EDATE($G32,(((Lists!O$24-$AA32)-MOD((Lists!O$24-$AA32),$Z32))-$Z32))&gt;Lists!O$23)*(EDATE($G32,(((Lists!O$24-$AA32)-MOD((Lists!O$24-$AA32),$Z32))-$Z32))&lt;=Lists!O$21)*(EDATE($G32,(((Lists!O$24-$AA32)-MOD((Lists!O$24-$AA32),$Z32))-$Z32))&lt;=$AB32)))))</f>
        <v>0</v>
      </c>
      <c r="W32" s="46" t="n">
        <f aca="false">SUM(J32:V32)</f>
        <v>0</v>
      </c>
      <c r="X32" s="2"/>
      <c r="Y32" s="104" t="n">
        <f aca="false">IF(AND(Setup!$D$16="Yes",D32&lt;&gt;"No"),1+Setup!$D$17,1)</f>
        <v>1.2</v>
      </c>
      <c r="Z32" s="94" t="n">
        <f aca="false">IF(F32="Quarterly",3,IF(F32="Annually",12,1))</f>
        <v>1</v>
      </c>
      <c r="AA32" s="94" t="n">
        <f aca="false">IF(G32="",0,YEAR(G32)*12+MONTH(G32))</f>
        <v>0</v>
      </c>
      <c r="AB32" s="93" t="n">
        <f aca="false">IF(H32="",2958465,H32)</f>
        <v>2958465</v>
      </c>
      <c r="AC32" s="95" t="str">
        <f aca="false">IF(C32="","Other overheads",C32)</f>
        <v>Other overheads</v>
      </c>
    </row>
    <row r="33" customFormat="false" ht="15" hidden="false" customHeight="false" outlineLevel="0" collapsed="false">
      <c r="A33" s="87" t="n">
        <v>25</v>
      </c>
      <c r="B33" s="55"/>
      <c r="C33" s="55"/>
      <c r="D33" s="58"/>
      <c r="E33" s="88"/>
      <c r="F33" s="58"/>
      <c r="G33" s="90"/>
      <c r="H33" s="90"/>
      <c r="I33" s="92" t="n">
        <f aca="false">N(E33)*Y33</f>
        <v>0</v>
      </c>
      <c r="J33" s="53" t="n">
        <f aca="false">IF(OR(N($E33)=0,$G33=""),0,$I33*IF($F33="Weekly",((Lists!C$21-MOD(Lists!C$21-$G33,7))&gt;=$G33)*((Lists!C$21-MOD(Lists!C$21-$G33,7))&lt;=$AB33),IF($F33="One-off",($G33&gt;Lists!C$23)*($G33&lt;=Lists!C$21),IF($F33="",0,(((Lists!C$24-$AA33)-MOD((Lists!C$24-$AA33),$Z33))&gt;=0)*(EDATE($G33,((Lists!C$24-$AA33)-MOD((Lists!C$24-$AA33),$Z33)))&gt;Lists!C$23)*(EDATE($G33,((Lists!C$24-$AA33)-MOD((Lists!C$24-$AA33),$Z33)))&lt;=Lists!C$21)*(EDATE($G33,((Lists!C$24-$AA33)-MOD((Lists!C$24-$AA33),$Z33)))&lt;=$AB33)+((((Lists!C$24-$AA33)-MOD((Lists!C$24-$AA33),$Z33))-$Z33)&gt;=0)*(EDATE($G33,(((Lists!C$24-$AA33)-MOD((Lists!C$24-$AA33),$Z33))-$Z33))&gt;Lists!C$23)*(EDATE($G33,(((Lists!C$24-$AA33)-MOD((Lists!C$24-$AA33),$Z33))-$Z33))&lt;=Lists!C$21)*(EDATE($G33,(((Lists!C$24-$AA33)-MOD((Lists!C$24-$AA33),$Z33))-$Z33))&lt;=$AB33)))))</f>
        <v>0</v>
      </c>
      <c r="K33" s="53" t="n">
        <f aca="false">IF(OR(N($E33)=0,$G33=""),0,$I33*IF($F33="Weekly",((Lists!D$21-MOD(Lists!D$21-$G33,7))&gt;=$G33)*((Lists!D$21-MOD(Lists!D$21-$G33,7))&lt;=$AB33),IF($F33="One-off",($G33&gt;Lists!D$23)*($G33&lt;=Lists!D$21),IF($F33="",0,(((Lists!D$24-$AA33)-MOD((Lists!D$24-$AA33),$Z33))&gt;=0)*(EDATE($G33,((Lists!D$24-$AA33)-MOD((Lists!D$24-$AA33),$Z33)))&gt;Lists!D$23)*(EDATE($G33,((Lists!D$24-$AA33)-MOD((Lists!D$24-$AA33),$Z33)))&lt;=Lists!D$21)*(EDATE($G33,((Lists!D$24-$AA33)-MOD((Lists!D$24-$AA33),$Z33)))&lt;=$AB33)+((((Lists!D$24-$AA33)-MOD((Lists!D$24-$AA33),$Z33))-$Z33)&gt;=0)*(EDATE($G33,(((Lists!D$24-$AA33)-MOD((Lists!D$24-$AA33),$Z33))-$Z33))&gt;Lists!D$23)*(EDATE($G33,(((Lists!D$24-$AA33)-MOD((Lists!D$24-$AA33),$Z33))-$Z33))&lt;=Lists!D$21)*(EDATE($G33,(((Lists!D$24-$AA33)-MOD((Lists!D$24-$AA33),$Z33))-$Z33))&lt;=$AB33)))))</f>
        <v>0</v>
      </c>
      <c r="L33" s="53" t="n">
        <f aca="false">IF(OR(N($E33)=0,$G33=""),0,$I33*IF($F33="Weekly",((Lists!E$21-MOD(Lists!E$21-$G33,7))&gt;=$G33)*((Lists!E$21-MOD(Lists!E$21-$G33,7))&lt;=$AB33),IF($F33="One-off",($G33&gt;Lists!E$23)*($G33&lt;=Lists!E$21),IF($F33="",0,(((Lists!E$24-$AA33)-MOD((Lists!E$24-$AA33),$Z33))&gt;=0)*(EDATE($G33,((Lists!E$24-$AA33)-MOD((Lists!E$24-$AA33),$Z33)))&gt;Lists!E$23)*(EDATE($G33,((Lists!E$24-$AA33)-MOD((Lists!E$24-$AA33),$Z33)))&lt;=Lists!E$21)*(EDATE($G33,((Lists!E$24-$AA33)-MOD((Lists!E$24-$AA33),$Z33)))&lt;=$AB33)+((((Lists!E$24-$AA33)-MOD((Lists!E$24-$AA33),$Z33))-$Z33)&gt;=0)*(EDATE($G33,(((Lists!E$24-$AA33)-MOD((Lists!E$24-$AA33),$Z33))-$Z33))&gt;Lists!E$23)*(EDATE($G33,(((Lists!E$24-$AA33)-MOD((Lists!E$24-$AA33),$Z33))-$Z33))&lt;=Lists!E$21)*(EDATE($G33,(((Lists!E$24-$AA33)-MOD((Lists!E$24-$AA33),$Z33))-$Z33))&lt;=$AB33)))))</f>
        <v>0</v>
      </c>
      <c r="M33" s="53" t="n">
        <f aca="false">IF(OR(N($E33)=0,$G33=""),0,$I33*IF($F33="Weekly",((Lists!F$21-MOD(Lists!F$21-$G33,7))&gt;=$G33)*((Lists!F$21-MOD(Lists!F$21-$G33,7))&lt;=$AB33),IF($F33="One-off",($G33&gt;Lists!F$23)*($G33&lt;=Lists!F$21),IF($F33="",0,(((Lists!F$24-$AA33)-MOD((Lists!F$24-$AA33),$Z33))&gt;=0)*(EDATE($G33,((Lists!F$24-$AA33)-MOD((Lists!F$24-$AA33),$Z33)))&gt;Lists!F$23)*(EDATE($G33,((Lists!F$24-$AA33)-MOD((Lists!F$24-$AA33),$Z33)))&lt;=Lists!F$21)*(EDATE($G33,((Lists!F$24-$AA33)-MOD((Lists!F$24-$AA33),$Z33)))&lt;=$AB33)+((((Lists!F$24-$AA33)-MOD((Lists!F$24-$AA33),$Z33))-$Z33)&gt;=0)*(EDATE($G33,(((Lists!F$24-$AA33)-MOD((Lists!F$24-$AA33),$Z33))-$Z33))&gt;Lists!F$23)*(EDATE($G33,(((Lists!F$24-$AA33)-MOD((Lists!F$24-$AA33),$Z33))-$Z33))&lt;=Lists!F$21)*(EDATE($G33,(((Lists!F$24-$AA33)-MOD((Lists!F$24-$AA33),$Z33))-$Z33))&lt;=$AB33)))))</f>
        <v>0</v>
      </c>
      <c r="N33" s="53" t="n">
        <f aca="false">IF(OR(N($E33)=0,$G33=""),0,$I33*IF($F33="Weekly",((Lists!G$21-MOD(Lists!G$21-$G33,7))&gt;=$G33)*((Lists!G$21-MOD(Lists!G$21-$G33,7))&lt;=$AB33),IF($F33="One-off",($G33&gt;Lists!G$23)*($G33&lt;=Lists!G$21),IF($F33="",0,(((Lists!G$24-$AA33)-MOD((Lists!G$24-$AA33),$Z33))&gt;=0)*(EDATE($G33,((Lists!G$24-$AA33)-MOD((Lists!G$24-$AA33),$Z33)))&gt;Lists!G$23)*(EDATE($G33,((Lists!G$24-$AA33)-MOD((Lists!G$24-$AA33),$Z33)))&lt;=Lists!G$21)*(EDATE($G33,((Lists!G$24-$AA33)-MOD((Lists!G$24-$AA33),$Z33)))&lt;=$AB33)+((((Lists!G$24-$AA33)-MOD((Lists!G$24-$AA33),$Z33))-$Z33)&gt;=0)*(EDATE($G33,(((Lists!G$24-$AA33)-MOD((Lists!G$24-$AA33),$Z33))-$Z33))&gt;Lists!G$23)*(EDATE($G33,(((Lists!G$24-$AA33)-MOD((Lists!G$24-$AA33),$Z33))-$Z33))&lt;=Lists!G$21)*(EDATE($G33,(((Lists!G$24-$AA33)-MOD((Lists!G$24-$AA33),$Z33))-$Z33))&lt;=$AB33)))))</f>
        <v>0</v>
      </c>
      <c r="O33" s="53" t="n">
        <f aca="false">IF(OR(N($E33)=0,$G33=""),0,$I33*IF($F33="Weekly",((Lists!H$21-MOD(Lists!H$21-$G33,7))&gt;=$G33)*((Lists!H$21-MOD(Lists!H$21-$G33,7))&lt;=$AB33),IF($F33="One-off",($G33&gt;Lists!H$23)*($G33&lt;=Lists!H$21),IF($F33="",0,(((Lists!H$24-$AA33)-MOD((Lists!H$24-$AA33),$Z33))&gt;=0)*(EDATE($G33,((Lists!H$24-$AA33)-MOD((Lists!H$24-$AA33),$Z33)))&gt;Lists!H$23)*(EDATE($G33,((Lists!H$24-$AA33)-MOD((Lists!H$24-$AA33),$Z33)))&lt;=Lists!H$21)*(EDATE($G33,((Lists!H$24-$AA33)-MOD((Lists!H$24-$AA33),$Z33)))&lt;=$AB33)+((((Lists!H$24-$AA33)-MOD((Lists!H$24-$AA33),$Z33))-$Z33)&gt;=0)*(EDATE($G33,(((Lists!H$24-$AA33)-MOD((Lists!H$24-$AA33),$Z33))-$Z33))&gt;Lists!H$23)*(EDATE($G33,(((Lists!H$24-$AA33)-MOD((Lists!H$24-$AA33),$Z33))-$Z33))&lt;=Lists!H$21)*(EDATE($G33,(((Lists!H$24-$AA33)-MOD((Lists!H$24-$AA33),$Z33))-$Z33))&lt;=$AB33)))))</f>
        <v>0</v>
      </c>
      <c r="P33" s="53" t="n">
        <f aca="false">IF(OR(N($E33)=0,$G33=""),0,$I33*IF($F33="Weekly",((Lists!I$21-MOD(Lists!I$21-$G33,7))&gt;=$G33)*((Lists!I$21-MOD(Lists!I$21-$G33,7))&lt;=$AB33),IF($F33="One-off",($G33&gt;Lists!I$23)*($G33&lt;=Lists!I$21),IF($F33="",0,(((Lists!I$24-$AA33)-MOD((Lists!I$24-$AA33),$Z33))&gt;=0)*(EDATE($G33,((Lists!I$24-$AA33)-MOD((Lists!I$24-$AA33),$Z33)))&gt;Lists!I$23)*(EDATE($G33,((Lists!I$24-$AA33)-MOD((Lists!I$24-$AA33),$Z33)))&lt;=Lists!I$21)*(EDATE($G33,((Lists!I$24-$AA33)-MOD((Lists!I$24-$AA33),$Z33)))&lt;=$AB33)+((((Lists!I$24-$AA33)-MOD((Lists!I$24-$AA33),$Z33))-$Z33)&gt;=0)*(EDATE($G33,(((Lists!I$24-$AA33)-MOD((Lists!I$24-$AA33),$Z33))-$Z33))&gt;Lists!I$23)*(EDATE($G33,(((Lists!I$24-$AA33)-MOD((Lists!I$24-$AA33),$Z33))-$Z33))&lt;=Lists!I$21)*(EDATE($G33,(((Lists!I$24-$AA33)-MOD((Lists!I$24-$AA33),$Z33))-$Z33))&lt;=$AB33)))))</f>
        <v>0</v>
      </c>
      <c r="Q33" s="53" t="n">
        <f aca="false">IF(OR(N($E33)=0,$G33=""),0,$I33*IF($F33="Weekly",((Lists!J$21-MOD(Lists!J$21-$G33,7))&gt;=$G33)*((Lists!J$21-MOD(Lists!J$21-$G33,7))&lt;=$AB33),IF($F33="One-off",($G33&gt;Lists!J$23)*($G33&lt;=Lists!J$21),IF($F33="",0,(((Lists!J$24-$AA33)-MOD((Lists!J$24-$AA33),$Z33))&gt;=0)*(EDATE($G33,((Lists!J$24-$AA33)-MOD((Lists!J$24-$AA33),$Z33)))&gt;Lists!J$23)*(EDATE($G33,((Lists!J$24-$AA33)-MOD((Lists!J$24-$AA33),$Z33)))&lt;=Lists!J$21)*(EDATE($G33,((Lists!J$24-$AA33)-MOD((Lists!J$24-$AA33),$Z33)))&lt;=$AB33)+((((Lists!J$24-$AA33)-MOD((Lists!J$24-$AA33),$Z33))-$Z33)&gt;=0)*(EDATE($G33,(((Lists!J$24-$AA33)-MOD((Lists!J$24-$AA33),$Z33))-$Z33))&gt;Lists!J$23)*(EDATE($G33,(((Lists!J$24-$AA33)-MOD((Lists!J$24-$AA33),$Z33))-$Z33))&lt;=Lists!J$21)*(EDATE($G33,(((Lists!J$24-$AA33)-MOD((Lists!J$24-$AA33),$Z33))-$Z33))&lt;=$AB33)))))</f>
        <v>0</v>
      </c>
      <c r="R33" s="53" t="n">
        <f aca="false">IF(OR(N($E33)=0,$G33=""),0,$I33*IF($F33="Weekly",((Lists!K$21-MOD(Lists!K$21-$G33,7))&gt;=$G33)*((Lists!K$21-MOD(Lists!K$21-$G33,7))&lt;=$AB33),IF($F33="One-off",($G33&gt;Lists!K$23)*($G33&lt;=Lists!K$21),IF($F33="",0,(((Lists!K$24-$AA33)-MOD((Lists!K$24-$AA33),$Z33))&gt;=0)*(EDATE($G33,((Lists!K$24-$AA33)-MOD((Lists!K$24-$AA33),$Z33)))&gt;Lists!K$23)*(EDATE($G33,((Lists!K$24-$AA33)-MOD((Lists!K$24-$AA33),$Z33)))&lt;=Lists!K$21)*(EDATE($G33,((Lists!K$24-$AA33)-MOD((Lists!K$24-$AA33),$Z33)))&lt;=$AB33)+((((Lists!K$24-$AA33)-MOD((Lists!K$24-$AA33),$Z33))-$Z33)&gt;=0)*(EDATE($G33,(((Lists!K$24-$AA33)-MOD((Lists!K$24-$AA33),$Z33))-$Z33))&gt;Lists!K$23)*(EDATE($G33,(((Lists!K$24-$AA33)-MOD((Lists!K$24-$AA33),$Z33))-$Z33))&lt;=Lists!K$21)*(EDATE($G33,(((Lists!K$24-$AA33)-MOD((Lists!K$24-$AA33),$Z33))-$Z33))&lt;=$AB33)))))</f>
        <v>0</v>
      </c>
      <c r="S33" s="53" t="n">
        <f aca="false">IF(OR(N($E33)=0,$G33=""),0,$I33*IF($F33="Weekly",((Lists!L$21-MOD(Lists!L$21-$G33,7))&gt;=$G33)*((Lists!L$21-MOD(Lists!L$21-$G33,7))&lt;=$AB33),IF($F33="One-off",($G33&gt;Lists!L$23)*($G33&lt;=Lists!L$21),IF($F33="",0,(((Lists!L$24-$AA33)-MOD((Lists!L$24-$AA33),$Z33))&gt;=0)*(EDATE($G33,((Lists!L$24-$AA33)-MOD((Lists!L$24-$AA33),$Z33)))&gt;Lists!L$23)*(EDATE($G33,((Lists!L$24-$AA33)-MOD((Lists!L$24-$AA33),$Z33)))&lt;=Lists!L$21)*(EDATE($G33,((Lists!L$24-$AA33)-MOD((Lists!L$24-$AA33),$Z33)))&lt;=$AB33)+((((Lists!L$24-$AA33)-MOD((Lists!L$24-$AA33),$Z33))-$Z33)&gt;=0)*(EDATE($G33,(((Lists!L$24-$AA33)-MOD((Lists!L$24-$AA33),$Z33))-$Z33))&gt;Lists!L$23)*(EDATE($G33,(((Lists!L$24-$AA33)-MOD((Lists!L$24-$AA33),$Z33))-$Z33))&lt;=Lists!L$21)*(EDATE($G33,(((Lists!L$24-$AA33)-MOD((Lists!L$24-$AA33),$Z33))-$Z33))&lt;=$AB33)))))</f>
        <v>0</v>
      </c>
      <c r="T33" s="53" t="n">
        <f aca="false">IF(OR(N($E33)=0,$G33=""),0,$I33*IF($F33="Weekly",((Lists!M$21-MOD(Lists!M$21-$G33,7))&gt;=$G33)*((Lists!M$21-MOD(Lists!M$21-$G33,7))&lt;=$AB33),IF($F33="One-off",($G33&gt;Lists!M$23)*($G33&lt;=Lists!M$21),IF($F33="",0,(((Lists!M$24-$AA33)-MOD((Lists!M$24-$AA33),$Z33))&gt;=0)*(EDATE($G33,((Lists!M$24-$AA33)-MOD((Lists!M$24-$AA33),$Z33)))&gt;Lists!M$23)*(EDATE($G33,((Lists!M$24-$AA33)-MOD((Lists!M$24-$AA33),$Z33)))&lt;=Lists!M$21)*(EDATE($G33,((Lists!M$24-$AA33)-MOD((Lists!M$24-$AA33),$Z33)))&lt;=$AB33)+((((Lists!M$24-$AA33)-MOD((Lists!M$24-$AA33),$Z33))-$Z33)&gt;=0)*(EDATE($G33,(((Lists!M$24-$AA33)-MOD((Lists!M$24-$AA33),$Z33))-$Z33))&gt;Lists!M$23)*(EDATE($G33,(((Lists!M$24-$AA33)-MOD((Lists!M$24-$AA33),$Z33))-$Z33))&lt;=Lists!M$21)*(EDATE($G33,(((Lists!M$24-$AA33)-MOD((Lists!M$24-$AA33),$Z33))-$Z33))&lt;=$AB33)))))</f>
        <v>0</v>
      </c>
      <c r="U33" s="53" t="n">
        <f aca="false">IF(OR(N($E33)=0,$G33=""),0,$I33*IF($F33="Weekly",((Lists!N$21-MOD(Lists!N$21-$G33,7))&gt;=$G33)*((Lists!N$21-MOD(Lists!N$21-$G33,7))&lt;=$AB33),IF($F33="One-off",($G33&gt;Lists!N$23)*($G33&lt;=Lists!N$21),IF($F33="",0,(((Lists!N$24-$AA33)-MOD((Lists!N$24-$AA33),$Z33))&gt;=0)*(EDATE($G33,((Lists!N$24-$AA33)-MOD((Lists!N$24-$AA33),$Z33)))&gt;Lists!N$23)*(EDATE($G33,((Lists!N$24-$AA33)-MOD((Lists!N$24-$AA33),$Z33)))&lt;=Lists!N$21)*(EDATE($G33,((Lists!N$24-$AA33)-MOD((Lists!N$24-$AA33),$Z33)))&lt;=$AB33)+((((Lists!N$24-$AA33)-MOD((Lists!N$24-$AA33),$Z33))-$Z33)&gt;=0)*(EDATE($G33,(((Lists!N$24-$AA33)-MOD((Lists!N$24-$AA33),$Z33))-$Z33))&gt;Lists!N$23)*(EDATE($G33,(((Lists!N$24-$AA33)-MOD((Lists!N$24-$AA33),$Z33))-$Z33))&lt;=Lists!N$21)*(EDATE($G33,(((Lists!N$24-$AA33)-MOD((Lists!N$24-$AA33),$Z33))-$Z33))&lt;=$AB33)))))</f>
        <v>0</v>
      </c>
      <c r="V33" s="53" t="n">
        <f aca="false">IF(OR(N($E33)=0,$G33=""),0,$I33*IF($F33="Weekly",((Lists!O$21-MOD(Lists!O$21-$G33,7))&gt;=$G33)*((Lists!O$21-MOD(Lists!O$21-$G33,7))&lt;=$AB33),IF($F33="One-off",($G33&gt;Lists!O$23)*($G33&lt;=Lists!O$21),IF($F33="",0,(((Lists!O$24-$AA33)-MOD((Lists!O$24-$AA33),$Z33))&gt;=0)*(EDATE($G33,((Lists!O$24-$AA33)-MOD((Lists!O$24-$AA33),$Z33)))&gt;Lists!O$23)*(EDATE($G33,((Lists!O$24-$AA33)-MOD((Lists!O$24-$AA33),$Z33)))&lt;=Lists!O$21)*(EDATE($G33,((Lists!O$24-$AA33)-MOD((Lists!O$24-$AA33),$Z33)))&lt;=$AB33)+((((Lists!O$24-$AA33)-MOD((Lists!O$24-$AA33),$Z33))-$Z33)&gt;=0)*(EDATE($G33,(((Lists!O$24-$AA33)-MOD((Lists!O$24-$AA33),$Z33))-$Z33))&gt;Lists!O$23)*(EDATE($G33,(((Lists!O$24-$AA33)-MOD((Lists!O$24-$AA33),$Z33))-$Z33))&lt;=Lists!O$21)*(EDATE($G33,(((Lists!O$24-$AA33)-MOD((Lists!O$24-$AA33),$Z33))-$Z33))&lt;=$AB33)))))</f>
        <v>0</v>
      </c>
      <c r="W33" s="46" t="n">
        <f aca="false">SUM(J33:V33)</f>
        <v>0</v>
      </c>
      <c r="X33" s="2"/>
      <c r="Y33" s="104" t="n">
        <f aca="false">IF(AND(Setup!$D$16="Yes",D33&lt;&gt;"No"),1+Setup!$D$17,1)</f>
        <v>1.2</v>
      </c>
      <c r="Z33" s="94" t="n">
        <f aca="false">IF(F33="Quarterly",3,IF(F33="Annually",12,1))</f>
        <v>1</v>
      </c>
      <c r="AA33" s="94" t="n">
        <f aca="false">IF(G33="",0,YEAR(G33)*12+MONTH(G33))</f>
        <v>0</v>
      </c>
      <c r="AB33" s="93" t="n">
        <f aca="false">IF(H33="",2958465,H33)</f>
        <v>2958465</v>
      </c>
      <c r="AC33" s="95" t="str">
        <f aca="false">IF(C33="","Other overheads",C33)</f>
        <v>Other overheads</v>
      </c>
    </row>
    <row r="34" customFormat="false" ht="15" hidden="false" customHeight="false" outlineLevel="0" collapsed="false">
      <c r="A34" s="87" t="n">
        <v>26</v>
      </c>
      <c r="B34" s="55"/>
      <c r="C34" s="55"/>
      <c r="D34" s="58"/>
      <c r="E34" s="88"/>
      <c r="F34" s="58"/>
      <c r="G34" s="90"/>
      <c r="H34" s="90"/>
      <c r="I34" s="92" t="n">
        <f aca="false">N(E34)*Y34</f>
        <v>0</v>
      </c>
      <c r="J34" s="53" t="n">
        <f aca="false">IF(OR(N($E34)=0,$G34=""),0,$I34*IF($F34="Weekly",((Lists!C$21-MOD(Lists!C$21-$G34,7))&gt;=$G34)*((Lists!C$21-MOD(Lists!C$21-$G34,7))&lt;=$AB34),IF($F34="One-off",($G34&gt;Lists!C$23)*($G34&lt;=Lists!C$21),IF($F34="",0,(((Lists!C$24-$AA34)-MOD((Lists!C$24-$AA34),$Z34))&gt;=0)*(EDATE($G34,((Lists!C$24-$AA34)-MOD((Lists!C$24-$AA34),$Z34)))&gt;Lists!C$23)*(EDATE($G34,((Lists!C$24-$AA34)-MOD((Lists!C$24-$AA34),$Z34)))&lt;=Lists!C$21)*(EDATE($G34,((Lists!C$24-$AA34)-MOD((Lists!C$24-$AA34),$Z34)))&lt;=$AB34)+((((Lists!C$24-$AA34)-MOD((Lists!C$24-$AA34),$Z34))-$Z34)&gt;=0)*(EDATE($G34,(((Lists!C$24-$AA34)-MOD((Lists!C$24-$AA34),$Z34))-$Z34))&gt;Lists!C$23)*(EDATE($G34,(((Lists!C$24-$AA34)-MOD((Lists!C$24-$AA34),$Z34))-$Z34))&lt;=Lists!C$21)*(EDATE($G34,(((Lists!C$24-$AA34)-MOD((Lists!C$24-$AA34),$Z34))-$Z34))&lt;=$AB34)))))</f>
        <v>0</v>
      </c>
      <c r="K34" s="53" t="n">
        <f aca="false">IF(OR(N($E34)=0,$G34=""),0,$I34*IF($F34="Weekly",((Lists!D$21-MOD(Lists!D$21-$G34,7))&gt;=$G34)*((Lists!D$21-MOD(Lists!D$21-$G34,7))&lt;=$AB34),IF($F34="One-off",($G34&gt;Lists!D$23)*($G34&lt;=Lists!D$21),IF($F34="",0,(((Lists!D$24-$AA34)-MOD((Lists!D$24-$AA34),$Z34))&gt;=0)*(EDATE($G34,((Lists!D$24-$AA34)-MOD((Lists!D$24-$AA34),$Z34)))&gt;Lists!D$23)*(EDATE($G34,((Lists!D$24-$AA34)-MOD((Lists!D$24-$AA34),$Z34)))&lt;=Lists!D$21)*(EDATE($G34,((Lists!D$24-$AA34)-MOD((Lists!D$24-$AA34),$Z34)))&lt;=$AB34)+((((Lists!D$24-$AA34)-MOD((Lists!D$24-$AA34),$Z34))-$Z34)&gt;=0)*(EDATE($G34,(((Lists!D$24-$AA34)-MOD((Lists!D$24-$AA34),$Z34))-$Z34))&gt;Lists!D$23)*(EDATE($G34,(((Lists!D$24-$AA34)-MOD((Lists!D$24-$AA34),$Z34))-$Z34))&lt;=Lists!D$21)*(EDATE($G34,(((Lists!D$24-$AA34)-MOD((Lists!D$24-$AA34),$Z34))-$Z34))&lt;=$AB34)))))</f>
        <v>0</v>
      </c>
      <c r="L34" s="53" t="n">
        <f aca="false">IF(OR(N($E34)=0,$G34=""),0,$I34*IF($F34="Weekly",((Lists!E$21-MOD(Lists!E$21-$G34,7))&gt;=$G34)*((Lists!E$21-MOD(Lists!E$21-$G34,7))&lt;=$AB34),IF($F34="One-off",($G34&gt;Lists!E$23)*($G34&lt;=Lists!E$21),IF($F34="",0,(((Lists!E$24-$AA34)-MOD((Lists!E$24-$AA34),$Z34))&gt;=0)*(EDATE($G34,((Lists!E$24-$AA34)-MOD((Lists!E$24-$AA34),$Z34)))&gt;Lists!E$23)*(EDATE($G34,((Lists!E$24-$AA34)-MOD((Lists!E$24-$AA34),$Z34)))&lt;=Lists!E$21)*(EDATE($G34,((Lists!E$24-$AA34)-MOD((Lists!E$24-$AA34),$Z34)))&lt;=$AB34)+((((Lists!E$24-$AA34)-MOD((Lists!E$24-$AA34),$Z34))-$Z34)&gt;=0)*(EDATE($G34,(((Lists!E$24-$AA34)-MOD((Lists!E$24-$AA34),$Z34))-$Z34))&gt;Lists!E$23)*(EDATE($G34,(((Lists!E$24-$AA34)-MOD((Lists!E$24-$AA34),$Z34))-$Z34))&lt;=Lists!E$21)*(EDATE($G34,(((Lists!E$24-$AA34)-MOD((Lists!E$24-$AA34),$Z34))-$Z34))&lt;=$AB34)))))</f>
        <v>0</v>
      </c>
      <c r="M34" s="53" t="n">
        <f aca="false">IF(OR(N($E34)=0,$G34=""),0,$I34*IF($F34="Weekly",((Lists!F$21-MOD(Lists!F$21-$G34,7))&gt;=$G34)*((Lists!F$21-MOD(Lists!F$21-$G34,7))&lt;=$AB34),IF($F34="One-off",($G34&gt;Lists!F$23)*($G34&lt;=Lists!F$21),IF($F34="",0,(((Lists!F$24-$AA34)-MOD((Lists!F$24-$AA34),$Z34))&gt;=0)*(EDATE($G34,((Lists!F$24-$AA34)-MOD((Lists!F$24-$AA34),$Z34)))&gt;Lists!F$23)*(EDATE($G34,((Lists!F$24-$AA34)-MOD((Lists!F$24-$AA34),$Z34)))&lt;=Lists!F$21)*(EDATE($G34,((Lists!F$24-$AA34)-MOD((Lists!F$24-$AA34),$Z34)))&lt;=$AB34)+((((Lists!F$24-$AA34)-MOD((Lists!F$24-$AA34),$Z34))-$Z34)&gt;=0)*(EDATE($G34,(((Lists!F$24-$AA34)-MOD((Lists!F$24-$AA34),$Z34))-$Z34))&gt;Lists!F$23)*(EDATE($G34,(((Lists!F$24-$AA34)-MOD((Lists!F$24-$AA34),$Z34))-$Z34))&lt;=Lists!F$21)*(EDATE($G34,(((Lists!F$24-$AA34)-MOD((Lists!F$24-$AA34),$Z34))-$Z34))&lt;=$AB34)))))</f>
        <v>0</v>
      </c>
      <c r="N34" s="53" t="n">
        <f aca="false">IF(OR(N($E34)=0,$G34=""),0,$I34*IF($F34="Weekly",((Lists!G$21-MOD(Lists!G$21-$G34,7))&gt;=$G34)*((Lists!G$21-MOD(Lists!G$21-$G34,7))&lt;=$AB34),IF($F34="One-off",($G34&gt;Lists!G$23)*($G34&lt;=Lists!G$21),IF($F34="",0,(((Lists!G$24-$AA34)-MOD((Lists!G$24-$AA34),$Z34))&gt;=0)*(EDATE($G34,((Lists!G$24-$AA34)-MOD((Lists!G$24-$AA34),$Z34)))&gt;Lists!G$23)*(EDATE($G34,((Lists!G$24-$AA34)-MOD((Lists!G$24-$AA34),$Z34)))&lt;=Lists!G$21)*(EDATE($G34,((Lists!G$24-$AA34)-MOD((Lists!G$24-$AA34),$Z34)))&lt;=$AB34)+((((Lists!G$24-$AA34)-MOD((Lists!G$24-$AA34),$Z34))-$Z34)&gt;=0)*(EDATE($G34,(((Lists!G$24-$AA34)-MOD((Lists!G$24-$AA34),$Z34))-$Z34))&gt;Lists!G$23)*(EDATE($G34,(((Lists!G$24-$AA34)-MOD((Lists!G$24-$AA34),$Z34))-$Z34))&lt;=Lists!G$21)*(EDATE($G34,(((Lists!G$24-$AA34)-MOD((Lists!G$24-$AA34),$Z34))-$Z34))&lt;=$AB34)))))</f>
        <v>0</v>
      </c>
      <c r="O34" s="53" t="n">
        <f aca="false">IF(OR(N($E34)=0,$G34=""),0,$I34*IF($F34="Weekly",((Lists!H$21-MOD(Lists!H$21-$G34,7))&gt;=$G34)*((Lists!H$21-MOD(Lists!H$21-$G34,7))&lt;=$AB34),IF($F34="One-off",($G34&gt;Lists!H$23)*($G34&lt;=Lists!H$21),IF($F34="",0,(((Lists!H$24-$AA34)-MOD((Lists!H$24-$AA34),$Z34))&gt;=0)*(EDATE($G34,((Lists!H$24-$AA34)-MOD((Lists!H$24-$AA34),$Z34)))&gt;Lists!H$23)*(EDATE($G34,((Lists!H$24-$AA34)-MOD((Lists!H$24-$AA34),$Z34)))&lt;=Lists!H$21)*(EDATE($G34,((Lists!H$24-$AA34)-MOD((Lists!H$24-$AA34),$Z34)))&lt;=$AB34)+((((Lists!H$24-$AA34)-MOD((Lists!H$24-$AA34),$Z34))-$Z34)&gt;=0)*(EDATE($G34,(((Lists!H$24-$AA34)-MOD((Lists!H$24-$AA34),$Z34))-$Z34))&gt;Lists!H$23)*(EDATE($G34,(((Lists!H$24-$AA34)-MOD((Lists!H$24-$AA34),$Z34))-$Z34))&lt;=Lists!H$21)*(EDATE($G34,(((Lists!H$24-$AA34)-MOD((Lists!H$24-$AA34),$Z34))-$Z34))&lt;=$AB34)))))</f>
        <v>0</v>
      </c>
      <c r="P34" s="53" t="n">
        <f aca="false">IF(OR(N($E34)=0,$G34=""),0,$I34*IF($F34="Weekly",((Lists!I$21-MOD(Lists!I$21-$G34,7))&gt;=$G34)*((Lists!I$21-MOD(Lists!I$21-$G34,7))&lt;=$AB34),IF($F34="One-off",($G34&gt;Lists!I$23)*($G34&lt;=Lists!I$21),IF($F34="",0,(((Lists!I$24-$AA34)-MOD((Lists!I$24-$AA34),$Z34))&gt;=0)*(EDATE($G34,((Lists!I$24-$AA34)-MOD((Lists!I$24-$AA34),$Z34)))&gt;Lists!I$23)*(EDATE($G34,((Lists!I$24-$AA34)-MOD((Lists!I$24-$AA34),$Z34)))&lt;=Lists!I$21)*(EDATE($G34,((Lists!I$24-$AA34)-MOD((Lists!I$24-$AA34),$Z34)))&lt;=$AB34)+((((Lists!I$24-$AA34)-MOD((Lists!I$24-$AA34),$Z34))-$Z34)&gt;=0)*(EDATE($G34,(((Lists!I$24-$AA34)-MOD((Lists!I$24-$AA34),$Z34))-$Z34))&gt;Lists!I$23)*(EDATE($G34,(((Lists!I$24-$AA34)-MOD((Lists!I$24-$AA34),$Z34))-$Z34))&lt;=Lists!I$21)*(EDATE($G34,(((Lists!I$24-$AA34)-MOD((Lists!I$24-$AA34),$Z34))-$Z34))&lt;=$AB34)))))</f>
        <v>0</v>
      </c>
      <c r="Q34" s="53" t="n">
        <f aca="false">IF(OR(N($E34)=0,$G34=""),0,$I34*IF($F34="Weekly",((Lists!J$21-MOD(Lists!J$21-$G34,7))&gt;=$G34)*((Lists!J$21-MOD(Lists!J$21-$G34,7))&lt;=$AB34),IF($F34="One-off",($G34&gt;Lists!J$23)*($G34&lt;=Lists!J$21),IF($F34="",0,(((Lists!J$24-$AA34)-MOD((Lists!J$24-$AA34),$Z34))&gt;=0)*(EDATE($G34,((Lists!J$24-$AA34)-MOD((Lists!J$24-$AA34),$Z34)))&gt;Lists!J$23)*(EDATE($G34,((Lists!J$24-$AA34)-MOD((Lists!J$24-$AA34),$Z34)))&lt;=Lists!J$21)*(EDATE($G34,((Lists!J$24-$AA34)-MOD((Lists!J$24-$AA34),$Z34)))&lt;=$AB34)+((((Lists!J$24-$AA34)-MOD((Lists!J$24-$AA34),$Z34))-$Z34)&gt;=0)*(EDATE($G34,(((Lists!J$24-$AA34)-MOD((Lists!J$24-$AA34),$Z34))-$Z34))&gt;Lists!J$23)*(EDATE($G34,(((Lists!J$24-$AA34)-MOD((Lists!J$24-$AA34),$Z34))-$Z34))&lt;=Lists!J$21)*(EDATE($G34,(((Lists!J$24-$AA34)-MOD((Lists!J$24-$AA34),$Z34))-$Z34))&lt;=$AB34)))))</f>
        <v>0</v>
      </c>
      <c r="R34" s="53" t="n">
        <f aca="false">IF(OR(N($E34)=0,$G34=""),0,$I34*IF($F34="Weekly",((Lists!K$21-MOD(Lists!K$21-$G34,7))&gt;=$G34)*((Lists!K$21-MOD(Lists!K$21-$G34,7))&lt;=$AB34),IF($F34="One-off",($G34&gt;Lists!K$23)*($G34&lt;=Lists!K$21),IF($F34="",0,(((Lists!K$24-$AA34)-MOD((Lists!K$24-$AA34),$Z34))&gt;=0)*(EDATE($G34,((Lists!K$24-$AA34)-MOD((Lists!K$24-$AA34),$Z34)))&gt;Lists!K$23)*(EDATE($G34,((Lists!K$24-$AA34)-MOD((Lists!K$24-$AA34),$Z34)))&lt;=Lists!K$21)*(EDATE($G34,((Lists!K$24-$AA34)-MOD((Lists!K$24-$AA34),$Z34)))&lt;=$AB34)+((((Lists!K$24-$AA34)-MOD((Lists!K$24-$AA34),$Z34))-$Z34)&gt;=0)*(EDATE($G34,(((Lists!K$24-$AA34)-MOD((Lists!K$24-$AA34),$Z34))-$Z34))&gt;Lists!K$23)*(EDATE($G34,(((Lists!K$24-$AA34)-MOD((Lists!K$24-$AA34),$Z34))-$Z34))&lt;=Lists!K$21)*(EDATE($G34,(((Lists!K$24-$AA34)-MOD((Lists!K$24-$AA34),$Z34))-$Z34))&lt;=$AB34)))))</f>
        <v>0</v>
      </c>
      <c r="S34" s="53" t="n">
        <f aca="false">IF(OR(N($E34)=0,$G34=""),0,$I34*IF($F34="Weekly",((Lists!L$21-MOD(Lists!L$21-$G34,7))&gt;=$G34)*((Lists!L$21-MOD(Lists!L$21-$G34,7))&lt;=$AB34),IF($F34="One-off",($G34&gt;Lists!L$23)*($G34&lt;=Lists!L$21),IF($F34="",0,(((Lists!L$24-$AA34)-MOD((Lists!L$24-$AA34),$Z34))&gt;=0)*(EDATE($G34,((Lists!L$24-$AA34)-MOD((Lists!L$24-$AA34),$Z34)))&gt;Lists!L$23)*(EDATE($G34,((Lists!L$24-$AA34)-MOD((Lists!L$24-$AA34),$Z34)))&lt;=Lists!L$21)*(EDATE($G34,((Lists!L$24-$AA34)-MOD((Lists!L$24-$AA34),$Z34)))&lt;=$AB34)+((((Lists!L$24-$AA34)-MOD((Lists!L$24-$AA34),$Z34))-$Z34)&gt;=0)*(EDATE($G34,(((Lists!L$24-$AA34)-MOD((Lists!L$24-$AA34),$Z34))-$Z34))&gt;Lists!L$23)*(EDATE($G34,(((Lists!L$24-$AA34)-MOD((Lists!L$24-$AA34),$Z34))-$Z34))&lt;=Lists!L$21)*(EDATE($G34,(((Lists!L$24-$AA34)-MOD((Lists!L$24-$AA34),$Z34))-$Z34))&lt;=$AB34)))))</f>
        <v>0</v>
      </c>
      <c r="T34" s="53" t="n">
        <f aca="false">IF(OR(N($E34)=0,$G34=""),0,$I34*IF($F34="Weekly",((Lists!M$21-MOD(Lists!M$21-$G34,7))&gt;=$G34)*((Lists!M$21-MOD(Lists!M$21-$G34,7))&lt;=$AB34),IF($F34="One-off",($G34&gt;Lists!M$23)*($G34&lt;=Lists!M$21),IF($F34="",0,(((Lists!M$24-$AA34)-MOD((Lists!M$24-$AA34),$Z34))&gt;=0)*(EDATE($G34,((Lists!M$24-$AA34)-MOD((Lists!M$24-$AA34),$Z34)))&gt;Lists!M$23)*(EDATE($G34,((Lists!M$24-$AA34)-MOD((Lists!M$24-$AA34),$Z34)))&lt;=Lists!M$21)*(EDATE($G34,((Lists!M$24-$AA34)-MOD((Lists!M$24-$AA34),$Z34)))&lt;=$AB34)+((((Lists!M$24-$AA34)-MOD((Lists!M$24-$AA34),$Z34))-$Z34)&gt;=0)*(EDATE($G34,(((Lists!M$24-$AA34)-MOD((Lists!M$24-$AA34),$Z34))-$Z34))&gt;Lists!M$23)*(EDATE($G34,(((Lists!M$24-$AA34)-MOD((Lists!M$24-$AA34),$Z34))-$Z34))&lt;=Lists!M$21)*(EDATE($G34,(((Lists!M$24-$AA34)-MOD((Lists!M$24-$AA34),$Z34))-$Z34))&lt;=$AB34)))))</f>
        <v>0</v>
      </c>
      <c r="U34" s="53" t="n">
        <f aca="false">IF(OR(N($E34)=0,$G34=""),0,$I34*IF($F34="Weekly",((Lists!N$21-MOD(Lists!N$21-$G34,7))&gt;=$G34)*((Lists!N$21-MOD(Lists!N$21-$G34,7))&lt;=$AB34),IF($F34="One-off",($G34&gt;Lists!N$23)*($G34&lt;=Lists!N$21),IF($F34="",0,(((Lists!N$24-$AA34)-MOD((Lists!N$24-$AA34),$Z34))&gt;=0)*(EDATE($G34,((Lists!N$24-$AA34)-MOD((Lists!N$24-$AA34),$Z34)))&gt;Lists!N$23)*(EDATE($G34,((Lists!N$24-$AA34)-MOD((Lists!N$24-$AA34),$Z34)))&lt;=Lists!N$21)*(EDATE($G34,((Lists!N$24-$AA34)-MOD((Lists!N$24-$AA34),$Z34)))&lt;=$AB34)+((((Lists!N$24-$AA34)-MOD((Lists!N$24-$AA34),$Z34))-$Z34)&gt;=0)*(EDATE($G34,(((Lists!N$24-$AA34)-MOD((Lists!N$24-$AA34),$Z34))-$Z34))&gt;Lists!N$23)*(EDATE($G34,(((Lists!N$24-$AA34)-MOD((Lists!N$24-$AA34),$Z34))-$Z34))&lt;=Lists!N$21)*(EDATE($G34,(((Lists!N$24-$AA34)-MOD((Lists!N$24-$AA34),$Z34))-$Z34))&lt;=$AB34)))))</f>
        <v>0</v>
      </c>
      <c r="V34" s="53" t="n">
        <f aca="false">IF(OR(N($E34)=0,$G34=""),0,$I34*IF($F34="Weekly",((Lists!O$21-MOD(Lists!O$21-$G34,7))&gt;=$G34)*((Lists!O$21-MOD(Lists!O$21-$G34,7))&lt;=$AB34),IF($F34="One-off",($G34&gt;Lists!O$23)*($G34&lt;=Lists!O$21),IF($F34="",0,(((Lists!O$24-$AA34)-MOD((Lists!O$24-$AA34),$Z34))&gt;=0)*(EDATE($G34,((Lists!O$24-$AA34)-MOD((Lists!O$24-$AA34),$Z34)))&gt;Lists!O$23)*(EDATE($G34,((Lists!O$24-$AA34)-MOD((Lists!O$24-$AA34),$Z34)))&lt;=Lists!O$21)*(EDATE($G34,((Lists!O$24-$AA34)-MOD((Lists!O$24-$AA34),$Z34)))&lt;=$AB34)+((((Lists!O$24-$AA34)-MOD((Lists!O$24-$AA34),$Z34))-$Z34)&gt;=0)*(EDATE($G34,(((Lists!O$24-$AA34)-MOD((Lists!O$24-$AA34),$Z34))-$Z34))&gt;Lists!O$23)*(EDATE($G34,(((Lists!O$24-$AA34)-MOD((Lists!O$24-$AA34),$Z34))-$Z34))&lt;=Lists!O$21)*(EDATE($G34,(((Lists!O$24-$AA34)-MOD((Lists!O$24-$AA34),$Z34))-$Z34))&lt;=$AB34)))))</f>
        <v>0</v>
      </c>
      <c r="W34" s="46" t="n">
        <f aca="false">SUM(J34:V34)</f>
        <v>0</v>
      </c>
      <c r="X34" s="2"/>
      <c r="Y34" s="104" t="n">
        <f aca="false">IF(AND(Setup!$D$16="Yes",D34&lt;&gt;"No"),1+Setup!$D$17,1)</f>
        <v>1.2</v>
      </c>
      <c r="Z34" s="94" t="n">
        <f aca="false">IF(F34="Quarterly",3,IF(F34="Annually",12,1))</f>
        <v>1</v>
      </c>
      <c r="AA34" s="94" t="n">
        <f aca="false">IF(G34="",0,YEAR(G34)*12+MONTH(G34))</f>
        <v>0</v>
      </c>
      <c r="AB34" s="93" t="n">
        <f aca="false">IF(H34="",2958465,H34)</f>
        <v>2958465</v>
      </c>
      <c r="AC34" s="95" t="str">
        <f aca="false">IF(C34="","Other overheads",C34)</f>
        <v>Other overheads</v>
      </c>
    </row>
    <row r="35" customFormat="false" ht="15" hidden="false" customHeight="false" outlineLevel="0" collapsed="false">
      <c r="A35" s="87" t="n">
        <v>27</v>
      </c>
      <c r="B35" s="55"/>
      <c r="C35" s="55"/>
      <c r="D35" s="58"/>
      <c r="E35" s="88"/>
      <c r="F35" s="58"/>
      <c r="G35" s="90"/>
      <c r="H35" s="90"/>
      <c r="I35" s="92" t="n">
        <f aca="false">N(E35)*Y35</f>
        <v>0</v>
      </c>
      <c r="J35" s="53" t="n">
        <f aca="false">IF(OR(N($E35)=0,$G35=""),0,$I35*IF($F35="Weekly",((Lists!C$21-MOD(Lists!C$21-$G35,7))&gt;=$G35)*((Lists!C$21-MOD(Lists!C$21-$G35,7))&lt;=$AB35),IF($F35="One-off",($G35&gt;Lists!C$23)*($G35&lt;=Lists!C$21),IF($F35="",0,(((Lists!C$24-$AA35)-MOD((Lists!C$24-$AA35),$Z35))&gt;=0)*(EDATE($G35,((Lists!C$24-$AA35)-MOD((Lists!C$24-$AA35),$Z35)))&gt;Lists!C$23)*(EDATE($G35,((Lists!C$24-$AA35)-MOD((Lists!C$24-$AA35),$Z35)))&lt;=Lists!C$21)*(EDATE($G35,((Lists!C$24-$AA35)-MOD((Lists!C$24-$AA35),$Z35)))&lt;=$AB35)+((((Lists!C$24-$AA35)-MOD((Lists!C$24-$AA35),$Z35))-$Z35)&gt;=0)*(EDATE($G35,(((Lists!C$24-$AA35)-MOD((Lists!C$24-$AA35),$Z35))-$Z35))&gt;Lists!C$23)*(EDATE($G35,(((Lists!C$24-$AA35)-MOD((Lists!C$24-$AA35),$Z35))-$Z35))&lt;=Lists!C$21)*(EDATE($G35,(((Lists!C$24-$AA35)-MOD((Lists!C$24-$AA35),$Z35))-$Z35))&lt;=$AB35)))))</f>
        <v>0</v>
      </c>
      <c r="K35" s="53" t="n">
        <f aca="false">IF(OR(N($E35)=0,$G35=""),0,$I35*IF($F35="Weekly",((Lists!D$21-MOD(Lists!D$21-$G35,7))&gt;=$G35)*((Lists!D$21-MOD(Lists!D$21-$G35,7))&lt;=$AB35),IF($F35="One-off",($G35&gt;Lists!D$23)*($G35&lt;=Lists!D$21),IF($F35="",0,(((Lists!D$24-$AA35)-MOD((Lists!D$24-$AA35),$Z35))&gt;=0)*(EDATE($G35,((Lists!D$24-$AA35)-MOD((Lists!D$24-$AA35),$Z35)))&gt;Lists!D$23)*(EDATE($G35,((Lists!D$24-$AA35)-MOD((Lists!D$24-$AA35),$Z35)))&lt;=Lists!D$21)*(EDATE($G35,((Lists!D$24-$AA35)-MOD((Lists!D$24-$AA35),$Z35)))&lt;=$AB35)+((((Lists!D$24-$AA35)-MOD((Lists!D$24-$AA35),$Z35))-$Z35)&gt;=0)*(EDATE($G35,(((Lists!D$24-$AA35)-MOD((Lists!D$24-$AA35),$Z35))-$Z35))&gt;Lists!D$23)*(EDATE($G35,(((Lists!D$24-$AA35)-MOD((Lists!D$24-$AA35),$Z35))-$Z35))&lt;=Lists!D$21)*(EDATE($G35,(((Lists!D$24-$AA35)-MOD((Lists!D$24-$AA35),$Z35))-$Z35))&lt;=$AB35)))))</f>
        <v>0</v>
      </c>
      <c r="L35" s="53" t="n">
        <f aca="false">IF(OR(N($E35)=0,$G35=""),0,$I35*IF($F35="Weekly",((Lists!E$21-MOD(Lists!E$21-$G35,7))&gt;=$G35)*((Lists!E$21-MOD(Lists!E$21-$G35,7))&lt;=$AB35),IF($F35="One-off",($G35&gt;Lists!E$23)*($G35&lt;=Lists!E$21),IF($F35="",0,(((Lists!E$24-$AA35)-MOD((Lists!E$24-$AA35),$Z35))&gt;=0)*(EDATE($G35,((Lists!E$24-$AA35)-MOD((Lists!E$24-$AA35),$Z35)))&gt;Lists!E$23)*(EDATE($G35,((Lists!E$24-$AA35)-MOD((Lists!E$24-$AA35),$Z35)))&lt;=Lists!E$21)*(EDATE($G35,((Lists!E$24-$AA35)-MOD((Lists!E$24-$AA35),$Z35)))&lt;=$AB35)+((((Lists!E$24-$AA35)-MOD((Lists!E$24-$AA35),$Z35))-$Z35)&gt;=0)*(EDATE($G35,(((Lists!E$24-$AA35)-MOD((Lists!E$24-$AA35),$Z35))-$Z35))&gt;Lists!E$23)*(EDATE($G35,(((Lists!E$24-$AA35)-MOD((Lists!E$24-$AA35),$Z35))-$Z35))&lt;=Lists!E$21)*(EDATE($G35,(((Lists!E$24-$AA35)-MOD((Lists!E$24-$AA35),$Z35))-$Z35))&lt;=$AB35)))))</f>
        <v>0</v>
      </c>
      <c r="M35" s="53" t="n">
        <f aca="false">IF(OR(N($E35)=0,$G35=""),0,$I35*IF($F35="Weekly",((Lists!F$21-MOD(Lists!F$21-$G35,7))&gt;=$G35)*((Lists!F$21-MOD(Lists!F$21-$G35,7))&lt;=$AB35),IF($F35="One-off",($G35&gt;Lists!F$23)*($G35&lt;=Lists!F$21),IF($F35="",0,(((Lists!F$24-$AA35)-MOD((Lists!F$24-$AA35),$Z35))&gt;=0)*(EDATE($G35,((Lists!F$24-$AA35)-MOD((Lists!F$24-$AA35),$Z35)))&gt;Lists!F$23)*(EDATE($G35,((Lists!F$24-$AA35)-MOD((Lists!F$24-$AA35),$Z35)))&lt;=Lists!F$21)*(EDATE($G35,((Lists!F$24-$AA35)-MOD((Lists!F$24-$AA35),$Z35)))&lt;=$AB35)+((((Lists!F$24-$AA35)-MOD((Lists!F$24-$AA35),$Z35))-$Z35)&gt;=0)*(EDATE($G35,(((Lists!F$24-$AA35)-MOD((Lists!F$24-$AA35),$Z35))-$Z35))&gt;Lists!F$23)*(EDATE($G35,(((Lists!F$24-$AA35)-MOD((Lists!F$24-$AA35),$Z35))-$Z35))&lt;=Lists!F$21)*(EDATE($G35,(((Lists!F$24-$AA35)-MOD((Lists!F$24-$AA35),$Z35))-$Z35))&lt;=$AB35)))))</f>
        <v>0</v>
      </c>
      <c r="N35" s="53" t="n">
        <f aca="false">IF(OR(N($E35)=0,$G35=""),0,$I35*IF($F35="Weekly",((Lists!G$21-MOD(Lists!G$21-$G35,7))&gt;=$G35)*((Lists!G$21-MOD(Lists!G$21-$G35,7))&lt;=$AB35),IF($F35="One-off",($G35&gt;Lists!G$23)*($G35&lt;=Lists!G$21),IF($F35="",0,(((Lists!G$24-$AA35)-MOD((Lists!G$24-$AA35),$Z35))&gt;=0)*(EDATE($G35,((Lists!G$24-$AA35)-MOD((Lists!G$24-$AA35),$Z35)))&gt;Lists!G$23)*(EDATE($G35,((Lists!G$24-$AA35)-MOD((Lists!G$24-$AA35),$Z35)))&lt;=Lists!G$21)*(EDATE($G35,((Lists!G$24-$AA35)-MOD((Lists!G$24-$AA35),$Z35)))&lt;=$AB35)+((((Lists!G$24-$AA35)-MOD((Lists!G$24-$AA35),$Z35))-$Z35)&gt;=0)*(EDATE($G35,(((Lists!G$24-$AA35)-MOD((Lists!G$24-$AA35),$Z35))-$Z35))&gt;Lists!G$23)*(EDATE($G35,(((Lists!G$24-$AA35)-MOD((Lists!G$24-$AA35),$Z35))-$Z35))&lt;=Lists!G$21)*(EDATE($G35,(((Lists!G$24-$AA35)-MOD((Lists!G$24-$AA35),$Z35))-$Z35))&lt;=$AB35)))))</f>
        <v>0</v>
      </c>
      <c r="O35" s="53" t="n">
        <f aca="false">IF(OR(N($E35)=0,$G35=""),0,$I35*IF($F35="Weekly",((Lists!H$21-MOD(Lists!H$21-$G35,7))&gt;=$G35)*((Lists!H$21-MOD(Lists!H$21-$G35,7))&lt;=$AB35),IF($F35="One-off",($G35&gt;Lists!H$23)*($G35&lt;=Lists!H$21),IF($F35="",0,(((Lists!H$24-$AA35)-MOD((Lists!H$24-$AA35),$Z35))&gt;=0)*(EDATE($G35,((Lists!H$24-$AA35)-MOD((Lists!H$24-$AA35),$Z35)))&gt;Lists!H$23)*(EDATE($G35,((Lists!H$24-$AA35)-MOD((Lists!H$24-$AA35),$Z35)))&lt;=Lists!H$21)*(EDATE($G35,((Lists!H$24-$AA35)-MOD((Lists!H$24-$AA35),$Z35)))&lt;=$AB35)+((((Lists!H$24-$AA35)-MOD((Lists!H$24-$AA35),$Z35))-$Z35)&gt;=0)*(EDATE($G35,(((Lists!H$24-$AA35)-MOD((Lists!H$24-$AA35),$Z35))-$Z35))&gt;Lists!H$23)*(EDATE($G35,(((Lists!H$24-$AA35)-MOD((Lists!H$24-$AA35),$Z35))-$Z35))&lt;=Lists!H$21)*(EDATE($G35,(((Lists!H$24-$AA35)-MOD((Lists!H$24-$AA35),$Z35))-$Z35))&lt;=$AB35)))))</f>
        <v>0</v>
      </c>
      <c r="P35" s="53" t="n">
        <f aca="false">IF(OR(N($E35)=0,$G35=""),0,$I35*IF($F35="Weekly",((Lists!I$21-MOD(Lists!I$21-$G35,7))&gt;=$G35)*((Lists!I$21-MOD(Lists!I$21-$G35,7))&lt;=$AB35),IF($F35="One-off",($G35&gt;Lists!I$23)*($G35&lt;=Lists!I$21),IF($F35="",0,(((Lists!I$24-$AA35)-MOD((Lists!I$24-$AA35),$Z35))&gt;=0)*(EDATE($G35,((Lists!I$24-$AA35)-MOD((Lists!I$24-$AA35),$Z35)))&gt;Lists!I$23)*(EDATE($G35,((Lists!I$24-$AA35)-MOD((Lists!I$24-$AA35),$Z35)))&lt;=Lists!I$21)*(EDATE($G35,((Lists!I$24-$AA35)-MOD((Lists!I$24-$AA35),$Z35)))&lt;=$AB35)+((((Lists!I$24-$AA35)-MOD((Lists!I$24-$AA35),$Z35))-$Z35)&gt;=0)*(EDATE($G35,(((Lists!I$24-$AA35)-MOD((Lists!I$24-$AA35),$Z35))-$Z35))&gt;Lists!I$23)*(EDATE($G35,(((Lists!I$24-$AA35)-MOD((Lists!I$24-$AA35),$Z35))-$Z35))&lt;=Lists!I$21)*(EDATE($G35,(((Lists!I$24-$AA35)-MOD((Lists!I$24-$AA35),$Z35))-$Z35))&lt;=$AB35)))))</f>
        <v>0</v>
      </c>
      <c r="Q35" s="53" t="n">
        <f aca="false">IF(OR(N($E35)=0,$G35=""),0,$I35*IF($F35="Weekly",((Lists!J$21-MOD(Lists!J$21-$G35,7))&gt;=$G35)*((Lists!J$21-MOD(Lists!J$21-$G35,7))&lt;=$AB35),IF($F35="One-off",($G35&gt;Lists!J$23)*($G35&lt;=Lists!J$21),IF($F35="",0,(((Lists!J$24-$AA35)-MOD((Lists!J$24-$AA35),$Z35))&gt;=0)*(EDATE($G35,((Lists!J$24-$AA35)-MOD((Lists!J$24-$AA35),$Z35)))&gt;Lists!J$23)*(EDATE($G35,((Lists!J$24-$AA35)-MOD((Lists!J$24-$AA35),$Z35)))&lt;=Lists!J$21)*(EDATE($G35,((Lists!J$24-$AA35)-MOD((Lists!J$24-$AA35),$Z35)))&lt;=$AB35)+((((Lists!J$24-$AA35)-MOD((Lists!J$24-$AA35),$Z35))-$Z35)&gt;=0)*(EDATE($G35,(((Lists!J$24-$AA35)-MOD((Lists!J$24-$AA35),$Z35))-$Z35))&gt;Lists!J$23)*(EDATE($G35,(((Lists!J$24-$AA35)-MOD((Lists!J$24-$AA35),$Z35))-$Z35))&lt;=Lists!J$21)*(EDATE($G35,(((Lists!J$24-$AA35)-MOD((Lists!J$24-$AA35),$Z35))-$Z35))&lt;=$AB35)))))</f>
        <v>0</v>
      </c>
      <c r="R35" s="53" t="n">
        <f aca="false">IF(OR(N($E35)=0,$G35=""),0,$I35*IF($F35="Weekly",((Lists!K$21-MOD(Lists!K$21-$G35,7))&gt;=$G35)*((Lists!K$21-MOD(Lists!K$21-$G35,7))&lt;=$AB35),IF($F35="One-off",($G35&gt;Lists!K$23)*($G35&lt;=Lists!K$21),IF($F35="",0,(((Lists!K$24-$AA35)-MOD((Lists!K$24-$AA35),$Z35))&gt;=0)*(EDATE($G35,((Lists!K$24-$AA35)-MOD((Lists!K$24-$AA35),$Z35)))&gt;Lists!K$23)*(EDATE($G35,((Lists!K$24-$AA35)-MOD((Lists!K$24-$AA35),$Z35)))&lt;=Lists!K$21)*(EDATE($G35,((Lists!K$24-$AA35)-MOD((Lists!K$24-$AA35),$Z35)))&lt;=$AB35)+((((Lists!K$24-$AA35)-MOD((Lists!K$24-$AA35),$Z35))-$Z35)&gt;=0)*(EDATE($G35,(((Lists!K$24-$AA35)-MOD((Lists!K$24-$AA35),$Z35))-$Z35))&gt;Lists!K$23)*(EDATE($G35,(((Lists!K$24-$AA35)-MOD((Lists!K$24-$AA35),$Z35))-$Z35))&lt;=Lists!K$21)*(EDATE($G35,(((Lists!K$24-$AA35)-MOD((Lists!K$24-$AA35),$Z35))-$Z35))&lt;=$AB35)))))</f>
        <v>0</v>
      </c>
      <c r="S35" s="53" t="n">
        <f aca="false">IF(OR(N($E35)=0,$G35=""),0,$I35*IF($F35="Weekly",((Lists!L$21-MOD(Lists!L$21-$G35,7))&gt;=$G35)*((Lists!L$21-MOD(Lists!L$21-$G35,7))&lt;=$AB35),IF($F35="One-off",($G35&gt;Lists!L$23)*($G35&lt;=Lists!L$21),IF($F35="",0,(((Lists!L$24-$AA35)-MOD((Lists!L$24-$AA35),$Z35))&gt;=0)*(EDATE($G35,((Lists!L$24-$AA35)-MOD((Lists!L$24-$AA35),$Z35)))&gt;Lists!L$23)*(EDATE($G35,((Lists!L$24-$AA35)-MOD((Lists!L$24-$AA35),$Z35)))&lt;=Lists!L$21)*(EDATE($G35,((Lists!L$24-$AA35)-MOD((Lists!L$24-$AA35),$Z35)))&lt;=$AB35)+((((Lists!L$24-$AA35)-MOD((Lists!L$24-$AA35),$Z35))-$Z35)&gt;=0)*(EDATE($G35,(((Lists!L$24-$AA35)-MOD((Lists!L$24-$AA35),$Z35))-$Z35))&gt;Lists!L$23)*(EDATE($G35,(((Lists!L$24-$AA35)-MOD((Lists!L$24-$AA35),$Z35))-$Z35))&lt;=Lists!L$21)*(EDATE($G35,(((Lists!L$24-$AA35)-MOD((Lists!L$24-$AA35),$Z35))-$Z35))&lt;=$AB35)))))</f>
        <v>0</v>
      </c>
      <c r="T35" s="53" t="n">
        <f aca="false">IF(OR(N($E35)=0,$G35=""),0,$I35*IF($F35="Weekly",((Lists!M$21-MOD(Lists!M$21-$G35,7))&gt;=$G35)*((Lists!M$21-MOD(Lists!M$21-$G35,7))&lt;=$AB35),IF($F35="One-off",($G35&gt;Lists!M$23)*($G35&lt;=Lists!M$21),IF($F35="",0,(((Lists!M$24-$AA35)-MOD((Lists!M$24-$AA35),$Z35))&gt;=0)*(EDATE($G35,((Lists!M$24-$AA35)-MOD((Lists!M$24-$AA35),$Z35)))&gt;Lists!M$23)*(EDATE($G35,((Lists!M$24-$AA35)-MOD((Lists!M$24-$AA35),$Z35)))&lt;=Lists!M$21)*(EDATE($G35,((Lists!M$24-$AA35)-MOD((Lists!M$24-$AA35),$Z35)))&lt;=$AB35)+((((Lists!M$24-$AA35)-MOD((Lists!M$24-$AA35),$Z35))-$Z35)&gt;=0)*(EDATE($G35,(((Lists!M$24-$AA35)-MOD((Lists!M$24-$AA35),$Z35))-$Z35))&gt;Lists!M$23)*(EDATE($G35,(((Lists!M$24-$AA35)-MOD((Lists!M$24-$AA35),$Z35))-$Z35))&lt;=Lists!M$21)*(EDATE($G35,(((Lists!M$24-$AA35)-MOD((Lists!M$24-$AA35),$Z35))-$Z35))&lt;=$AB35)))))</f>
        <v>0</v>
      </c>
      <c r="U35" s="53" t="n">
        <f aca="false">IF(OR(N($E35)=0,$G35=""),0,$I35*IF($F35="Weekly",((Lists!N$21-MOD(Lists!N$21-$G35,7))&gt;=$G35)*((Lists!N$21-MOD(Lists!N$21-$G35,7))&lt;=$AB35),IF($F35="One-off",($G35&gt;Lists!N$23)*($G35&lt;=Lists!N$21),IF($F35="",0,(((Lists!N$24-$AA35)-MOD((Lists!N$24-$AA35),$Z35))&gt;=0)*(EDATE($G35,((Lists!N$24-$AA35)-MOD((Lists!N$24-$AA35),$Z35)))&gt;Lists!N$23)*(EDATE($G35,((Lists!N$24-$AA35)-MOD((Lists!N$24-$AA35),$Z35)))&lt;=Lists!N$21)*(EDATE($G35,((Lists!N$24-$AA35)-MOD((Lists!N$24-$AA35),$Z35)))&lt;=$AB35)+((((Lists!N$24-$AA35)-MOD((Lists!N$24-$AA35),$Z35))-$Z35)&gt;=0)*(EDATE($G35,(((Lists!N$24-$AA35)-MOD((Lists!N$24-$AA35),$Z35))-$Z35))&gt;Lists!N$23)*(EDATE($G35,(((Lists!N$24-$AA35)-MOD((Lists!N$24-$AA35),$Z35))-$Z35))&lt;=Lists!N$21)*(EDATE($G35,(((Lists!N$24-$AA35)-MOD((Lists!N$24-$AA35),$Z35))-$Z35))&lt;=$AB35)))))</f>
        <v>0</v>
      </c>
      <c r="V35" s="53" t="n">
        <f aca="false">IF(OR(N($E35)=0,$G35=""),0,$I35*IF($F35="Weekly",((Lists!O$21-MOD(Lists!O$21-$G35,7))&gt;=$G35)*((Lists!O$21-MOD(Lists!O$21-$G35,7))&lt;=$AB35),IF($F35="One-off",($G35&gt;Lists!O$23)*($G35&lt;=Lists!O$21),IF($F35="",0,(((Lists!O$24-$AA35)-MOD((Lists!O$24-$AA35),$Z35))&gt;=0)*(EDATE($G35,((Lists!O$24-$AA35)-MOD((Lists!O$24-$AA35),$Z35)))&gt;Lists!O$23)*(EDATE($G35,((Lists!O$24-$AA35)-MOD((Lists!O$24-$AA35),$Z35)))&lt;=Lists!O$21)*(EDATE($G35,((Lists!O$24-$AA35)-MOD((Lists!O$24-$AA35),$Z35)))&lt;=$AB35)+((((Lists!O$24-$AA35)-MOD((Lists!O$24-$AA35),$Z35))-$Z35)&gt;=0)*(EDATE($G35,(((Lists!O$24-$AA35)-MOD((Lists!O$24-$AA35),$Z35))-$Z35))&gt;Lists!O$23)*(EDATE($G35,(((Lists!O$24-$AA35)-MOD((Lists!O$24-$AA35),$Z35))-$Z35))&lt;=Lists!O$21)*(EDATE($G35,(((Lists!O$24-$AA35)-MOD((Lists!O$24-$AA35),$Z35))-$Z35))&lt;=$AB35)))))</f>
        <v>0</v>
      </c>
      <c r="W35" s="46" t="n">
        <f aca="false">SUM(J35:V35)</f>
        <v>0</v>
      </c>
      <c r="X35" s="2"/>
      <c r="Y35" s="104" t="n">
        <f aca="false">IF(AND(Setup!$D$16="Yes",D35&lt;&gt;"No"),1+Setup!$D$17,1)</f>
        <v>1.2</v>
      </c>
      <c r="Z35" s="94" t="n">
        <f aca="false">IF(F35="Quarterly",3,IF(F35="Annually",12,1))</f>
        <v>1</v>
      </c>
      <c r="AA35" s="94" t="n">
        <f aca="false">IF(G35="",0,YEAR(G35)*12+MONTH(G35))</f>
        <v>0</v>
      </c>
      <c r="AB35" s="93" t="n">
        <f aca="false">IF(H35="",2958465,H35)</f>
        <v>2958465</v>
      </c>
      <c r="AC35" s="95" t="str">
        <f aca="false">IF(C35="","Other overheads",C35)</f>
        <v>Other overheads</v>
      </c>
    </row>
    <row r="36" customFormat="false" ht="15" hidden="false" customHeight="false" outlineLevel="0" collapsed="false">
      <c r="A36" s="87" t="n">
        <v>28</v>
      </c>
      <c r="B36" s="55"/>
      <c r="C36" s="55"/>
      <c r="D36" s="58"/>
      <c r="E36" s="88"/>
      <c r="F36" s="58"/>
      <c r="G36" s="90"/>
      <c r="H36" s="90"/>
      <c r="I36" s="92" t="n">
        <f aca="false">N(E36)*Y36</f>
        <v>0</v>
      </c>
      <c r="J36" s="53" t="n">
        <f aca="false">IF(OR(N($E36)=0,$G36=""),0,$I36*IF($F36="Weekly",((Lists!C$21-MOD(Lists!C$21-$G36,7))&gt;=$G36)*((Lists!C$21-MOD(Lists!C$21-$G36,7))&lt;=$AB36),IF($F36="One-off",($G36&gt;Lists!C$23)*($G36&lt;=Lists!C$21),IF($F36="",0,(((Lists!C$24-$AA36)-MOD((Lists!C$24-$AA36),$Z36))&gt;=0)*(EDATE($G36,((Lists!C$24-$AA36)-MOD((Lists!C$24-$AA36),$Z36)))&gt;Lists!C$23)*(EDATE($G36,((Lists!C$24-$AA36)-MOD((Lists!C$24-$AA36),$Z36)))&lt;=Lists!C$21)*(EDATE($G36,((Lists!C$24-$AA36)-MOD((Lists!C$24-$AA36),$Z36)))&lt;=$AB36)+((((Lists!C$24-$AA36)-MOD((Lists!C$24-$AA36),$Z36))-$Z36)&gt;=0)*(EDATE($G36,(((Lists!C$24-$AA36)-MOD((Lists!C$24-$AA36),$Z36))-$Z36))&gt;Lists!C$23)*(EDATE($G36,(((Lists!C$24-$AA36)-MOD((Lists!C$24-$AA36),$Z36))-$Z36))&lt;=Lists!C$21)*(EDATE($G36,(((Lists!C$24-$AA36)-MOD((Lists!C$24-$AA36),$Z36))-$Z36))&lt;=$AB36)))))</f>
        <v>0</v>
      </c>
      <c r="K36" s="53" t="n">
        <f aca="false">IF(OR(N($E36)=0,$G36=""),0,$I36*IF($F36="Weekly",((Lists!D$21-MOD(Lists!D$21-$G36,7))&gt;=$G36)*((Lists!D$21-MOD(Lists!D$21-$G36,7))&lt;=$AB36),IF($F36="One-off",($G36&gt;Lists!D$23)*($G36&lt;=Lists!D$21),IF($F36="",0,(((Lists!D$24-$AA36)-MOD((Lists!D$24-$AA36),$Z36))&gt;=0)*(EDATE($G36,((Lists!D$24-$AA36)-MOD((Lists!D$24-$AA36),$Z36)))&gt;Lists!D$23)*(EDATE($G36,((Lists!D$24-$AA36)-MOD((Lists!D$24-$AA36),$Z36)))&lt;=Lists!D$21)*(EDATE($G36,((Lists!D$24-$AA36)-MOD((Lists!D$24-$AA36),$Z36)))&lt;=$AB36)+((((Lists!D$24-$AA36)-MOD((Lists!D$24-$AA36),$Z36))-$Z36)&gt;=0)*(EDATE($G36,(((Lists!D$24-$AA36)-MOD((Lists!D$24-$AA36),$Z36))-$Z36))&gt;Lists!D$23)*(EDATE($G36,(((Lists!D$24-$AA36)-MOD((Lists!D$24-$AA36),$Z36))-$Z36))&lt;=Lists!D$21)*(EDATE($G36,(((Lists!D$24-$AA36)-MOD((Lists!D$24-$AA36),$Z36))-$Z36))&lt;=$AB36)))))</f>
        <v>0</v>
      </c>
      <c r="L36" s="53" t="n">
        <f aca="false">IF(OR(N($E36)=0,$G36=""),0,$I36*IF($F36="Weekly",((Lists!E$21-MOD(Lists!E$21-$G36,7))&gt;=$G36)*((Lists!E$21-MOD(Lists!E$21-$G36,7))&lt;=$AB36),IF($F36="One-off",($G36&gt;Lists!E$23)*($G36&lt;=Lists!E$21),IF($F36="",0,(((Lists!E$24-$AA36)-MOD((Lists!E$24-$AA36),$Z36))&gt;=0)*(EDATE($G36,((Lists!E$24-$AA36)-MOD((Lists!E$24-$AA36),$Z36)))&gt;Lists!E$23)*(EDATE($G36,((Lists!E$24-$AA36)-MOD((Lists!E$24-$AA36),$Z36)))&lt;=Lists!E$21)*(EDATE($G36,((Lists!E$24-$AA36)-MOD((Lists!E$24-$AA36),$Z36)))&lt;=$AB36)+((((Lists!E$24-$AA36)-MOD((Lists!E$24-$AA36),$Z36))-$Z36)&gt;=0)*(EDATE($G36,(((Lists!E$24-$AA36)-MOD((Lists!E$24-$AA36),$Z36))-$Z36))&gt;Lists!E$23)*(EDATE($G36,(((Lists!E$24-$AA36)-MOD((Lists!E$24-$AA36),$Z36))-$Z36))&lt;=Lists!E$21)*(EDATE($G36,(((Lists!E$24-$AA36)-MOD((Lists!E$24-$AA36),$Z36))-$Z36))&lt;=$AB36)))))</f>
        <v>0</v>
      </c>
      <c r="M36" s="53" t="n">
        <f aca="false">IF(OR(N($E36)=0,$G36=""),0,$I36*IF($F36="Weekly",((Lists!F$21-MOD(Lists!F$21-$G36,7))&gt;=$G36)*((Lists!F$21-MOD(Lists!F$21-$G36,7))&lt;=$AB36),IF($F36="One-off",($G36&gt;Lists!F$23)*($G36&lt;=Lists!F$21),IF($F36="",0,(((Lists!F$24-$AA36)-MOD((Lists!F$24-$AA36),$Z36))&gt;=0)*(EDATE($G36,((Lists!F$24-$AA36)-MOD((Lists!F$24-$AA36),$Z36)))&gt;Lists!F$23)*(EDATE($G36,((Lists!F$24-$AA36)-MOD((Lists!F$24-$AA36),$Z36)))&lt;=Lists!F$21)*(EDATE($G36,((Lists!F$24-$AA36)-MOD((Lists!F$24-$AA36),$Z36)))&lt;=$AB36)+((((Lists!F$24-$AA36)-MOD((Lists!F$24-$AA36),$Z36))-$Z36)&gt;=0)*(EDATE($G36,(((Lists!F$24-$AA36)-MOD((Lists!F$24-$AA36),$Z36))-$Z36))&gt;Lists!F$23)*(EDATE($G36,(((Lists!F$24-$AA36)-MOD((Lists!F$24-$AA36),$Z36))-$Z36))&lt;=Lists!F$21)*(EDATE($G36,(((Lists!F$24-$AA36)-MOD((Lists!F$24-$AA36),$Z36))-$Z36))&lt;=$AB36)))))</f>
        <v>0</v>
      </c>
      <c r="N36" s="53" t="n">
        <f aca="false">IF(OR(N($E36)=0,$G36=""),0,$I36*IF($F36="Weekly",((Lists!G$21-MOD(Lists!G$21-$G36,7))&gt;=$G36)*((Lists!G$21-MOD(Lists!G$21-$G36,7))&lt;=$AB36),IF($F36="One-off",($G36&gt;Lists!G$23)*($G36&lt;=Lists!G$21),IF($F36="",0,(((Lists!G$24-$AA36)-MOD((Lists!G$24-$AA36),$Z36))&gt;=0)*(EDATE($G36,((Lists!G$24-$AA36)-MOD((Lists!G$24-$AA36),$Z36)))&gt;Lists!G$23)*(EDATE($G36,((Lists!G$24-$AA36)-MOD((Lists!G$24-$AA36),$Z36)))&lt;=Lists!G$21)*(EDATE($G36,((Lists!G$24-$AA36)-MOD((Lists!G$24-$AA36),$Z36)))&lt;=$AB36)+((((Lists!G$24-$AA36)-MOD((Lists!G$24-$AA36),$Z36))-$Z36)&gt;=0)*(EDATE($G36,(((Lists!G$24-$AA36)-MOD((Lists!G$24-$AA36),$Z36))-$Z36))&gt;Lists!G$23)*(EDATE($G36,(((Lists!G$24-$AA36)-MOD((Lists!G$24-$AA36),$Z36))-$Z36))&lt;=Lists!G$21)*(EDATE($G36,(((Lists!G$24-$AA36)-MOD((Lists!G$24-$AA36),$Z36))-$Z36))&lt;=$AB36)))))</f>
        <v>0</v>
      </c>
      <c r="O36" s="53" t="n">
        <f aca="false">IF(OR(N($E36)=0,$G36=""),0,$I36*IF($F36="Weekly",((Lists!H$21-MOD(Lists!H$21-$G36,7))&gt;=$G36)*((Lists!H$21-MOD(Lists!H$21-$G36,7))&lt;=$AB36),IF($F36="One-off",($G36&gt;Lists!H$23)*($G36&lt;=Lists!H$21),IF($F36="",0,(((Lists!H$24-$AA36)-MOD((Lists!H$24-$AA36),$Z36))&gt;=0)*(EDATE($G36,((Lists!H$24-$AA36)-MOD((Lists!H$24-$AA36),$Z36)))&gt;Lists!H$23)*(EDATE($G36,((Lists!H$24-$AA36)-MOD((Lists!H$24-$AA36),$Z36)))&lt;=Lists!H$21)*(EDATE($G36,((Lists!H$24-$AA36)-MOD((Lists!H$24-$AA36),$Z36)))&lt;=$AB36)+((((Lists!H$24-$AA36)-MOD((Lists!H$24-$AA36),$Z36))-$Z36)&gt;=0)*(EDATE($G36,(((Lists!H$24-$AA36)-MOD((Lists!H$24-$AA36),$Z36))-$Z36))&gt;Lists!H$23)*(EDATE($G36,(((Lists!H$24-$AA36)-MOD((Lists!H$24-$AA36),$Z36))-$Z36))&lt;=Lists!H$21)*(EDATE($G36,(((Lists!H$24-$AA36)-MOD((Lists!H$24-$AA36),$Z36))-$Z36))&lt;=$AB36)))))</f>
        <v>0</v>
      </c>
      <c r="P36" s="53" t="n">
        <f aca="false">IF(OR(N($E36)=0,$G36=""),0,$I36*IF($F36="Weekly",((Lists!I$21-MOD(Lists!I$21-$G36,7))&gt;=$G36)*((Lists!I$21-MOD(Lists!I$21-$G36,7))&lt;=$AB36),IF($F36="One-off",($G36&gt;Lists!I$23)*($G36&lt;=Lists!I$21),IF($F36="",0,(((Lists!I$24-$AA36)-MOD((Lists!I$24-$AA36),$Z36))&gt;=0)*(EDATE($G36,((Lists!I$24-$AA36)-MOD((Lists!I$24-$AA36),$Z36)))&gt;Lists!I$23)*(EDATE($G36,((Lists!I$24-$AA36)-MOD((Lists!I$24-$AA36),$Z36)))&lt;=Lists!I$21)*(EDATE($G36,((Lists!I$24-$AA36)-MOD((Lists!I$24-$AA36),$Z36)))&lt;=$AB36)+((((Lists!I$24-$AA36)-MOD((Lists!I$24-$AA36),$Z36))-$Z36)&gt;=0)*(EDATE($G36,(((Lists!I$24-$AA36)-MOD((Lists!I$24-$AA36),$Z36))-$Z36))&gt;Lists!I$23)*(EDATE($G36,(((Lists!I$24-$AA36)-MOD((Lists!I$24-$AA36),$Z36))-$Z36))&lt;=Lists!I$21)*(EDATE($G36,(((Lists!I$24-$AA36)-MOD((Lists!I$24-$AA36),$Z36))-$Z36))&lt;=$AB36)))))</f>
        <v>0</v>
      </c>
      <c r="Q36" s="53" t="n">
        <f aca="false">IF(OR(N($E36)=0,$G36=""),0,$I36*IF($F36="Weekly",((Lists!J$21-MOD(Lists!J$21-$G36,7))&gt;=$G36)*((Lists!J$21-MOD(Lists!J$21-$G36,7))&lt;=$AB36),IF($F36="One-off",($G36&gt;Lists!J$23)*($G36&lt;=Lists!J$21),IF($F36="",0,(((Lists!J$24-$AA36)-MOD((Lists!J$24-$AA36),$Z36))&gt;=0)*(EDATE($G36,((Lists!J$24-$AA36)-MOD((Lists!J$24-$AA36),$Z36)))&gt;Lists!J$23)*(EDATE($G36,((Lists!J$24-$AA36)-MOD((Lists!J$24-$AA36),$Z36)))&lt;=Lists!J$21)*(EDATE($G36,((Lists!J$24-$AA36)-MOD((Lists!J$24-$AA36),$Z36)))&lt;=$AB36)+((((Lists!J$24-$AA36)-MOD((Lists!J$24-$AA36),$Z36))-$Z36)&gt;=0)*(EDATE($G36,(((Lists!J$24-$AA36)-MOD((Lists!J$24-$AA36),$Z36))-$Z36))&gt;Lists!J$23)*(EDATE($G36,(((Lists!J$24-$AA36)-MOD((Lists!J$24-$AA36),$Z36))-$Z36))&lt;=Lists!J$21)*(EDATE($G36,(((Lists!J$24-$AA36)-MOD((Lists!J$24-$AA36),$Z36))-$Z36))&lt;=$AB36)))))</f>
        <v>0</v>
      </c>
      <c r="R36" s="53" t="n">
        <f aca="false">IF(OR(N($E36)=0,$G36=""),0,$I36*IF($F36="Weekly",((Lists!K$21-MOD(Lists!K$21-$G36,7))&gt;=$G36)*((Lists!K$21-MOD(Lists!K$21-$G36,7))&lt;=$AB36),IF($F36="One-off",($G36&gt;Lists!K$23)*($G36&lt;=Lists!K$21),IF($F36="",0,(((Lists!K$24-$AA36)-MOD((Lists!K$24-$AA36),$Z36))&gt;=0)*(EDATE($G36,((Lists!K$24-$AA36)-MOD((Lists!K$24-$AA36),$Z36)))&gt;Lists!K$23)*(EDATE($G36,((Lists!K$24-$AA36)-MOD((Lists!K$24-$AA36),$Z36)))&lt;=Lists!K$21)*(EDATE($G36,((Lists!K$24-$AA36)-MOD((Lists!K$24-$AA36),$Z36)))&lt;=$AB36)+((((Lists!K$24-$AA36)-MOD((Lists!K$24-$AA36),$Z36))-$Z36)&gt;=0)*(EDATE($G36,(((Lists!K$24-$AA36)-MOD((Lists!K$24-$AA36),$Z36))-$Z36))&gt;Lists!K$23)*(EDATE($G36,(((Lists!K$24-$AA36)-MOD((Lists!K$24-$AA36),$Z36))-$Z36))&lt;=Lists!K$21)*(EDATE($G36,(((Lists!K$24-$AA36)-MOD((Lists!K$24-$AA36),$Z36))-$Z36))&lt;=$AB36)))))</f>
        <v>0</v>
      </c>
      <c r="S36" s="53" t="n">
        <f aca="false">IF(OR(N($E36)=0,$G36=""),0,$I36*IF($F36="Weekly",((Lists!L$21-MOD(Lists!L$21-$G36,7))&gt;=$G36)*((Lists!L$21-MOD(Lists!L$21-$G36,7))&lt;=$AB36),IF($F36="One-off",($G36&gt;Lists!L$23)*($G36&lt;=Lists!L$21),IF($F36="",0,(((Lists!L$24-$AA36)-MOD((Lists!L$24-$AA36),$Z36))&gt;=0)*(EDATE($G36,((Lists!L$24-$AA36)-MOD((Lists!L$24-$AA36),$Z36)))&gt;Lists!L$23)*(EDATE($G36,((Lists!L$24-$AA36)-MOD((Lists!L$24-$AA36),$Z36)))&lt;=Lists!L$21)*(EDATE($G36,((Lists!L$24-$AA36)-MOD((Lists!L$24-$AA36),$Z36)))&lt;=$AB36)+((((Lists!L$24-$AA36)-MOD((Lists!L$24-$AA36),$Z36))-$Z36)&gt;=0)*(EDATE($G36,(((Lists!L$24-$AA36)-MOD((Lists!L$24-$AA36),$Z36))-$Z36))&gt;Lists!L$23)*(EDATE($G36,(((Lists!L$24-$AA36)-MOD((Lists!L$24-$AA36),$Z36))-$Z36))&lt;=Lists!L$21)*(EDATE($G36,(((Lists!L$24-$AA36)-MOD((Lists!L$24-$AA36),$Z36))-$Z36))&lt;=$AB36)))))</f>
        <v>0</v>
      </c>
      <c r="T36" s="53" t="n">
        <f aca="false">IF(OR(N($E36)=0,$G36=""),0,$I36*IF($F36="Weekly",((Lists!M$21-MOD(Lists!M$21-$G36,7))&gt;=$G36)*((Lists!M$21-MOD(Lists!M$21-$G36,7))&lt;=$AB36),IF($F36="One-off",($G36&gt;Lists!M$23)*($G36&lt;=Lists!M$21),IF($F36="",0,(((Lists!M$24-$AA36)-MOD((Lists!M$24-$AA36),$Z36))&gt;=0)*(EDATE($G36,((Lists!M$24-$AA36)-MOD((Lists!M$24-$AA36),$Z36)))&gt;Lists!M$23)*(EDATE($G36,((Lists!M$24-$AA36)-MOD((Lists!M$24-$AA36),$Z36)))&lt;=Lists!M$21)*(EDATE($G36,((Lists!M$24-$AA36)-MOD((Lists!M$24-$AA36),$Z36)))&lt;=$AB36)+((((Lists!M$24-$AA36)-MOD((Lists!M$24-$AA36),$Z36))-$Z36)&gt;=0)*(EDATE($G36,(((Lists!M$24-$AA36)-MOD((Lists!M$24-$AA36),$Z36))-$Z36))&gt;Lists!M$23)*(EDATE($G36,(((Lists!M$24-$AA36)-MOD((Lists!M$24-$AA36),$Z36))-$Z36))&lt;=Lists!M$21)*(EDATE($G36,(((Lists!M$24-$AA36)-MOD((Lists!M$24-$AA36),$Z36))-$Z36))&lt;=$AB36)))))</f>
        <v>0</v>
      </c>
      <c r="U36" s="53" t="n">
        <f aca="false">IF(OR(N($E36)=0,$G36=""),0,$I36*IF($F36="Weekly",((Lists!N$21-MOD(Lists!N$21-$G36,7))&gt;=$G36)*((Lists!N$21-MOD(Lists!N$21-$G36,7))&lt;=$AB36),IF($F36="One-off",($G36&gt;Lists!N$23)*($G36&lt;=Lists!N$21),IF($F36="",0,(((Lists!N$24-$AA36)-MOD((Lists!N$24-$AA36),$Z36))&gt;=0)*(EDATE($G36,((Lists!N$24-$AA36)-MOD((Lists!N$24-$AA36),$Z36)))&gt;Lists!N$23)*(EDATE($G36,((Lists!N$24-$AA36)-MOD((Lists!N$24-$AA36),$Z36)))&lt;=Lists!N$21)*(EDATE($G36,((Lists!N$24-$AA36)-MOD((Lists!N$24-$AA36),$Z36)))&lt;=$AB36)+((((Lists!N$24-$AA36)-MOD((Lists!N$24-$AA36),$Z36))-$Z36)&gt;=0)*(EDATE($G36,(((Lists!N$24-$AA36)-MOD((Lists!N$24-$AA36),$Z36))-$Z36))&gt;Lists!N$23)*(EDATE($G36,(((Lists!N$24-$AA36)-MOD((Lists!N$24-$AA36),$Z36))-$Z36))&lt;=Lists!N$21)*(EDATE($G36,(((Lists!N$24-$AA36)-MOD((Lists!N$24-$AA36),$Z36))-$Z36))&lt;=$AB36)))))</f>
        <v>0</v>
      </c>
      <c r="V36" s="53" t="n">
        <f aca="false">IF(OR(N($E36)=0,$G36=""),0,$I36*IF($F36="Weekly",((Lists!O$21-MOD(Lists!O$21-$G36,7))&gt;=$G36)*((Lists!O$21-MOD(Lists!O$21-$G36,7))&lt;=$AB36),IF($F36="One-off",($G36&gt;Lists!O$23)*($G36&lt;=Lists!O$21),IF($F36="",0,(((Lists!O$24-$AA36)-MOD((Lists!O$24-$AA36),$Z36))&gt;=0)*(EDATE($G36,((Lists!O$24-$AA36)-MOD((Lists!O$24-$AA36),$Z36)))&gt;Lists!O$23)*(EDATE($G36,((Lists!O$24-$AA36)-MOD((Lists!O$24-$AA36),$Z36)))&lt;=Lists!O$21)*(EDATE($G36,((Lists!O$24-$AA36)-MOD((Lists!O$24-$AA36),$Z36)))&lt;=$AB36)+((((Lists!O$24-$AA36)-MOD((Lists!O$24-$AA36),$Z36))-$Z36)&gt;=0)*(EDATE($G36,(((Lists!O$24-$AA36)-MOD((Lists!O$24-$AA36),$Z36))-$Z36))&gt;Lists!O$23)*(EDATE($G36,(((Lists!O$24-$AA36)-MOD((Lists!O$24-$AA36),$Z36))-$Z36))&lt;=Lists!O$21)*(EDATE($G36,(((Lists!O$24-$AA36)-MOD((Lists!O$24-$AA36),$Z36))-$Z36))&lt;=$AB36)))))</f>
        <v>0</v>
      </c>
      <c r="W36" s="46" t="n">
        <f aca="false">SUM(J36:V36)</f>
        <v>0</v>
      </c>
      <c r="X36" s="2"/>
      <c r="Y36" s="104" t="n">
        <f aca="false">IF(AND(Setup!$D$16="Yes",D36&lt;&gt;"No"),1+Setup!$D$17,1)</f>
        <v>1.2</v>
      </c>
      <c r="Z36" s="94" t="n">
        <f aca="false">IF(F36="Quarterly",3,IF(F36="Annually",12,1))</f>
        <v>1</v>
      </c>
      <c r="AA36" s="94" t="n">
        <f aca="false">IF(G36="",0,YEAR(G36)*12+MONTH(G36))</f>
        <v>0</v>
      </c>
      <c r="AB36" s="93" t="n">
        <f aca="false">IF(H36="",2958465,H36)</f>
        <v>2958465</v>
      </c>
      <c r="AC36" s="95" t="str">
        <f aca="false">IF(C36="","Other overheads",C36)</f>
        <v>Other overheads</v>
      </c>
    </row>
    <row r="37" customFormat="false" ht="15" hidden="false" customHeight="false" outlineLevel="0" collapsed="false">
      <c r="A37" s="87" t="n">
        <v>29</v>
      </c>
      <c r="B37" s="55"/>
      <c r="C37" s="55"/>
      <c r="D37" s="58"/>
      <c r="E37" s="88"/>
      <c r="F37" s="58"/>
      <c r="G37" s="90"/>
      <c r="H37" s="90"/>
      <c r="I37" s="92" t="n">
        <f aca="false">N(E37)*Y37</f>
        <v>0</v>
      </c>
      <c r="J37" s="53" t="n">
        <f aca="false">IF(OR(N($E37)=0,$G37=""),0,$I37*IF($F37="Weekly",((Lists!C$21-MOD(Lists!C$21-$G37,7))&gt;=$G37)*((Lists!C$21-MOD(Lists!C$21-$G37,7))&lt;=$AB37),IF($F37="One-off",($G37&gt;Lists!C$23)*($G37&lt;=Lists!C$21),IF($F37="",0,(((Lists!C$24-$AA37)-MOD((Lists!C$24-$AA37),$Z37))&gt;=0)*(EDATE($G37,((Lists!C$24-$AA37)-MOD((Lists!C$24-$AA37),$Z37)))&gt;Lists!C$23)*(EDATE($G37,((Lists!C$24-$AA37)-MOD((Lists!C$24-$AA37),$Z37)))&lt;=Lists!C$21)*(EDATE($G37,((Lists!C$24-$AA37)-MOD((Lists!C$24-$AA37),$Z37)))&lt;=$AB37)+((((Lists!C$24-$AA37)-MOD((Lists!C$24-$AA37),$Z37))-$Z37)&gt;=0)*(EDATE($G37,(((Lists!C$24-$AA37)-MOD((Lists!C$24-$AA37),$Z37))-$Z37))&gt;Lists!C$23)*(EDATE($G37,(((Lists!C$24-$AA37)-MOD((Lists!C$24-$AA37),$Z37))-$Z37))&lt;=Lists!C$21)*(EDATE($G37,(((Lists!C$24-$AA37)-MOD((Lists!C$24-$AA37),$Z37))-$Z37))&lt;=$AB37)))))</f>
        <v>0</v>
      </c>
      <c r="K37" s="53" t="n">
        <f aca="false">IF(OR(N($E37)=0,$G37=""),0,$I37*IF($F37="Weekly",((Lists!D$21-MOD(Lists!D$21-$G37,7))&gt;=$G37)*((Lists!D$21-MOD(Lists!D$21-$G37,7))&lt;=$AB37),IF($F37="One-off",($G37&gt;Lists!D$23)*($G37&lt;=Lists!D$21),IF($F37="",0,(((Lists!D$24-$AA37)-MOD((Lists!D$24-$AA37),$Z37))&gt;=0)*(EDATE($G37,((Lists!D$24-$AA37)-MOD((Lists!D$24-$AA37),$Z37)))&gt;Lists!D$23)*(EDATE($G37,((Lists!D$24-$AA37)-MOD((Lists!D$24-$AA37),$Z37)))&lt;=Lists!D$21)*(EDATE($G37,((Lists!D$24-$AA37)-MOD((Lists!D$24-$AA37),$Z37)))&lt;=$AB37)+((((Lists!D$24-$AA37)-MOD((Lists!D$24-$AA37),$Z37))-$Z37)&gt;=0)*(EDATE($G37,(((Lists!D$24-$AA37)-MOD((Lists!D$24-$AA37),$Z37))-$Z37))&gt;Lists!D$23)*(EDATE($G37,(((Lists!D$24-$AA37)-MOD((Lists!D$24-$AA37),$Z37))-$Z37))&lt;=Lists!D$21)*(EDATE($G37,(((Lists!D$24-$AA37)-MOD((Lists!D$24-$AA37),$Z37))-$Z37))&lt;=$AB37)))))</f>
        <v>0</v>
      </c>
      <c r="L37" s="53" t="n">
        <f aca="false">IF(OR(N($E37)=0,$G37=""),0,$I37*IF($F37="Weekly",((Lists!E$21-MOD(Lists!E$21-$G37,7))&gt;=$G37)*((Lists!E$21-MOD(Lists!E$21-$G37,7))&lt;=$AB37),IF($F37="One-off",($G37&gt;Lists!E$23)*($G37&lt;=Lists!E$21),IF($F37="",0,(((Lists!E$24-$AA37)-MOD((Lists!E$24-$AA37),$Z37))&gt;=0)*(EDATE($G37,((Lists!E$24-$AA37)-MOD((Lists!E$24-$AA37),$Z37)))&gt;Lists!E$23)*(EDATE($G37,((Lists!E$24-$AA37)-MOD((Lists!E$24-$AA37),$Z37)))&lt;=Lists!E$21)*(EDATE($G37,((Lists!E$24-$AA37)-MOD((Lists!E$24-$AA37),$Z37)))&lt;=$AB37)+((((Lists!E$24-$AA37)-MOD((Lists!E$24-$AA37),$Z37))-$Z37)&gt;=0)*(EDATE($G37,(((Lists!E$24-$AA37)-MOD((Lists!E$24-$AA37),$Z37))-$Z37))&gt;Lists!E$23)*(EDATE($G37,(((Lists!E$24-$AA37)-MOD((Lists!E$24-$AA37),$Z37))-$Z37))&lt;=Lists!E$21)*(EDATE($G37,(((Lists!E$24-$AA37)-MOD((Lists!E$24-$AA37),$Z37))-$Z37))&lt;=$AB37)))))</f>
        <v>0</v>
      </c>
      <c r="M37" s="53" t="n">
        <f aca="false">IF(OR(N($E37)=0,$G37=""),0,$I37*IF($F37="Weekly",((Lists!F$21-MOD(Lists!F$21-$G37,7))&gt;=$G37)*((Lists!F$21-MOD(Lists!F$21-$G37,7))&lt;=$AB37),IF($F37="One-off",($G37&gt;Lists!F$23)*($G37&lt;=Lists!F$21),IF($F37="",0,(((Lists!F$24-$AA37)-MOD((Lists!F$24-$AA37),$Z37))&gt;=0)*(EDATE($G37,((Lists!F$24-$AA37)-MOD((Lists!F$24-$AA37),$Z37)))&gt;Lists!F$23)*(EDATE($G37,((Lists!F$24-$AA37)-MOD((Lists!F$24-$AA37),$Z37)))&lt;=Lists!F$21)*(EDATE($G37,((Lists!F$24-$AA37)-MOD((Lists!F$24-$AA37),$Z37)))&lt;=$AB37)+((((Lists!F$24-$AA37)-MOD((Lists!F$24-$AA37),$Z37))-$Z37)&gt;=0)*(EDATE($G37,(((Lists!F$24-$AA37)-MOD((Lists!F$24-$AA37),$Z37))-$Z37))&gt;Lists!F$23)*(EDATE($G37,(((Lists!F$24-$AA37)-MOD((Lists!F$24-$AA37),$Z37))-$Z37))&lt;=Lists!F$21)*(EDATE($G37,(((Lists!F$24-$AA37)-MOD((Lists!F$24-$AA37),$Z37))-$Z37))&lt;=$AB37)))))</f>
        <v>0</v>
      </c>
      <c r="N37" s="53" t="n">
        <f aca="false">IF(OR(N($E37)=0,$G37=""),0,$I37*IF($F37="Weekly",((Lists!G$21-MOD(Lists!G$21-$G37,7))&gt;=$G37)*((Lists!G$21-MOD(Lists!G$21-$G37,7))&lt;=$AB37),IF($F37="One-off",($G37&gt;Lists!G$23)*($G37&lt;=Lists!G$21),IF($F37="",0,(((Lists!G$24-$AA37)-MOD((Lists!G$24-$AA37),$Z37))&gt;=0)*(EDATE($G37,((Lists!G$24-$AA37)-MOD((Lists!G$24-$AA37),$Z37)))&gt;Lists!G$23)*(EDATE($G37,((Lists!G$24-$AA37)-MOD((Lists!G$24-$AA37),$Z37)))&lt;=Lists!G$21)*(EDATE($G37,((Lists!G$24-$AA37)-MOD((Lists!G$24-$AA37),$Z37)))&lt;=$AB37)+((((Lists!G$24-$AA37)-MOD((Lists!G$24-$AA37),$Z37))-$Z37)&gt;=0)*(EDATE($G37,(((Lists!G$24-$AA37)-MOD((Lists!G$24-$AA37),$Z37))-$Z37))&gt;Lists!G$23)*(EDATE($G37,(((Lists!G$24-$AA37)-MOD((Lists!G$24-$AA37),$Z37))-$Z37))&lt;=Lists!G$21)*(EDATE($G37,(((Lists!G$24-$AA37)-MOD((Lists!G$24-$AA37),$Z37))-$Z37))&lt;=$AB37)))))</f>
        <v>0</v>
      </c>
      <c r="O37" s="53" t="n">
        <f aca="false">IF(OR(N($E37)=0,$G37=""),0,$I37*IF($F37="Weekly",((Lists!H$21-MOD(Lists!H$21-$G37,7))&gt;=$G37)*((Lists!H$21-MOD(Lists!H$21-$G37,7))&lt;=$AB37),IF($F37="One-off",($G37&gt;Lists!H$23)*($G37&lt;=Lists!H$21),IF($F37="",0,(((Lists!H$24-$AA37)-MOD((Lists!H$24-$AA37),$Z37))&gt;=0)*(EDATE($G37,((Lists!H$24-$AA37)-MOD((Lists!H$24-$AA37),$Z37)))&gt;Lists!H$23)*(EDATE($G37,((Lists!H$24-$AA37)-MOD((Lists!H$24-$AA37),$Z37)))&lt;=Lists!H$21)*(EDATE($G37,((Lists!H$24-$AA37)-MOD((Lists!H$24-$AA37),$Z37)))&lt;=$AB37)+((((Lists!H$24-$AA37)-MOD((Lists!H$24-$AA37),$Z37))-$Z37)&gt;=0)*(EDATE($G37,(((Lists!H$24-$AA37)-MOD((Lists!H$24-$AA37),$Z37))-$Z37))&gt;Lists!H$23)*(EDATE($G37,(((Lists!H$24-$AA37)-MOD((Lists!H$24-$AA37),$Z37))-$Z37))&lt;=Lists!H$21)*(EDATE($G37,(((Lists!H$24-$AA37)-MOD((Lists!H$24-$AA37),$Z37))-$Z37))&lt;=$AB37)))))</f>
        <v>0</v>
      </c>
      <c r="P37" s="53" t="n">
        <f aca="false">IF(OR(N($E37)=0,$G37=""),0,$I37*IF($F37="Weekly",((Lists!I$21-MOD(Lists!I$21-$G37,7))&gt;=$G37)*((Lists!I$21-MOD(Lists!I$21-$G37,7))&lt;=$AB37),IF($F37="One-off",($G37&gt;Lists!I$23)*($G37&lt;=Lists!I$21),IF($F37="",0,(((Lists!I$24-$AA37)-MOD((Lists!I$24-$AA37),$Z37))&gt;=0)*(EDATE($G37,((Lists!I$24-$AA37)-MOD((Lists!I$24-$AA37),$Z37)))&gt;Lists!I$23)*(EDATE($G37,((Lists!I$24-$AA37)-MOD((Lists!I$24-$AA37),$Z37)))&lt;=Lists!I$21)*(EDATE($G37,((Lists!I$24-$AA37)-MOD((Lists!I$24-$AA37),$Z37)))&lt;=$AB37)+((((Lists!I$24-$AA37)-MOD((Lists!I$24-$AA37),$Z37))-$Z37)&gt;=0)*(EDATE($G37,(((Lists!I$24-$AA37)-MOD((Lists!I$24-$AA37),$Z37))-$Z37))&gt;Lists!I$23)*(EDATE($G37,(((Lists!I$24-$AA37)-MOD((Lists!I$24-$AA37),$Z37))-$Z37))&lt;=Lists!I$21)*(EDATE($G37,(((Lists!I$24-$AA37)-MOD((Lists!I$24-$AA37),$Z37))-$Z37))&lt;=$AB37)))))</f>
        <v>0</v>
      </c>
      <c r="Q37" s="53" t="n">
        <f aca="false">IF(OR(N($E37)=0,$G37=""),0,$I37*IF($F37="Weekly",((Lists!J$21-MOD(Lists!J$21-$G37,7))&gt;=$G37)*((Lists!J$21-MOD(Lists!J$21-$G37,7))&lt;=$AB37),IF($F37="One-off",($G37&gt;Lists!J$23)*($G37&lt;=Lists!J$21),IF($F37="",0,(((Lists!J$24-$AA37)-MOD((Lists!J$24-$AA37),$Z37))&gt;=0)*(EDATE($G37,((Lists!J$24-$AA37)-MOD((Lists!J$24-$AA37),$Z37)))&gt;Lists!J$23)*(EDATE($G37,((Lists!J$24-$AA37)-MOD((Lists!J$24-$AA37),$Z37)))&lt;=Lists!J$21)*(EDATE($G37,((Lists!J$24-$AA37)-MOD((Lists!J$24-$AA37),$Z37)))&lt;=$AB37)+((((Lists!J$24-$AA37)-MOD((Lists!J$24-$AA37),$Z37))-$Z37)&gt;=0)*(EDATE($G37,(((Lists!J$24-$AA37)-MOD((Lists!J$24-$AA37),$Z37))-$Z37))&gt;Lists!J$23)*(EDATE($G37,(((Lists!J$24-$AA37)-MOD((Lists!J$24-$AA37),$Z37))-$Z37))&lt;=Lists!J$21)*(EDATE($G37,(((Lists!J$24-$AA37)-MOD((Lists!J$24-$AA37),$Z37))-$Z37))&lt;=$AB37)))))</f>
        <v>0</v>
      </c>
      <c r="R37" s="53" t="n">
        <f aca="false">IF(OR(N($E37)=0,$G37=""),0,$I37*IF($F37="Weekly",((Lists!K$21-MOD(Lists!K$21-$G37,7))&gt;=$G37)*((Lists!K$21-MOD(Lists!K$21-$G37,7))&lt;=$AB37),IF($F37="One-off",($G37&gt;Lists!K$23)*($G37&lt;=Lists!K$21),IF($F37="",0,(((Lists!K$24-$AA37)-MOD((Lists!K$24-$AA37),$Z37))&gt;=0)*(EDATE($G37,((Lists!K$24-$AA37)-MOD((Lists!K$24-$AA37),$Z37)))&gt;Lists!K$23)*(EDATE($G37,((Lists!K$24-$AA37)-MOD((Lists!K$24-$AA37),$Z37)))&lt;=Lists!K$21)*(EDATE($G37,((Lists!K$24-$AA37)-MOD((Lists!K$24-$AA37),$Z37)))&lt;=$AB37)+((((Lists!K$24-$AA37)-MOD((Lists!K$24-$AA37),$Z37))-$Z37)&gt;=0)*(EDATE($G37,(((Lists!K$24-$AA37)-MOD((Lists!K$24-$AA37),$Z37))-$Z37))&gt;Lists!K$23)*(EDATE($G37,(((Lists!K$24-$AA37)-MOD((Lists!K$24-$AA37),$Z37))-$Z37))&lt;=Lists!K$21)*(EDATE($G37,(((Lists!K$24-$AA37)-MOD((Lists!K$24-$AA37),$Z37))-$Z37))&lt;=$AB37)))))</f>
        <v>0</v>
      </c>
      <c r="S37" s="53" t="n">
        <f aca="false">IF(OR(N($E37)=0,$G37=""),0,$I37*IF($F37="Weekly",((Lists!L$21-MOD(Lists!L$21-$G37,7))&gt;=$G37)*((Lists!L$21-MOD(Lists!L$21-$G37,7))&lt;=$AB37),IF($F37="One-off",($G37&gt;Lists!L$23)*($G37&lt;=Lists!L$21),IF($F37="",0,(((Lists!L$24-$AA37)-MOD((Lists!L$24-$AA37),$Z37))&gt;=0)*(EDATE($G37,((Lists!L$24-$AA37)-MOD((Lists!L$24-$AA37),$Z37)))&gt;Lists!L$23)*(EDATE($G37,((Lists!L$24-$AA37)-MOD((Lists!L$24-$AA37),$Z37)))&lt;=Lists!L$21)*(EDATE($G37,((Lists!L$24-$AA37)-MOD((Lists!L$24-$AA37),$Z37)))&lt;=$AB37)+((((Lists!L$24-$AA37)-MOD((Lists!L$24-$AA37),$Z37))-$Z37)&gt;=0)*(EDATE($G37,(((Lists!L$24-$AA37)-MOD((Lists!L$24-$AA37),$Z37))-$Z37))&gt;Lists!L$23)*(EDATE($G37,(((Lists!L$24-$AA37)-MOD((Lists!L$24-$AA37),$Z37))-$Z37))&lt;=Lists!L$21)*(EDATE($G37,(((Lists!L$24-$AA37)-MOD((Lists!L$24-$AA37),$Z37))-$Z37))&lt;=$AB37)))))</f>
        <v>0</v>
      </c>
      <c r="T37" s="53" t="n">
        <f aca="false">IF(OR(N($E37)=0,$G37=""),0,$I37*IF($F37="Weekly",((Lists!M$21-MOD(Lists!M$21-$G37,7))&gt;=$G37)*((Lists!M$21-MOD(Lists!M$21-$G37,7))&lt;=$AB37),IF($F37="One-off",($G37&gt;Lists!M$23)*($G37&lt;=Lists!M$21),IF($F37="",0,(((Lists!M$24-$AA37)-MOD((Lists!M$24-$AA37),$Z37))&gt;=0)*(EDATE($G37,((Lists!M$24-$AA37)-MOD((Lists!M$24-$AA37),$Z37)))&gt;Lists!M$23)*(EDATE($G37,((Lists!M$24-$AA37)-MOD((Lists!M$24-$AA37),$Z37)))&lt;=Lists!M$21)*(EDATE($G37,((Lists!M$24-$AA37)-MOD((Lists!M$24-$AA37),$Z37)))&lt;=$AB37)+((((Lists!M$24-$AA37)-MOD((Lists!M$24-$AA37),$Z37))-$Z37)&gt;=0)*(EDATE($G37,(((Lists!M$24-$AA37)-MOD((Lists!M$24-$AA37),$Z37))-$Z37))&gt;Lists!M$23)*(EDATE($G37,(((Lists!M$24-$AA37)-MOD((Lists!M$24-$AA37),$Z37))-$Z37))&lt;=Lists!M$21)*(EDATE($G37,(((Lists!M$24-$AA37)-MOD((Lists!M$24-$AA37),$Z37))-$Z37))&lt;=$AB37)))))</f>
        <v>0</v>
      </c>
      <c r="U37" s="53" t="n">
        <f aca="false">IF(OR(N($E37)=0,$G37=""),0,$I37*IF($F37="Weekly",((Lists!N$21-MOD(Lists!N$21-$G37,7))&gt;=$G37)*((Lists!N$21-MOD(Lists!N$21-$G37,7))&lt;=$AB37),IF($F37="One-off",($G37&gt;Lists!N$23)*($G37&lt;=Lists!N$21),IF($F37="",0,(((Lists!N$24-$AA37)-MOD((Lists!N$24-$AA37),$Z37))&gt;=0)*(EDATE($G37,((Lists!N$24-$AA37)-MOD((Lists!N$24-$AA37),$Z37)))&gt;Lists!N$23)*(EDATE($G37,((Lists!N$24-$AA37)-MOD((Lists!N$24-$AA37),$Z37)))&lt;=Lists!N$21)*(EDATE($G37,((Lists!N$24-$AA37)-MOD((Lists!N$24-$AA37),$Z37)))&lt;=$AB37)+((((Lists!N$24-$AA37)-MOD((Lists!N$24-$AA37),$Z37))-$Z37)&gt;=0)*(EDATE($G37,(((Lists!N$24-$AA37)-MOD((Lists!N$24-$AA37),$Z37))-$Z37))&gt;Lists!N$23)*(EDATE($G37,(((Lists!N$24-$AA37)-MOD((Lists!N$24-$AA37),$Z37))-$Z37))&lt;=Lists!N$21)*(EDATE($G37,(((Lists!N$24-$AA37)-MOD((Lists!N$24-$AA37),$Z37))-$Z37))&lt;=$AB37)))))</f>
        <v>0</v>
      </c>
      <c r="V37" s="53" t="n">
        <f aca="false">IF(OR(N($E37)=0,$G37=""),0,$I37*IF($F37="Weekly",((Lists!O$21-MOD(Lists!O$21-$G37,7))&gt;=$G37)*((Lists!O$21-MOD(Lists!O$21-$G37,7))&lt;=$AB37),IF($F37="One-off",($G37&gt;Lists!O$23)*($G37&lt;=Lists!O$21),IF($F37="",0,(((Lists!O$24-$AA37)-MOD((Lists!O$24-$AA37),$Z37))&gt;=0)*(EDATE($G37,((Lists!O$24-$AA37)-MOD((Lists!O$24-$AA37),$Z37)))&gt;Lists!O$23)*(EDATE($G37,((Lists!O$24-$AA37)-MOD((Lists!O$24-$AA37),$Z37)))&lt;=Lists!O$21)*(EDATE($G37,((Lists!O$24-$AA37)-MOD((Lists!O$24-$AA37),$Z37)))&lt;=$AB37)+((((Lists!O$24-$AA37)-MOD((Lists!O$24-$AA37),$Z37))-$Z37)&gt;=0)*(EDATE($G37,(((Lists!O$24-$AA37)-MOD((Lists!O$24-$AA37),$Z37))-$Z37))&gt;Lists!O$23)*(EDATE($G37,(((Lists!O$24-$AA37)-MOD((Lists!O$24-$AA37),$Z37))-$Z37))&lt;=Lists!O$21)*(EDATE($G37,(((Lists!O$24-$AA37)-MOD((Lists!O$24-$AA37),$Z37))-$Z37))&lt;=$AB37)))))</f>
        <v>0</v>
      </c>
      <c r="W37" s="46" t="n">
        <f aca="false">SUM(J37:V37)</f>
        <v>0</v>
      </c>
      <c r="X37" s="2"/>
      <c r="Y37" s="104" t="n">
        <f aca="false">IF(AND(Setup!$D$16="Yes",D37&lt;&gt;"No"),1+Setup!$D$17,1)</f>
        <v>1.2</v>
      </c>
      <c r="Z37" s="94" t="n">
        <f aca="false">IF(F37="Quarterly",3,IF(F37="Annually",12,1))</f>
        <v>1</v>
      </c>
      <c r="AA37" s="94" t="n">
        <f aca="false">IF(G37="",0,YEAR(G37)*12+MONTH(G37))</f>
        <v>0</v>
      </c>
      <c r="AB37" s="93" t="n">
        <f aca="false">IF(H37="",2958465,H37)</f>
        <v>2958465</v>
      </c>
      <c r="AC37" s="95" t="str">
        <f aca="false">IF(C37="","Other overheads",C37)</f>
        <v>Other overheads</v>
      </c>
    </row>
    <row r="38" customFormat="false" ht="15" hidden="false" customHeight="false" outlineLevel="0" collapsed="false">
      <c r="A38" s="87" t="n">
        <v>30</v>
      </c>
      <c r="B38" s="55"/>
      <c r="C38" s="55"/>
      <c r="D38" s="58"/>
      <c r="E38" s="88"/>
      <c r="F38" s="58"/>
      <c r="G38" s="90"/>
      <c r="H38" s="90"/>
      <c r="I38" s="92" t="n">
        <f aca="false">N(E38)*Y38</f>
        <v>0</v>
      </c>
      <c r="J38" s="53" t="n">
        <f aca="false">IF(OR(N($E38)=0,$G38=""),0,$I38*IF($F38="Weekly",((Lists!C$21-MOD(Lists!C$21-$G38,7))&gt;=$G38)*((Lists!C$21-MOD(Lists!C$21-$G38,7))&lt;=$AB38),IF($F38="One-off",($G38&gt;Lists!C$23)*($G38&lt;=Lists!C$21),IF($F38="",0,(((Lists!C$24-$AA38)-MOD((Lists!C$24-$AA38),$Z38))&gt;=0)*(EDATE($G38,((Lists!C$24-$AA38)-MOD((Lists!C$24-$AA38),$Z38)))&gt;Lists!C$23)*(EDATE($G38,((Lists!C$24-$AA38)-MOD((Lists!C$24-$AA38),$Z38)))&lt;=Lists!C$21)*(EDATE($G38,((Lists!C$24-$AA38)-MOD((Lists!C$24-$AA38),$Z38)))&lt;=$AB38)+((((Lists!C$24-$AA38)-MOD((Lists!C$24-$AA38),$Z38))-$Z38)&gt;=0)*(EDATE($G38,(((Lists!C$24-$AA38)-MOD((Lists!C$24-$AA38),$Z38))-$Z38))&gt;Lists!C$23)*(EDATE($G38,(((Lists!C$24-$AA38)-MOD((Lists!C$24-$AA38),$Z38))-$Z38))&lt;=Lists!C$21)*(EDATE($G38,(((Lists!C$24-$AA38)-MOD((Lists!C$24-$AA38),$Z38))-$Z38))&lt;=$AB38)))))</f>
        <v>0</v>
      </c>
      <c r="K38" s="53" t="n">
        <f aca="false">IF(OR(N($E38)=0,$G38=""),0,$I38*IF($F38="Weekly",((Lists!D$21-MOD(Lists!D$21-$G38,7))&gt;=$G38)*((Lists!D$21-MOD(Lists!D$21-$G38,7))&lt;=$AB38),IF($F38="One-off",($G38&gt;Lists!D$23)*($G38&lt;=Lists!D$21),IF($F38="",0,(((Lists!D$24-$AA38)-MOD((Lists!D$24-$AA38),$Z38))&gt;=0)*(EDATE($G38,((Lists!D$24-$AA38)-MOD((Lists!D$24-$AA38),$Z38)))&gt;Lists!D$23)*(EDATE($G38,((Lists!D$24-$AA38)-MOD((Lists!D$24-$AA38),$Z38)))&lt;=Lists!D$21)*(EDATE($G38,((Lists!D$24-$AA38)-MOD((Lists!D$24-$AA38),$Z38)))&lt;=$AB38)+((((Lists!D$24-$AA38)-MOD((Lists!D$24-$AA38),$Z38))-$Z38)&gt;=0)*(EDATE($G38,(((Lists!D$24-$AA38)-MOD((Lists!D$24-$AA38),$Z38))-$Z38))&gt;Lists!D$23)*(EDATE($G38,(((Lists!D$24-$AA38)-MOD((Lists!D$24-$AA38),$Z38))-$Z38))&lt;=Lists!D$21)*(EDATE($G38,(((Lists!D$24-$AA38)-MOD((Lists!D$24-$AA38),$Z38))-$Z38))&lt;=$AB38)))))</f>
        <v>0</v>
      </c>
      <c r="L38" s="53" t="n">
        <f aca="false">IF(OR(N($E38)=0,$G38=""),0,$I38*IF($F38="Weekly",((Lists!E$21-MOD(Lists!E$21-$G38,7))&gt;=$G38)*((Lists!E$21-MOD(Lists!E$21-$G38,7))&lt;=$AB38),IF($F38="One-off",($G38&gt;Lists!E$23)*($G38&lt;=Lists!E$21),IF($F38="",0,(((Lists!E$24-$AA38)-MOD((Lists!E$24-$AA38),$Z38))&gt;=0)*(EDATE($G38,((Lists!E$24-$AA38)-MOD((Lists!E$24-$AA38),$Z38)))&gt;Lists!E$23)*(EDATE($G38,((Lists!E$24-$AA38)-MOD((Lists!E$24-$AA38),$Z38)))&lt;=Lists!E$21)*(EDATE($G38,((Lists!E$24-$AA38)-MOD((Lists!E$24-$AA38),$Z38)))&lt;=$AB38)+((((Lists!E$24-$AA38)-MOD((Lists!E$24-$AA38),$Z38))-$Z38)&gt;=0)*(EDATE($G38,(((Lists!E$24-$AA38)-MOD((Lists!E$24-$AA38),$Z38))-$Z38))&gt;Lists!E$23)*(EDATE($G38,(((Lists!E$24-$AA38)-MOD((Lists!E$24-$AA38),$Z38))-$Z38))&lt;=Lists!E$21)*(EDATE($G38,(((Lists!E$24-$AA38)-MOD((Lists!E$24-$AA38),$Z38))-$Z38))&lt;=$AB38)))))</f>
        <v>0</v>
      </c>
      <c r="M38" s="53" t="n">
        <f aca="false">IF(OR(N($E38)=0,$G38=""),0,$I38*IF($F38="Weekly",((Lists!F$21-MOD(Lists!F$21-$G38,7))&gt;=$G38)*((Lists!F$21-MOD(Lists!F$21-$G38,7))&lt;=$AB38),IF($F38="One-off",($G38&gt;Lists!F$23)*($G38&lt;=Lists!F$21),IF($F38="",0,(((Lists!F$24-$AA38)-MOD((Lists!F$24-$AA38),$Z38))&gt;=0)*(EDATE($G38,((Lists!F$24-$AA38)-MOD((Lists!F$24-$AA38),$Z38)))&gt;Lists!F$23)*(EDATE($G38,((Lists!F$24-$AA38)-MOD((Lists!F$24-$AA38),$Z38)))&lt;=Lists!F$21)*(EDATE($G38,((Lists!F$24-$AA38)-MOD((Lists!F$24-$AA38),$Z38)))&lt;=$AB38)+((((Lists!F$24-$AA38)-MOD((Lists!F$24-$AA38),$Z38))-$Z38)&gt;=0)*(EDATE($G38,(((Lists!F$24-$AA38)-MOD((Lists!F$24-$AA38),$Z38))-$Z38))&gt;Lists!F$23)*(EDATE($G38,(((Lists!F$24-$AA38)-MOD((Lists!F$24-$AA38),$Z38))-$Z38))&lt;=Lists!F$21)*(EDATE($G38,(((Lists!F$24-$AA38)-MOD((Lists!F$24-$AA38),$Z38))-$Z38))&lt;=$AB38)))))</f>
        <v>0</v>
      </c>
      <c r="N38" s="53" t="n">
        <f aca="false">IF(OR(N($E38)=0,$G38=""),0,$I38*IF($F38="Weekly",((Lists!G$21-MOD(Lists!G$21-$G38,7))&gt;=$G38)*((Lists!G$21-MOD(Lists!G$21-$G38,7))&lt;=$AB38),IF($F38="One-off",($G38&gt;Lists!G$23)*($G38&lt;=Lists!G$21),IF($F38="",0,(((Lists!G$24-$AA38)-MOD((Lists!G$24-$AA38),$Z38))&gt;=0)*(EDATE($G38,((Lists!G$24-$AA38)-MOD((Lists!G$24-$AA38),$Z38)))&gt;Lists!G$23)*(EDATE($G38,((Lists!G$24-$AA38)-MOD((Lists!G$24-$AA38),$Z38)))&lt;=Lists!G$21)*(EDATE($G38,((Lists!G$24-$AA38)-MOD((Lists!G$24-$AA38),$Z38)))&lt;=$AB38)+((((Lists!G$24-$AA38)-MOD((Lists!G$24-$AA38),$Z38))-$Z38)&gt;=0)*(EDATE($G38,(((Lists!G$24-$AA38)-MOD((Lists!G$24-$AA38),$Z38))-$Z38))&gt;Lists!G$23)*(EDATE($G38,(((Lists!G$24-$AA38)-MOD((Lists!G$24-$AA38),$Z38))-$Z38))&lt;=Lists!G$21)*(EDATE($G38,(((Lists!G$24-$AA38)-MOD((Lists!G$24-$AA38),$Z38))-$Z38))&lt;=$AB38)))))</f>
        <v>0</v>
      </c>
      <c r="O38" s="53" t="n">
        <f aca="false">IF(OR(N($E38)=0,$G38=""),0,$I38*IF($F38="Weekly",((Lists!H$21-MOD(Lists!H$21-$G38,7))&gt;=$G38)*((Lists!H$21-MOD(Lists!H$21-$G38,7))&lt;=$AB38),IF($F38="One-off",($G38&gt;Lists!H$23)*($G38&lt;=Lists!H$21),IF($F38="",0,(((Lists!H$24-$AA38)-MOD((Lists!H$24-$AA38),$Z38))&gt;=0)*(EDATE($G38,((Lists!H$24-$AA38)-MOD((Lists!H$24-$AA38),$Z38)))&gt;Lists!H$23)*(EDATE($G38,((Lists!H$24-$AA38)-MOD((Lists!H$24-$AA38),$Z38)))&lt;=Lists!H$21)*(EDATE($G38,((Lists!H$24-$AA38)-MOD((Lists!H$24-$AA38),$Z38)))&lt;=$AB38)+((((Lists!H$24-$AA38)-MOD((Lists!H$24-$AA38),$Z38))-$Z38)&gt;=0)*(EDATE($G38,(((Lists!H$24-$AA38)-MOD((Lists!H$24-$AA38),$Z38))-$Z38))&gt;Lists!H$23)*(EDATE($G38,(((Lists!H$24-$AA38)-MOD((Lists!H$24-$AA38),$Z38))-$Z38))&lt;=Lists!H$21)*(EDATE($G38,(((Lists!H$24-$AA38)-MOD((Lists!H$24-$AA38),$Z38))-$Z38))&lt;=$AB38)))))</f>
        <v>0</v>
      </c>
      <c r="P38" s="53" t="n">
        <f aca="false">IF(OR(N($E38)=0,$G38=""),0,$I38*IF($F38="Weekly",((Lists!I$21-MOD(Lists!I$21-$G38,7))&gt;=$G38)*((Lists!I$21-MOD(Lists!I$21-$G38,7))&lt;=$AB38),IF($F38="One-off",($G38&gt;Lists!I$23)*($G38&lt;=Lists!I$21),IF($F38="",0,(((Lists!I$24-$AA38)-MOD((Lists!I$24-$AA38),$Z38))&gt;=0)*(EDATE($G38,((Lists!I$24-$AA38)-MOD((Lists!I$24-$AA38),$Z38)))&gt;Lists!I$23)*(EDATE($G38,((Lists!I$24-$AA38)-MOD((Lists!I$24-$AA38),$Z38)))&lt;=Lists!I$21)*(EDATE($G38,((Lists!I$24-$AA38)-MOD((Lists!I$24-$AA38),$Z38)))&lt;=$AB38)+((((Lists!I$24-$AA38)-MOD((Lists!I$24-$AA38),$Z38))-$Z38)&gt;=0)*(EDATE($G38,(((Lists!I$24-$AA38)-MOD((Lists!I$24-$AA38),$Z38))-$Z38))&gt;Lists!I$23)*(EDATE($G38,(((Lists!I$24-$AA38)-MOD((Lists!I$24-$AA38),$Z38))-$Z38))&lt;=Lists!I$21)*(EDATE($G38,(((Lists!I$24-$AA38)-MOD((Lists!I$24-$AA38),$Z38))-$Z38))&lt;=$AB38)))))</f>
        <v>0</v>
      </c>
      <c r="Q38" s="53" t="n">
        <f aca="false">IF(OR(N($E38)=0,$G38=""),0,$I38*IF($F38="Weekly",((Lists!J$21-MOD(Lists!J$21-$G38,7))&gt;=$G38)*((Lists!J$21-MOD(Lists!J$21-$G38,7))&lt;=$AB38),IF($F38="One-off",($G38&gt;Lists!J$23)*($G38&lt;=Lists!J$21),IF($F38="",0,(((Lists!J$24-$AA38)-MOD((Lists!J$24-$AA38),$Z38))&gt;=0)*(EDATE($G38,((Lists!J$24-$AA38)-MOD((Lists!J$24-$AA38),$Z38)))&gt;Lists!J$23)*(EDATE($G38,((Lists!J$24-$AA38)-MOD((Lists!J$24-$AA38),$Z38)))&lt;=Lists!J$21)*(EDATE($G38,((Lists!J$24-$AA38)-MOD((Lists!J$24-$AA38),$Z38)))&lt;=$AB38)+((((Lists!J$24-$AA38)-MOD((Lists!J$24-$AA38),$Z38))-$Z38)&gt;=0)*(EDATE($G38,(((Lists!J$24-$AA38)-MOD((Lists!J$24-$AA38),$Z38))-$Z38))&gt;Lists!J$23)*(EDATE($G38,(((Lists!J$24-$AA38)-MOD((Lists!J$24-$AA38),$Z38))-$Z38))&lt;=Lists!J$21)*(EDATE($G38,(((Lists!J$24-$AA38)-MOD((Lists!J$24-$AA38),$Z38))-$Z38))&lt;=$AB38)))))</f>
        <v>0</v>
      </c>
      <c r="R38" s="53" t="n">
        <f aca="false">IF(OR(N($E38)=0,$G38=""),0,$I38*IF($F38="Weekly",((Lists!K$21-MOD(Lists!K$21-$G38,7))&gt;=$G38)*((Lists!K$21-MOD(Lists!K$21-$G38,7))&lt;=$AB38),IF($F38="One-off",($G38&gt;Lists!K$23)*($G38&lt;=Lists!K$21),IF($F38="",0,(((Lists!K$24-$AA38)-MOD((Lists!K$24-$AA38),$Z38))&gt;=0)*(EDATE($G38,((Lists!K$24-$AA38)-MOD((Lists!K$24-$AA38),$Z38)))&gt;Lists!K$23)*(EDATE($G38,((Lists!K$24-$AA38)-MOD((Lists!K$24-$AA38),$Z38)))&lt;=Lists!K$21)*(EDATE($G38,((Lists!K$24-$AA38)-MOD((Lists!K$24-$AA38),$Z38)))&lt;=$AB38)+((((Lists!K$24-$AA38)-MOD((Lists!K$24-$AA38),$Z38))-$Z38)&gt;=0)*(EDATE($G38,(((Lists!K$24-$AA38)-MOD((Lists!K$24-$AA38),$Z38))-$Z38))&gt;Lists!K$23)*(EDATE($G38,(((Lists!K$24-$AA38)-MOD((Lists!K$24-$AA38),$Z38))-$Z38))&lt;=Lists!K$21)*(EDATE($G38,(((Lists!K$24-$AA38)-MOD((Lists!K$24-$AA38),$Z38))-$Z38))&lt;=$AB38)))))</f>
        <v>0</v>
      </c>
      <c r="S38" s="53" t="n">
        <f aca="false">IF(OR(N($E38)=0,$G38=""),0,$I38*IF($F38="Weekly",((Lists!L$21-MOD(Lists!L$21-$G38,7))&gt;=$G38)*((Lists!L$21-MOD(Lists!L$21-$G38,7))&lt;=$AB38),IF($F38="One-off",($G38&gt;Lists!L$23)*($G38&lt;=Lists!L$21),IF($F38="",0,(((Lists!L$24-$AA38)-MOD((Lists!L$24-$AA38),$Z38))&gt;=0)*(EDATE($G38,((Lists!L$24-$AA38)-MOD((Lists!L$24-$AA38),$Z38)))&gt;Lists!L$23)*(EDATE($G38,((Lists!L$24-$AA38)-MOD((Lists!L$24-$AA38),$Z38)))&lt;=Lists!L$21)*(EDATE($G38,((Lists!L$24-$AA38)-MOD((Lists!L$24-$AA38),$Z38)))&lt;=$AB38)+((((Lists!L$24-$AA38)-MOD((Lists!L$24-$AA38),$Z38))-$Z38)&gt;=0)*(EDATE($G38,(((Lists!L$24-$AA38)-MOD((Lists!L$24-$AA38),$Z38))-$Z38))&gt;Lists!L$23)*(EDATE($G38,(((Lists!L$24-$AA38)-MOD((Lists!L$24-$AA38),$Z38))-$Z38))&lt;=Lists!L$21)*(EDATE($G38,(((Lists!L$24-$AA38)-MOD((Lists!L$24-$AA38),$Z38))-$Z38))&lt;=$AB38)))))</f>
        <v>0</v>
      </c>
      <c r="T38" s="53" t="n">
        <f aca="false">IF(OR(N($E38)=0,$G38=""),0,$I38*IF($F38="Weekly",((Lists!M$21-MOD(Lists!M$21-$G38,7))&gt;=$G38)*((Lists!M$21-MOD(Lists!M$21-$G38,7))&lt;=$AB38),IF($F38="One-off",($G38&gt;Lists!M$23)*($G38&lt;=Lists!M$21),IF($F38="",0,(((Lists!M$24-$AA38)-MOD((Lists!M$24-$AA38),$Z38))&gt;=0)*(EDATE($G38,((Lists!M$24-$AA38)-MOD((Lists!M$24-$AA38),$Z38)))&gt;Lists!M$23)*(EDATE($G38,((Lists!M$24-$AA38)-MOD((Lists!M$24-$AA38),$Z38)))&lt;=Lists!M$21)*(EDATE($G38,((Lists!M$24-$AA38)-MOD((Lists!M$24-$AA38),$Z38)))&lt;=$AB38)+((((Lists!M$24-$AA38)-MOD((Lists!M$24-$AA38),$Z38))-$Z38)&gt;=0)*(EDATE($G38,(((Lists!M$24-$AA38)-MOD((Lists!M$24-$AA38),$Z38))-$Z38))&gt;Lists!M$23)*(EDATE($G38,(((Lists!M$24-$AA38)-MOD((Lists!M$24-$AA38),$Z38))-$Z38))&lt;=Lists!M$21)*(EDATE($G38,(((Lists!M$24-$AA38)-MOD((Lists!M$24-$AA38),$Z38))-$Z38))&lt;=$AB38)))))</f>
        <v>0</v>
      </c>
      <c r="U38" s="53" t="n">
        <f aca="false">IF(OR(N($E38)=0,$G38=""),0,$I38*IF($F38="Weekly",((Lists!N$21-MOD(Lists!N$21-$G38,7))&gt;=$G38)*((Lists!N$21-MOD(Lists!N$21-$G38,7))&lt;=$AB38),IF($F38="One-off",($G38&gt;Lists!N$23)*($G38&lt;=Lists!N$21),IF($F38="",0,(((Lists!N$24-$AA38)-MOD((Lists!N$24-$AA38),$Z38))&gt;=0)*(EDATE($G38,((Lists!N$24-$AA38)-MOD((Lists!N$24-$AA38),$Z38)))&gt;Lists!N$23)*(EDATE($G38,((Lists!N$24-$AA38)-MOD((Lists!N$24-$AA38),$Z38)))&lt;=Lists!N$21)*(EDATE($G38,((Lists!N$24-$AA38)-MOD((Lists!N$24-$AA38),$Z38)))&lt;=$AB38)+((((Lists!N$24-$AA38)-MOD((Lists!N$24-$AA38),$Z38))-$Z38)&gt;=0)*(EDATE($G38,(((Lists!N$24-$AA38)-MOD((Lists!N$24-$AA38),$Z38))-$Z38))&gt;Lists!N$23)*(EDATE($G38,(((Lists!N$24-$AA38)-MOD((Lists!N$24-$AA38),$Z38))-$Z38))&lt;=Lists!N$21)*(EDATE($G38,(((Lists!N$24-$AA38)-MOD((Lists!N$24-$AA38),$Z38))-$Z38))&lt;=$AB38)))))</f>
        <v>0</v>
      </c>
      <c r="V38" s="53" t="n">
        <f aca="false">IF(OR(N($E38)=0,$G38=""),0,$I38*IF($F38="Weekly",((Lists!O$21-MOD(Lists!O$21-$G38,7))&gt;=$G38)*((Lists!O$21-MOD(Lists!O$21-$G38,7))&lt;=$AB38),IF($F38="One-off",($G38&gt;Lists!O$23)*($G38&lt;=Lists!O$21),IF($F38="",0,(((Lists!O$24-$AA38)-MOD((Lists!O$24-$AA38),$Z38))&gt;=0)*(EDATE($G38,((Lists!O$24-$AA38)-MOD((Lists!O$24-$AA38),$Z38)))&gt;Lists!O$23)*(EDATE($G38,((Lists!O$24-$AA38)-MOD((Lists!O$24-$AA38),$Z38)))&lt;=Lists!O$21)*(EDATE($G38,((Lists!O$24-$AA38)-MOD((Lists!O$24-$AA38),$Z38)))&lt;=$AB38)+((((Lists!O$24-$AA38)-MOD((Lists!O$24-$AA38),$Z38))-$Z38)&gt;=0)*(EDATE($G38,(((Lists!O$24-$AA38)-MOD((Lists!O$24-$AA38),$Z38))-$Z38))&gt;Lists!O$23)*(EDATE($G38,(((Lists!O$24-$AA38)-MOD((Lists!O$24-$AA38),$Z38))-$Z38))&lt;=Lists!O$21)*(EDATE($G38,(((Lists!O$24-$AA38)-MOD((Lists!O$24-$AA38),$Z38))-$Z38))&lt;=$AB38)))))</f>
        <v>0</v>
      </c>
      <c r="W38" s="46" t="n">
        <f aca="false">SUM(J38:V38)</f>
        <v>0</v>
      </c>
      <c r="X38" s="2"/>
      <c r="Y38" s="104" t="n">
        <f aca="false">IF(AND(Setup!$D$16="Yes",D38&lt;&gt;"No"),1+Setup!$D$17,1)</f>
        <v>1.2</v>
      </c>
      <c r="Z38" s="94" t="n">
        <f aca="false">IF(F38="Quarterly",3,IF(F38="Annually",12,1))</f>
        <v>1</v>
      </c>
      <c r="AA38" s="94" t="n">
        <f aca="false">IF(G38="",0,YEAR(G38)*12+MONTH(G38))</f>
        <v>0</v>
      </c>
      <c r="AB38" s="93" t="n">
        <f aca="false">IF(H38="",2958465,H38)</f>
        <v>2958465</v>
      </c>
      <c r="AC38" s="95" t="str">
        <f aca="false">IF(C38="","Other overheads",C38)</f>
        <v>Other overheads</v>
      </c>
    </row>
    <row r="39" customFormat="false" ht="15" hidden="false" customHeight="false" outlineLevel="0" collapsed="false">
      <c r="A39" s="87" t="n">
        <v>31</v>
      </c>
      <c r="B39" s="55"/>
      <c r="C39" s="55"/>
      <c r="D39" s="58"/>
      <c r="E39" s="88"/>
      <c r="F39" s="58"/>
      <c r="G39" s="90"/>
      <c r="H39" s="90"/>
      <c r="I39" s="92" t="n">
        <f aca="false">N(E39)*Y39</f>
        <v>0</v>
      </c>
      <c r="J39" s="53" t="n">
        <f aca="false">IF(OR(N($E39)=0,$G39=""),0,$I39*IF($F39="Weekly",((Lists!C$21-MOD(Lists!C$21-$G39,7))&gt;=$G39)*((Lists!C$21-MOD(Lists!C$21-$G39,7))&lt;=$AB39),IF($F39="One-off",($G39&gt;Lists!C$23)*($G39&lt;=Lists!C$21),IF($F39="",0,(((Lists!C$24-$AA39)-MOD((Lists!C$24-$AA39),$Z39))&gt;=0)*(EDATE($G39,((Lists!C$24-$AA39)-MOD((Lists!C$24-$AA39),$Z39)))&gt;Lists!C$23)*(EDATE($G39,((Lists!C$24-$AA39)-MOD((Lists!C$24-$AA39),$Z39)))&lt;=Lists!C$21)*(EDATE($G39,((Lists!C$24-$AA39)-MOD((Lists!C$24-$AA39),$Z39)))&lt;=$AB39)+((((Lists!C$24-$AA39)-MOD((Lists!C$24-$AA39),$Z39))-$Z39)&gt;=0)*(EDATE($G39,(((Lists!C$24-$AA39)-MOD((Lists!C$24-$AA39),$Z39))-$Z39))&gt;Lists!C$23)*(EDATE($G39,(((Lists!C$24-$AA39)-MOD((Lists!C$24-$AA39),$Z39))-$Z39))&lt;=Lists!C$21)*(EDATE($G39,(((Lists!C$24-$AA39)-MOD((Lists!C$24-$AA39),$Z39))-$Z39))&lt;=$AB39)))))</f>
        <v>0</v>
      </c>
      <c r="K39" s="53" t="n">
        <f aca="false">IF(OR(N($E39)=0,$G39=""),0,$I39*IF($F39="Weekly",((Lists!D$21-MOD(Lists!D$21-$G39,7))&gt;=$G39)*((Lists!D$21-MOD(Lists!D$21-$G39,7))&lt;=$AB39),IF($F39="One-off",($G39&gt;Lists!D$23)*($G39&lt;=Lists!D$21),IF($F39="",0,(((Lists!D$24-$AA39)-MOD((Lists!D$24-$AA39),$Z39))&gt;=0)*(EDATE($G39,((Lists!D$24-$AA39)-MOD((Lists!D$24-$AA39),$Z39)))&gt;Lists!D$23)*(EDATE($G39,((Lists!D$24-$AA39)-MOD((Lists!D$24-$AA39),$Z39)))&lt;=Lists!D$21)*(EDATE($G39,((Lists!D$24-$AA39)-MOD((Lists!D$24-$AA39),$Z39)))&lt;=$AB39)+((((Lists!D$24-$AA39)-MOD((Lists!D$24-$AA39),$Z39))-$Z39)&gt;=0)*(EDATE($G39,(((Lists!D$24-$AA39)-MOD((Lists!D$24-$AA39),$Z39))-$Z39))&gt;Lists!D$23)*(EDATE($G39,(((Lists!D$24-$AA39)-MOD((Lists!D$24-$AA39),$Z39))-$Z39))&lt;=Lists!D$21)*(EDATE($G39,(((Lists!D$24-$AA39)-MOD((Lists!D$24-$AA39),$Z39))-$Z39))&lt;=$AB39)))))</f>
        <v>0</v>
      </c>
      <c r="L39" s="53" t="n">
        <f aca="false">IF(OR(N($E39)=0,$G39=""),0,$I39*IF($F39="Weekly",((Lists!E$21-MOD(Lists!E$21-$G39,7))&gt;=$G39)*((Lists!E$21-MOD(Lists!E$21-$G39,7))&lt;=$AB39),IF($F39="One-off",($G39&gt;Lists!E$23)*($G39&lt;=Lists!E$21),IF($F39="",0,(((Lists!E$24-$AA39)-MOD((Lists!E$24-$AA39),$Z39))&gt;=0)*(EDATE($G39,((Lists!E$24-$AA39)-MOD((Lists!E$24-$AA39),$Z39)))&gt;Lists!E$23)*(EDATE($G39,((Lists!E$24-$AA39)-MOD((Lists!E$24-$AA39),$Z39)))&lt;=Lists!E$21)*(EDATE($G39,((Lists!E$24-$AA39)-MOD((Lists!E$24-$AA39),$Z39)))&lt;=$AB39)+((((Lists!E$24-$AA39)-MOD((Lists!E$24-$AA39),$Z39))-$Z39)&gt;=0)*(EDATE($G39,(((Lists!E$24-$AA39)-MOD((Lists!E$24-$AA39),$Z39))-$Z39))&gt;Lists!E$23)*(EDATE($G39,(((Lists!E$24-$AA39)-MOD((Lists!E$24-$AA39),$Z39))-$Z39))&lt;=Lists!E$21)*(EDATE($G39,(((Lists!E$24-$AA39)-MOD((Lists!E$24-$AA39),$Z39))-$Z39))&lt;=$AB39)))))</f>
        <v>0</v>
      </c>
      <c r="M39" s="53" t="n">
        <f aca="false">IF(OR(N($E39)=0,$G39=""),0,$I39*IF($F39="Weekly",((Lists!F$21-MOD(Lists!F$21-$G39,7))&gt;=$G39)*((Lists!F$21-MOD(Lists!F$21-$G39,7))&lt;=$AB39),IF($F39="One-off",($G39&gt;Lists!F$23)*($G39&lt;=Lists!F$21),IF($F39="",0,(((Lists!F$24-$AA39)-MOD((Lists!F$24-$AA39),$Z39))&gt;=0)*(EDATE($G39,((Lists!F$24-$AA39)-MOD((Lists!F$24-$AA39),$Z39)))&gt;Lists!F$23)*(EDATE($G39,((Lists!F$24-$AA39)-MOD((Lists!F$24-$AA39),$Z39)))&lt;=Lists!F$21)*(EDATE($G39,((Lists!F$24-$AA39)-MOD((Lists!F$24-$AA39),$Z39)))&lt;=$AB39)+((((Lists!F$24-$AA39)-MOD((Lists!F$24-$AA39),$Z39))-$Z39)&gt;=0)*(EDATE($G39,(((Lists!F$24-$AA39)-MOD((Lists!F$24-$AA39),$Z39))-$Z39))&gt;Lists!F$23)*(EDATE($G39,(((Lists!F$24-$AA39)-MOD((Lists!F$24-$AA39),$Z39))-$Z39))&lt;=Lists!F$21)*(EDATE($G39,(((Lists!F$24-$AA39)-MOD((Lists!F$24-$AA39),$Z39))-$Z39))&lt;=$AB39)))))</f>
        <v>0</v>
      </c>
      <c r="N39" s="53" t="n">
        <f aca="false">IF(OR(N($E39)=0,$G39=""),0,$I39*IF($F39="Weekly",((Lists!G$21-MOD(Lists!G$21-$G39,7))&gt;=$G39)*((Lists!G$21-MOD(Lists!G$21-$G39,7))&lt;=$AB39),IF($F39="One-off",($G39&gt;Lists!G$23)*($G39&lt;=Lists!G$21),IF($F39="",0,(((Lists!G$24-$AA39)-MOD((Lists!G$24-$AA39),$Z39))&gt;=0)*(EDATE($G39,((Lists!G$24-$AA39)-MOD((Lists!G$24-$AA39),$Z39)))&gt;Lists!G$23)*(EDATE($G39,((Lists!G$24-$AA39)-MOD((Lists!G$24-$AA39),$Z39)))&lt;=Lists!G$21)*(EDATE($G39,((Lists!G$24-$AA39)-MOD((Lists!G$24-$AA39),$Z39)))&lt;=$AB39)+((((Lists!G$24-$AA39)-MOD((Lists!G$24-$AA39),$Z39))-$Z39)&gt;=0)*(EDATE($G39,(((Lists!G$24-$AA39)-MOD((Lists!G$24-$AA39),$Z39))-$Z39))&gt;Lists!G$23)*(EDATE($G39,(((Lists!G$24-$AA39)-MOD((Lists!G$24-$AA39),$Z39))-$Z39))&lt;=Lists!G$21)*(EDATE($G39,(((Lists!G$24-$AA39)-MOD((Lists!G$24-$AA39),$Z39))-$Z39))&lt;=$AB39)))))</f>
        <v>0</v>
      </c>
      <c r="O39" s="53" t="n">
        <f aca="false">IF(OR(N($E39)=0,$G39=""),0,$I39*IF($F39="Weekly",((Lists!H$21-MOD(Lists!H$21-$G39,7))&gt;=$G39)*((Lists!H$21-MOD(Lists!H$21-$G39,7))&lt;=$AB39),IF($F39="One-off",($G39&gt;Lists!H$23)*($G39&lt;=Lists!H$21),IF($F39="",0,(((Lists!H$24-$AA39)-MOD((Lists!H$24-$AA39),$Z39))&gt;=0)*(EDATE($G39,((Lists!H$24-$AA39)-MOD((Lists!H$24-$AA39),$Z39)))&gt;Lists!H$23)*(EDATE($G39,((Lists!H$24-$AA39)-MOD((Lists!H$24-$AA39),$Z39)))&lt;=Lists!H$21)*(EDATE($G39,((Lists!H$24-$AA39)-MOD((Lists!H$24-$AA39),$Z39)))&lt;=$AB39)+((((Lists!H$24-$AA39)-MOD((Lists!H$24-$AA39),$Z39))-$Z39)&gt;=0)*(EDATE($G39,(((Lists!H$24-$AA39)-MOD((Lists!H$24-$AA39),$Z39))-$Z39))&gt;Lists!H$23)*(EDATE($G39,(((Lists!H$24-$AA39)-MOD((Lists!H$24-$AA39),$Z39))-$Z39))&lt;=Lists!H$21)*(EDATE($G39,(((Lists!H$24-$AA39)-MOD((Lists!H$24-$AA39),$Z39))-$Z39))&lt;=$AB39)))))</f>
        <v>0</v>
      </c>
      <c r="P39" s="53" t="n">
        <f aca="false">IF(OR(N($E39)=0,$G39=""),0,$I39*IF($F39="Weekly",((Lists!I$21-MOD(Lists!I$21-$G39,7))&gt;=$G39)*((Lists!I$21-MOD(Lists!I$21-$G39,7))&lt;=$AB39),IF($F39="One-off",($G39&gt;Lists!I$23)*($G39&lt;=Lists!I$21),IF($F39="",0,(((Lists!I$24-$AA39)-MOD((Lists!I$24-$AA39),$Z39))&gt;=0)*(EDATE($G39,((Lists!I$24-$AA39)-MOD((Lists!I$24-$AA39),$Z39)))&gt;Lists!I$23)*(EDATE($G39,((Lists!I$24-$AA39)-MOD((Lists!I$24-$AA39),$Z39)))&lt;=Lists!I$21)*(EDATE($G39,((Lists!I$24-$AA39)-MOD((Lists!I$24-$AA39),$Z39)))&lt;=$AB39)+((((Lists!I$24-$AA39)-MOD((Lists!I$24-$AA39),$Z39))-$Z39)&gt;=0)*(EDATE($G39,(((Lists!I$24-$AA39)-MOD((Lists!I$24-$AA39),$Z39))-$Z39))&gt;Lists!I$23)*(EDATE($G39,(((Lists!I$24-$AA39)-MOD((Lists!I$24-$AA39),$Z39))-$Z39))&lt;=Lists!I$21)*(EDATE($G39,(((Lists!I$24-$AA39)-MOD((Lists!I$24-$AA39),$Z39))-$Z39))&lt;=$AB39)))))</f>
        <v>0</v>
      </c>
      <c r="Q39" s="53" t="n">
        <f aca="false">IF(OR(N($E39)=0,$G39=""),0,$I39*IF($F39="Weekly",((Lists!J$21-MOD(Lists!J$21-$G39,7))&gt;=$G39)*((Lists!J$21-MOD(Lists!J$21-$G39,7))&lt;=$AB39),IF($F39="One-off",($G39&gt;Lists!J$23)*($G39&lt;=Lists!J$21),IF($F39="",0,(((Lists!J$24-$AA39)-MOD((Lists!J$24-$AA39),$Z39))&gt;=0)*(EDATE($G39,((Lists!J$24-$AA39)-MOD((Lists!J$24-$AA39),$Z39)))&gt;Lists!J$23)*(EDATE($G39,((Lists!J$24-$AA39)-MOD((Lists!J$24-$AA39),$Z39)))&lt;=Lists!J$21)*(EDATE($G39,((Lists!J$24-$AA39)-MOD((Lists!J$24-$AA39),$Z39)))&lt;=$AB39)+((((Lists!J$24-$AA39)-MOD((Lists!J$24-$AA39),$Z39))-$Z39)&gt;=0)*(EDATE($G39,(((Lists!J$24-$AA39)-MOD((Lists!J$24-$AA39),$Z39))-$Z39))&gt;Lists!J$23)*(EDATE($G39,(((Lists!J$24-$AA39)-MOD((Lists!J$24-$AA39),$Z39))-$Z39))&lt;=Lists!J$21)*(EDATE($G39,(((Lists!J$24-$AA39)-MOD((Lists!J$24-$AA39),$Z39))-$Z39))&lt;=$AB39)))))</f>
        <v>0</v>
      </c>
      <c r="R39" s="53" t="n">
        <f aca="false">IF(OR(N($E39)=0,$G39=""),0,$I39*IF($F39="Weekly",((Lists!K$21-MOD(Lists!K$21-$G39,7))&gt;=$G39)*((Lists!K$21-MOD(Lists!K$21-$G39,7))&lt;=$AB39),IF($F39="One-off",($G39&gt;Lists!K$23)*($G39&lt;=Lists!K$21),IF($F39="",0,(((Lists!K$24-$AA39)-MOD((Lists!K$24-$AA39),$Z39))&gt;=0)*(EDATE($G39,((Lists!K$24-$AA39)-MOD((Lists!K$24-$AA39),$Z39)))&gt;Lists!K$23)*(EDATE($G39,((Lists!K$24-$AA39)-MOD((Lists!K$24-$AA39),$Z39)))&lt;=Lists!K$21)*(EDATE($G39,((Lists!K$24-$AA39)-MOD((Lists!K$24-$AA39),$Z39)))&lt;=$AB39)+((((Lists!K$24-$AA39)-MOD((Lists!K$24-$AA39),$Z39))-$Z39)&gt;=0)*(EDATE($G39,(((Lists!K$24-$AA39)-MOD((Lists!K$24-$AA39),$Z39))-$Z39))&gt;Lists!K$23)*(EDATE($G39,(((Lists!K$24-$AA39)-MOD((Lists!K$24-$AA39),$Z39))-$Z39))&lt;=Lists!K$21)*(EDATE($G39,(((Lists!K$24-$AA39)-MOD((Lists!K$24-$AA39),$Z39))-$Z39))&lt;=$AB39)))))</f>
        <v>0</v>
      </c>
      <c r="S39" s="53" t="n">
        <f aca="false">IF(OR(N($E39)=0,$G39=""),0,$I39*IF($F39="Weekly",((Lists!L$21-MOD(Lists!L$21-$G39,7))&gt;=$G39)*((Lists!L$21-MOD(Lists!L$21-$G39,7))&lt;=$AB39),IF($F39="One-off",($G39&gt;Lists!L$23)*($G39&lt;=Lists!L$21),IF($F39="",0,(((Lists!L$24-$AA39)-MOD((Lists!L$24-$AA39),$Z39))&gt;=0)*(EDATE($G39,((Lists!L$24-$AA39)-MOD((Lists!L$24-$AA39),$Z39)))&gt;Lists!L$23)*(EDATE($G39,((Lists!L$24-$AA39)-MOD((Lists!L$24-$AA39),$Z39)))&lt;=Lists!L$21)*(EDATE($G39,((Lists!L$24-$AA39)-MOD((Lists!L$24-$AA39),$Z39)))&lt;=$AB39)+((((Lists!L$24-$AA39)-MOD((Lists!L$24-$AA39),$Z39))-$Z39)&gt;=0)*(EDATE($G39,(((Lists!L$24-$AA39)-MOD((Lists!L$24-$AA39),$Z39))-$Z39))&gt;Lists!L$23)*(EDATE($G39,(((Lists!L$24-$AA39)-MOD((Lists!L$24-$AA39),$Z39))-$Z39))&lt;=Lists!L$21)*(EDATE($G39,(((Lists!L$24-$AA39)-MOD((Lists!L$24-$AA39),$Z39))-$Z39))&lt;=$AB39)))))</f>
        <v>0</v>
      </c>
      <c r="T39" s="53" t="n">
        <f aca="false">IF(OR(N($E39)=0,$G39=""),0,$I39*IF($F39="Weekly",((Lists!M$21-MOD(Lists!M$21-$G39,7))&gt;=$G39)*((Lists!M$21-MOD(Lists!M$21-$G39,7))&lt;=$AB39),IF($F39="One-off",($G39&gt;Lists!M$23)*($G39&lt;=Lists!M$21),IF($F39="",0,(((Lists!M$24-$AA39)-MOD((Lists!M$24-$AA39),$Z39))&gt;=0)*(EDATE($G39,((Lists!M$24-$AA39)-MOD((Lists!M$24-$AA39),$Z39)))&gt;Lists!M$23)*(EDATE($G39,((Lists!M$24-$AA39)-MOD((Lists!M$24-$AA39),$Z39)))&lt;=Lists!M$21)*(EDATE($G39,((Lists!M$24-$AA39)-MOD((Lists!M$24-$AA39),$Z39)))&lt;=$AB39)+((((Lists!M$24-$AA39)-MOD((Lists!M$24-$AA39),$Z39))-$Z39)&gt;=0)*(EDATE($G39,(((Lists!M$24-$AA39)-MOD((Lists!M$24-$AA39),$Z39))-$Z39))&gt;Lists!M$23)*(EDATE($G39,(((Lists!M$24-$AA39)-MOD((Lists!M$24-$AA39),$Z39))-$Z39))&lt;=Lists!M$21)*(EDATE($G39,(((Lists!M$24-$AA39)-MOD((Lists!M$24-$AA39),$Z39))-$Z39))&lt;=$AB39)))))</f>
        <v>0</v>
      </c>
      <c r="U39" s="53" t="n">
        <f aca="false">IF(OR(N($E39)=0,$G39=""),0,$I39*IF($F39="Weekly",((Lists!N$21-MOD(Lists!N$21-$G39,7))&gt;=$G39)*((Lists!N$21-MOD(Lists!N$21-$G39,7))&lt;=$AB39),IF($F39="One-off",($G39&gt;Lists!N$23)*($G39&lt;=Lists!N$21),IF($F39="",0,(((Lists!N$24-$AA39)-MOD((Lists!N$24-$AA39),$Z39))&gt;=0)*(EDATE($G39,((Lists!N$24-$AA39)-MOD((Lists!N$24-$AA39),$Z39)))&gt;Lists!N$23)*(EDATE($G39,((Lists!N$24-$AA39)-MOD((Lists!N$24-$AA39),$Z39)))&lt;=Lists!N$21)*(EDATE($G39,((Lists!N$24-$AA39)-MOD((Lists!N$24-$AA39),$Z39)))&lt;=$AB39)+((((Lists!N$24-$AA39)-MOD((Lists!N$24-$AA39),$Z39))-$Z39)&gt;=0)*(EDATE($G39,(((Lists!N$24-$AA39)-MOD((Lists!N$24-$AA39),$Z39))-$Z39))&gt;Lists!N$23)*(EDATE($G39,(((Lists!N$24-$AA39)-MOD((Lists!N$24-$AA39),$Z39))-$Z39))&lt;=Lists!N$21)*(EDATE($G39,(((Lists!N$24-$AA39)-MOD((Lists!N$24-$AA39),$Z39))-$Z39))&lt;=$AB39)))))</f>
        <v>0</v>
      </c>
      <c r="V39" s="53" t="n">
        <f aca="false">IF(OR(N($E39)=0,$G39=""),0,$I39*IF($F39="Weekly",((Lists!O$21-MOD(Lists!O$21-$G39,7))&gt;=$G39)*((Lists!O$21-MOD(Lists!O$21-$G39,7))&lt;=$AB39),IF($F39="One-off",($G39&gt;Lists!O$23)*($G39&lt;=Lists!O$21),IF($F39="",0,(((Lists!O$24-$AA39)-MOD((Lists!O$24-$AA39),$Z39))&gt;=0)*(EDATE($G39,((Lists!O$24-$AA39)-MOD((Lists!O$24-$AA39),$Z39)))&gt;Lists!O$23)*(EDATE($G39,((Lists!O$24-$AA39)-MOD((Lists!O$24-$AA39),$Z39)))&lt;=Lists!O$21)*(EDATE($G39,((Lists!O$24-$AA39)-MOD((Lists!O$24-$AA39),$Z39)))&lt;=$AB39)+((((Lists!O$24-$AA39)-MOD((Lists!O$24-$AA39),$Z39))-$Z39)&gt;=0)*(EDATE($G39,(((Lists!O$24-$AA39)-MOD((Lists!O$24-$AA39),$Z39))-$Z39))&gt;Lists!O$23)*(EDATE($G39,(((Lists!O$24-$AA39)-MOD((Lists!O$24-$AA39),$Z39))-$Z39))&lt;=Lists!O$21)*(EDATE($G39,(((Lists!O$24-$AA39)-MOD((Lists!O$24-$AA39),$Z39))-$Z39))&lt;=$AB39)))))</f>
        <v>0</v>
      </c>
      <c r="W39" s="46" t="n">
        <f aca="false">SUM(J39:V39)</f>
        <v>0</v>
      </c>
      <c r="X39" s="2"/>
      <c r="Y39" s="104" t="n">
        <f aca="false">IF(AND(Setup!$D$16="Yes",D39&lt;&gt;"No"),1+Setup!$D$17,1)</f>
        <v>1.2</v>
      </c>
      <c r="Z39" s="94" t="n">
        <f aca="false">IF(F39="Quarterly",3,IF(F39="Annually",12,1))</f>
        <v>1</v>
      </c>
      <c r="AA39" s="94" t="n">
        <f aca="false">IF(G39="",0,YEAR(G39)*12+MONTH(G39))</f>
        <v>0</v>
      </c>
      <c r="AB39" s="93" t="n">
        <f aca="false">IF(H39="",2958465,H39)</f>
        <v>2958465</v>
      </c>
      <c r="AC39" s="95" t="str">
        <f aca="false">IF(C39="","Other overheads",C39)</f>
        <v>Other overheads</v>
      </c>
    </row>
    <row r="40" customFormat="false" ht="15" hidden="false" customHeight="false" outlineLevel="0" collapsed="false">
      <c r="A40" s="87" t="n">
        <v>32</v>
      </c>
      <c r="B40" s="55"/>
      <c r="C40" s="55"/>
      <c r="D40" s="58"/>
      <c r="E40" s="88"/>
      <c r="F40" s="58"/>
      <c r="G40" s="90"/>
      <c r="H40" s="90"/>
      <c r="I40" s="92" t="n">
        <f aca="false">N(E40)*Y40</f>
        <v>0</v>
      </c>
      <c r="J40" s="53" t="n">
        <f aca="false">IF(OR(N($E40)=0,$G40=""),0,$I40*IF($F40="Weekly",((Lists!C$21-MOD(Lists!C$21-$G40,7))&gt;=$G40)*((Lists!C$21-MOD(Lists!C$21-$G40,7))&lt;=$AB40),IF($F40="One-off",($G40&gt;Lists!C$23)*($G40&lt;=Lists!C$21),IF($F40="",0,(((Lists!C$24-$AA40)-MOD((Lists!C$24-$AA40),$Z40))&gt;=0)*(EDATE($G40,((Lists!C$24-$AA40)-MOD((Lists!C$24-$AA40),$Z40)))&gt;Lists!C$23)*(EDATE($G40,((Lists!C$24-$AA40)-MOD((Lists!C$24-$AA40),$Z40)))&lt;=Lists!C$21)*(EDATE($G40,((Lists!C$24-$AA40)-MOD((Lists!C$24-$AA40),$Z40)))&lt;=$AB40)+((((Lists!C$24-$AA40)-MOD((Lists!C$24-$AA40),$Z40))-$Z40)&gt;=0)*(EDATE($G40,(((Lists!C$24-$AA40)-MOD((Lists!C$24-$AA40),$Z40))-$Z40))&gt;Lists!C$23)*(EDATE($G40,(((Lists!C$24-$AA40)-MOD((Lists!C$24-$AA40),$Z40))-$Z40))&lt;=Lists!C$21)*(EDATE($G40,(((Lists!C$24-$AA40)-MOD((Lists!C$24-$AA40),$Z40))-$Z40))&lt;=$AB40)))))</f>
        <v>0</v>
      </c>
      <c r="K40" s="53" t="n">
        <f aca="false">IF(OR(N($E40)=0,$G40=""),0,$I40*IF($F40="Weekly",((Lists!D$21-MOD(Lists!D$21-$G40,7))&gt;=$G40)*((Lists!D$21-MOD(Lists!D$21-$G40,7))&lt;=$AB40),IF($F40="One-off",($G40&gt;Lists!D$23)*($G40&lt;=Lists!D$21),IF($F40="",0,(((Lists!D$24-$AA40)-MOD((Lists!D$24-$AA40),$Z40))&gt;=0)*(EDATE($G40,((Lists!D$24-$AA40)-MOD((Lists!D$24-$AA40),$Z40)))&gt;Lists!D$23)*(EDATE($G40,((Lists!D$24-$AA40)-MOD((Lists!D$24-$AA40),$Z40)))&lt;=Lists!D$21)*(EDATE($G40,((Lists!D$24-$AA40)-MOD((Lists!D$24-$AA40),$Z40)))&lt;=$AB40)+((((Lists!D$24-$AA40)-MOD((Lists!D$24-$AA40),$Z40))-$Z40)&gt;=0)*(EDATE($G40,(((Lists!D$24-$AA40)-MOD((Lists!D$24-$AA40),$Z40))-$Z40))&gt;Lists!D$23)*(EDATE($G40,(((Lists!D$24-$AA40)-MOD((Lists!D$24-$AA40),$Z40))-$Z40))&lt;=Lists!D$21)*(EDATE($G40,(((Lists!D$24-$AA40)-MOD((Lists!D$24-$AA40),$Z40))-$Z40))&lt;=$AB40)))))</f>
        <v>0</v>
      </c>
      <c r="L40" s="53" t="n">
        <f aca="false">IF(OR(N($E40)=0,$G40=""),0,$I40*IF($F40="Weekly",((Lists!E$21-MOD(Lists!E$21-$G40,7))&gt;=$G40)*((Lists!E$21-MOD(Lists!E$21-$G40,7))&lt;=$AB40),IF($F40="One-off",($G40&gt;Lists!E$23)*($G40&lt;=Lists!E$21),IF($F40="",0,(((Lists!E$24-$AA40)-MOD((Lists!E$24-$AA40),$Z40))&gt;=0)*(EDATE($G40,((Lists!E$24-$AA40)-MOD((Lists!E$24-$AA40),$Z40)))&gt;Lists!E$23)*(EDATE($G40,((Lists!E$24-$AA40)-MOD((Lists!E$24-$AA40),$Z40)))&lt;=Lists!E$21)*(EDATE($G40,((Lists!E$24-$AA40)-MOD((Lists!E$24-$AA40),$Z40)))&lt;=$AB40)+((((Lists!E$24-$AA40)-MOD((Lists!E$24-$AA40),$Z40))-$Z40)&gt;=0)*(EDATE($G40,(((Lists!E$24-$AA40)-MOD((Lists!E$24-$AA40),$Z40))-$Z40))&gt;Lists!E$23)*(EDATE($G40,(((Lists!E$24-$AA40)-MOD((Lists!E$24-$AA40),$Z40))-$Z40))&lt;=Lists!E$21)*(EDATE($G40,(((Lists!E$24-$AA40)-MOD((Lists!E$24-$AA40),$Z40))-$Z40))&lt;=$AB40)))))</f>
        <v>0</v>
      </c>
      <c r="M40" s="53" t="n">
        <f aca="false">IF(OR(N($E40)=0,$G40=""),0,$I40*IF($F40="Weekly",((Lists!F$21-MOD(Lists!F$21-$G40,7))&gt;=$G40)*((Lists!F$21-MOD(Lists!F$21-$G40,7))&lt;=$AB40),IF($F40="One-off",($G40&gt;Lists!F$23)*($G40&lt;=Lists!F$21),IF($F40="",0,(((Lists!F$24-$AA40)-MOD((Lists!F$24-$AA40),$Z40))&gt;=0)*(EDATE($G40,((Lists!F$24-$AA40)-MOD((Lists!F$24-$AA40),$Z40)))&gt;Lists!F$23)*(EDATE($G40,((Lists!F$24-$AA40)-MOD((Lists!F$24-$AA40),$Z40)))&lt;=Lists!F$21)*(EDATE($G40,((Lists!F$24-$AA40)-MOD((Lists!F$24-$AA40),$Z40)))&lt;=$AB40)+((((Lists!F$24-$AA40)-MOD((Lists!F$24-$AA40),$Z40))-$Z40)&gt;=0)*(EDATE($G40,(((Lists!F$24-$AA40)-MOD((Lists!F$24-$AA40),$Z40))-$Z40))&gt;Lists!F$23)*(EDATE($G40,(((Lists!F$24-$AA40)-MOD((Lists!F$24-$AA40),$Z40))-$Z40))&lt;=Lists!F$21)*(EDATE($G40,(((Lists!F$24-$AA40)-MOD((Lists!F$24-$AA40),$Z40))-$Z40))&lt;=$AB40)))))</f>
        <v>0</v>
      </c>
      <c r="N40" s="53" t="n">
        <f aca="false">IF(OR(N($E40)=0,$G40=""),0,$I40*IF($F40="Weekly",((Lists!G$21-MOD(Lists!G$21-$G40,7))&gt;=$G40)*((Lists!G$21-MOD(Lists!G$21-$G40,7))&lt;=$AB40),IF($F40="One-off",($G40&gt;Lists!G$23)*($G40&lt;=Lists!G$21),IF($F40="",0,(((Lists!G$24-$AA40)-MOD((Lists!G$24-$AA40),$Z40))&gt;=0)*(EDATE($G40,((Lists!G$24-$AA40)-MOD((Lists!G$24-$AA40),$Z40)))&gt;Lists!G$23)*(EDATE($G40,((Lists!G$24-$AA40)-MOD((Lists!G$24-$AA40),$Z40)))&lt;=Lists!G$21)*(EDATE($G40,((Lists!G$24-$AA40)-MOD((Lists!G$24-$AA40),$Z40)))&lt;=$AB40)+((((Lists!G$24-$AA40)-MOD((Lists!G$24-$AA40),$Z40))-$Z40)&gt;=0)*(EDATE($G40,(((Lists!G$24-$AA40)-MOD((Lists!G$24-$AA40),$Z40))-$Z40))&gt;Lists!G$23)*(EDATE($G40,(((Lists!G$24-$AA40)-MOD((Lists!G$24-$AA40),$Z40))-$Z40))&lt;=Lists!G$21)*(EDATE($G40,(((Lists!G$24-$AA40)-MOD((Lists!G$24-$AA40),$Z40))-$Z40))&lt;=$AB40)))))</f>
        <v>0</v>
      </c>
      <c r="O40" s="53" t="n">
        <f aca="false">IF(OR(N($E40)=0,$G40=""),0,$I40*IF($F40="Weekly",((Lists!H$21-MOD(Lists!H$21-$G40,7))&gt;=$G40)*((Lists!H$21-MOD(Lists!H$21-$G40,7))&lt;=$AB40),IF($F40="One-off",($G40&gt;Lists!H$23)*($G40&lt;=Lists!H$21),IF($F40="",0,(((Lists!H$24-$AA40)-MOD((Lists!H$24-$AA40),$Z40))&gt;=0)*(EDATE($G40,((Lists!H$24-$AA40)-MOD((Lists!H$24-$AA40),$Z40)))&gt;Lists!H$23)*(EDATE($G40,((Lists!H$24-$AA40)-MOD((Lists!H$24-$AA40),$Z40)))&lt;=Lists!H$21)*(EDATE($G40,((Lists!H$24-$AA40)-MOD((Lists!H$24-$AA40),$Z40)))&lt;=$AB40)+((((Lists!H$24-$AA40)-MOD((Lists!H$24-$AA40),$Z40))-$Z40)&gt;=0)*(EDATE($G40,(((Lists!H$24-$AA40)-MOD((Lists!H$24-$AA40),$Z40))-$Z40))&gt;Lists!H$23)*(EDATE($G40,(((Lists!H$24-$AA40)-MOD((Lists!H$24-$AA40),$Z40))-$Z40))&lt;=Lists!H$21)*(EDATE($G40,(((Lists!H$24-$AA40)-MOD((Lists!H$24-$AA40),$Z40))-$Z40))&lt;=$AB40)))))</f>
        <v>0</v>
      </c>
      <c r="P40" s="53" t="n">
        <f aca="false">IF(OR(N($E40)=0,$G40=""),0,$I40*IF($F40="Weekly",((Lists!I$21-MOD(Lists!I$21-$G40,7))&gt;=$G40)*((Lists!I$21-MOD(Lists!I$21-$G40,7))&lt;=$AB40),IF($F40="One-off",($G40&gt;Lists!I$23)*($G40&lt;=Lists!I$21),IF($F40="",0,(((Lists!I$24-$AA40)-MOD((Lists!I$24-$AA40),$Z40))&gt;=0)*(EDATE($G40,((Lists!I$24-$AA40)-MOD((Lists!I$24-$AA40),$Z40)))&gt;Lists!I$23)*(EDATE($G40,((Lists!I$24-$AA40)-MOD((Lists!I$24-$AA40),$Z40)))&lt;=Lists!I$21)*(EDATE($G40,((Lists!I$24-$AA40)-MOD((Lists!I$24-$AA40),$Z40)))&lt;=$AB40)+((((Lists!I$24-$AA40)-MOD((Lists!I$24-$AA40),$Z40))-$Z40)&gt;=0)*(EDATE($G40,(((Lists!I$24-$AA40)-MOD((Lists!I$24-$AA40),$Z40))-$Z40))&gt;Lists!I$23)*(EDATE($G40,(((Lists!I$24-$AA40)-MOD((Lists!I$24-$AA40),$Z40))-$Z40))&lt;=Lists!I$21)*(EDATE($G40,(((Lists!I$24-$AA40)-MOD((Lists!I$24-$AA40),$Z40))-$Z40))&lt;=$AB40)))))</f>
        <v>0</v>
      </c>
      <c r="Q40" s="53" t="n">
        <f aca="false">IF(OR(N($E40)=0,$G40=""),0,$I40*IF($F40="Weekly",((Lists!J$21-MOD(Lists!J$21-$G40,7))&gt;=$G40)*((Lists!J$21-MOD(Lists!J$21-$G40,7))&lt;=$AB40),IF($F40="One-off",($G40&gt;Lists!J$23)*($G40&lt;=Lists!J$21),IF($F40="",0,(((Lists!J$24-$AA40)-MOD((Lists!J$24-$AA40),$Z40))&gt;=0)*(EDATE($G40,((Lists!J$24-$AA40)-MOD((Lists!J$24-$AA40),$Z40)))&gt;Lists!J$23)*(EDATE($G40,((Lists!J$24-$AA40)-MOD((Lists!J$24-$AA40),$Z40)))&lt;=Lists!J$21)*(EDATE($G40,((Lists!J$24-$AA40)-MOD((Lists!J$24-$AA40),$Z40)))&lt;=$AB40)+((((Lists!J$24-$AA40)-MOD((Lists!J$24-$AA40),$Z40))-$Z40)&gt;=0)*(EDATE($G40,(((Lists!J$24-$AA40)-MOD((Lists!J$24-$AA40),$Z40))-$Z40))&gt;Lists!J$23)*(EDATE($G40,(((Lists!J$24-$AA40)-MOD((Lists!J$24-$AA40),$Z40))-$Z40))&lt;=Lists!J$21)*(EDATE($G40,(((Lists!J$24-$AA40)-MOD((Lists!J$24-$AA40),$Z40))-$Z40))&lt;=$AB40)))))</f>
        <v>0</v>
      </c>
      <c r="R40" s="53" t="n">
        <f aca="false">IF(OR(N($E40)=0,$G40=""),0,$I40*IF($F40="Weekly",((Lists!K$21-MOD(Lists!K$21-$G40,7))&gt;=$G40)*((Lists!K$21-MOD(Lists!K$21-$G40,7))&lt;=$AB40),IF($F40="One-off",($G40&gt;Lists!K$23)*($G40&lt;=Lists!K$21),IF($F40="",0,(((Lists!K$24-$AA40)-MOD((Lists!K$24-$AA40),$Z40))&gt;=0)*(EDATE($G40,((Lists!K$24-$AA40)-MOD((Lists!K$24-$AA40),$Z40)))&gt;Lists!K$23)*(EDATE($G40,((Lists!K$24-$AA40)-MOD((Lists!K$24-$AA40),$Z40)))&lt;=Lists!K$21)*(EDATE($G40,((Lists!K$24-$AA40)-MOD((Lists!K$24-$AA40),$Z40)))&lt;=$AB40)+((((Lists!K$24-$AA40)-MOD((Lists!K$24-$AA40),$Z40))-$Z40)&gt;=0)*(EDATE($G40,(((Lists!K$24-$AA40)-MOD((Lists!K$24-$AA40),$Z40))-$Z40))&gt;Lists!K$23)*(EDATE($G40,(((Lists!K$24-$AA40)-MOD((Lists!K$24-$AA40),$Z40))-$Z40))&lt;=Lists!K$21)*(EDATE($G40,(((Lists!K$24-$AA40)-MOD((Lists!K$24-$AA40),$Z40))-$Z40))&lt;=$AB40)))))</f>
        <v>0</v>
      </c>
      <c r="S40" s="53" t="n">
        <f aca="false">IF(OR(N($E40)=0,$G40=""),0,$I40*IF($F40="Weekly",((Lists!L$21-MOD(Lists!L$21-$G40,7))&gt;=$G40)*((Lists!L$21-MOD(Lists!L$21-$G40,7))&lt;=$AB40),IF($F40="One-off",($G40&gt;Lists!L$23)*($G40&lt;=Lists!L$21),IF($F40="",0,(((Lists!L$24-$AA40)-MOD((Lists!L$24-$AA40),$Z40))&gt;=0)*(EDATE($G40,((Lists!L$24-$AA40)-MOD((Lists!L$24-$AA40),$Z40)))&gt;Lists!L$23)*(EDATE($G40,((Lists!L$24-$AA40)-MOD((Lists!L$24-$AA40),$Z40)))&lt;=Lists!L$21)*(EDATE($G40,((Lists!L$24-$AA40)-MOD((Lists!L$24-$AA40),$Z40)))&lt;=$AB40)+((((Lists!L$24-$AA40)-MOD((Lists!L$24-$AA40),$Z40))-$Z40)&gt;=0)*(EDATE($G40,(((Lists!L$24-$AA40)-MOD((Lists!L$24-$AA40),$Z40))-$Z40))&gt;Lists!L$23)*(EDATE($G40,(((Lists!L$24-$AA40)-MOD((Lists!L$24-$AA40),$Z40))-$Z40))&lt;=Lists!L$21)*(EDATE($G40,(((Lists!L$24-$AA40)-MOD((Lists!L$24-$AA40),$Z40))-$Z40))&lt;=$AB40)))))</f>
        <v>0</v>
      </c>
      <c r="T40" s="53" t="n">
        <f aca="false">IF(OR(N($E40)=0,$G40=""),0,$I40*IF($F40="Weekly",((Lists!M$21-MOD(Lists!M$21-$G40,7))&gt;=$G40)*((Lists!M$21-MOD(Lists!M$21-$G40,7))&lt;=$AB40),IF($F40="One-off",($G40&gt;Lists!M$23)*($G40&lt;=Lists!M$21),IF($F40="",0,(((Lists!M$24-$AA40)-MOD((Lists!M$24-$AA40),$Z40))&gt;=0)*(EDATE($G40,((Lists!M$24-$AA40)-MOD((Lists!M$24-$AA40),$Z40)))&gt;Lists!M$23)*(EDATE($G40,((Lists!M$24-$AA40)-MOD((Lists!M$24-$AA40),$Z40)))&lt;=Lists!M$21)*(EDATE($G40,((Lists!M$24-$AA40)-MOD((Lists!M$24-$AA40),$Z40)))&lt;=$AB40)+((((Lists!M$24-$AA40)-MOD((Lists!M$24-$AA40),$Z40))-$Z40)&gt;=0)*(EDATE($G40,(((Lists!M$24-$AA40)-MOD((Lists!M$24-$AA40),$Z40))-$Z40))&gt;Lists!M$23)*(EDATE($G40,(((Lists!M$24-$AA40)-MOD((Lists!M$24-$AA40),$Z40))-$Z40))&lt;=Lists!M$21)*(EDATE($G40,(((Lists!M$24-$AA40)-MOD((Lists!M$24-$AA40),$Z40))-$Z40))&lt;=$AB40)))))</f>
        <v>0</v>
      </c>
      <c r="U40" s="53" t="n">
        <f aca="false">IF(OR(N($E40)=0,$G40=""),0,$I40*IF($F40="Weekly",((Lists!N$21-MOD(Lists!N$21-$G40,7))&gt;=$G40)*((Lists!N$21-MOD(Lists!N$21-$G40,7))&lt;=$AB40),IF($F40="One-off",($G40&gt;Lists!N$23)*($G40&lt;=Lists!N$21),IF($F40="",0,(((Lists!N$24-$AA40)-MOD((Lists!N$24-$AA40),$Z40))&gt;=0)*(EDATE($G40,((Lists!N$24-$AA40)-MOD((Lists!N$24-$AA40),$Z40)))&gt;Lists!N$23)*(EDATE($G40,((Lists!N$24-$AA40)-MOD((Lists!N$24-$AA40),$Z40)))&lt;=Lists!N$21)*(EDATE($G40,((Lists!N$24-$AA40)-MOD((Lists!N$24-$AA40),$Z40)))&lt;=$AB40)+((((Lists!N$24-$AA40)-MOD((Lists!N$24-$AA40),$Z40))-$Z40)&gt;=0)*(EDATE($G40,(((Lists!N$24-$AA40)-MOD((Lists!N$24-$AA40),$Z40))-$Z40))&gt;Lists!N$23)*(EDATE($G40,(((Lists!N$24-$AA40)-MOD((Lists!N$24-$AA40),$Z40))-$Z40))&lt;=Lists!N$21)*(EDATE($G40,(((Lists!N$24-$AA40)-MOD((Lists!N$24-$AA40),$Z40))-$Z40))&lt;=$AB40)))))</f>
        <v>0</v>
      </c>
      <c r="V40" s="53" t="n">
        <f aca="false">IF(OR(N($E40)=0,$G40=""),0,$I40*IF($F40="Weekly",((Lists!O$21-MOD(Lists!O$21-$G40,7))&gt;=$G40)*((Lists!O$21-MOD(Lists!O$21-$G40,7))&lt;=$AB40),IF($F40="One-off",($G40&gt;Lists!O$23)*($G40&lt;=Lists!O$21),IF($F40="",0,(((Lists!O$24-$AA40)-MOD((Lists!O$24-$AA40),$Z40))&gt;=0)*(EDATE($G40,((Lists!O$24-$AA40)-MOD((Lists!O$24-$AA40),$Z40)))&gt;Lists!O$23)*(EDATE($G40,((Lists!O$24-$AA40)-MOD((Lists!O$24-$AA40),$Z40)))&lt;=Lists!O$21)*(EDATE($G40,((Lists!O$24-$AA40)-MOD((Lists!O$24-$AA40),$Z40)))&lt;=$AB40)+((((Lists!O$24-$AA40)-MOD((Lists!O$24-$AA40),$Z40))-$Z40)&gt;=0)*(EDATE($G40,(((Lists!O$24-$AA40)-MOD((Lists!O$24-$AA40),$Z40))-$Z40))&gt;Lists!O$23)*(EDATE($G40,(((Lists!O$24-$AA40)-MOD((Lists!O$24-$AA40),$Z40))-$Z40))&lt;=Lists!O$21)*(EDATE($G40,(((Lists!O$24-$AA40)-MOD((Lists!O$24-$AA40),$Z40))-$Z40))&lt;=$AB40)))))</f>
        <v>0</v>
      </c>
      <c r="W40" s="46" t="n">
        <f aca="false">SUM(J40:V40)</f>
        <v>0</v>
      </c>
      <c r="X40" s="2"/>
      <c r="Y40" s="104" t="n">
        <f aca="false">IF(AND(Setup!$D$16="Yes",D40&lt;&gt;"No"),1+Setup!$D$17,1)</f>
        <v>1.2</v>
      </c>
      <c r="Z40" s="94" t="n">
        <f aca="false">IF(F40="Quarterly",3,IF(F40="Annually",12,1))</f>
        <v>1</v>
      </c>
      <c r="AA40" s="94" t="n">
        <f aca="false">IF(G40="",0,YEAR(G40)*12+MONTH(G40))</f>
        <v>0</v>
      </c>
      <c r="AB40" s="93" t="n">
        <f aca="false">IF(H40="",2958465,H40)</f>
        <v>2958465</v>
      </c>
      <c r="AC40" s="95" t="str">
        <f aca="false">IF(C40="","Other overheads",C40)</f>
        <v>Other overheads</v>
      </c>
    </row>
    <row r="41" customFormat="false" ht="15" hidden="false" customHeight="false" outlineLevel="0" collapsed="false">
      <c r="A41" s="87" t="n">
        <v>33</v>
      </c>
      <c r="B41" s="55"/>
      <c r="C41" s="55"/>
      <c r="D41" s="58"/>
      <c r="E41" s="88"/>
      <c r="F41" s="58"/>
      <c r="G41" s="90"/>
      <c r="H41" s="90"/>
      <c r="I41" s="92" t="n">
        <f aca="false">N(E41)*Y41</f>
        <v>0</v>
      </c>
      <c r="J41" s="53" t="n">
        <f aca="false">IF(OR(N($E41)=0,$G41=""),0,$I41*IF($F41="Weekly",((Lists!C$21-MOD(Lists!C$21-$G41,7))&gt;=$G41)*((Lists!C$21-MOD(Lists!C$21-$G41,7))&lt;=$AB41),IF($F41="One-off",($G41&gt;Lists!C$23)*($G41&lt;=Lists!C$21),IF($F41="",0,(((Lists!C$24-$AA41)-MOD((Lists!C$24-$AA41),$Z41))&gt;=0)*(EDATE($G41,((Lists!C$24-$AA41)-MOD((Lists!C$24-$AA41),$Z41)))&gt;Lists!C$23)*(EDATE($G41,((Lists!C$24-$AA41)-MOD((Lists!C$24-$AA41),$Z41)))&lt;=Lists!C$21)*(EDATE($G41,((Lists!C$24-$AA41)-MOD((Lists!C$24-$AA41),$Z41)))&lt;=$AB41)+((((Lists!C$24-$AA41)-MOD((Lists!C$24-$AA41),$Z41))-$Z41)&gt;=0)*(EDATE($G41,(((Lists!C$24-$AA41)-MOD((Lists!C$24-$AA41),$Z41))-$Z41))&gt;Lists!C$23)*(EDATE($G41,(((Lists!C$24-$AA41)-MOD((Lists!C$24-$AA41),$Z41))-$Z41))&lt;=Lists!C$21)*(EDATE($G41,(((Lists!C$24-$AA41)-MOD((Lists!C$24-$AA41),$Z41))-$Z41))&lt;=$AB41)))))</f>
        <v>0</v>
      </c>
      <c r="K41" s="53" t="n">
        <f aca="false">IF(OR(N($E41)=0,$G41=""),0,$I41*IF($F41="Weekly",((Lists!D$21-MOD(Lists!D$21-$G41,7))&gt;=$G41)*((Lists!D$21-MOD(Lists!D$21-$G41,7))&lt;=$AB41),IF($F41="One-off",($G41&gt;Lists!D$23)*($G41&lt;=Lists!D$21),IF($F41="",0,(((Lists!D$24-$AA41)-MOD((Lists!D$24-$AA41),$Z41))&gt;=0)*(EDATE($G41,((Lists!D$24-$AA41)-MOD((Lists!D$24-$AA41),$Z41)))&gt;Lists!D$23)*(EDATE($G41,((Lists!D$24-$AA41)-MOD((Lists!D$24-$AA41),$Z41)))&lt;=Lists!D$21)*(EDATE($G41,((Lists!D$24-$AA41)-MOD((Lists!D$24-$AA41),$Z41)))&lt;=$AB41)+((((Lists!D$24-$AA41)-MOD((Lists!D$24-$AA41),$Z41))-$Z41)&gt;=0)*(EDATE($G41,(((Lists!D$24-$AA41)-MOD((Lists!D$24-$AA41),$Z41))-$Z41))&gt;Lists!D$23)*(EDATE($G41,(((Lists!D$24-$AA41)-MOD((Lists!D$24-$AA41),$Z41))-$Z41))&lt;=Lists!D$21)*(EDATE($G41,(((Lists!D$24-$AA41)-MOD((Lists!D$24-$AA41),$Z41))-$Z41))&lt;=$AB41)))))</f>
        <v>0</v>
      </c>
      <c r="L41" s="53" t="n">
        <f aca="false">IF(OR(N($E41)=0,$G41=""),0,$I41*IF($F41="Weekly",((Lists!E$21-MOD(Lists!E$21-$G41,7))&gt;=$G41)*((Lists!E$21-MOD(Lists!E$21-$G41,7))&lt;=$AB41),IF($F41="One-off",($G41&gt;Lists!E$23)*($G41&lt;=Lists!E$21),IF($F41="",0,(((Lists!E$24-$AA41)-MOD((Lists!E$24-$AA41),$Z41))&gt;=0)*(EDATE($G41,((Lists!E$24-$AA41)-MOD((Lists!E$24-$AA41),$Z41)))&gt;Lists!E$23)*(EDATE($G41,((Lists!E$24-$AA41)-MOD((Lists!E$24-$AA41),$Z41)))&lt;=Lists!E$21)*(EDATE($G41,((Lists!E$24-$AA41)-MOD((Lists!E$24-$AA41),$Z41)))&lt;=$AB41)+((((Lists!E$24-$AA41)-MOD((Lists!E$24-$AA41),$Z41))-$Z41)&gt;=0)*(EDATE($G41,(((Lists!E$24-$AA41)-MOD((Lists!E$24-$AA41),$Z41))-$Z41))&gt;Lists!E$23)*(EDATE($G41,(((Lists!E$24-$AA41)-MOD((Lists!E$24-$AA41),$Z41))-$Z41))&lt;=Lists!E$21)*(EDATE($G41,(((Lists!E$24-$AA41)-MOD((Lists!E$24-$AA41),$Z41))-$Z41))&lt;=$AB41)))))</f>
        <v>0</v>
      </c>
      <c r="M41" s="53" t="n">
        <f aca="false">IF(OR(N($E41)=0,$G41=""),0,$I41*IF($F41="Weekly",((Lists!F$21-MOD(Lists!F$21-$G41,7))&gt;=$G41)*((Lists!F$21-MOD(Lists!F$21-$G41,7))&lt;=$AB41),IF($F41="One-off",($G41&gt;Lists!F$23)*($G41&lt;=Lists!F$21),IF($F41="",0,(((Lists!F$24-$AA41)-MOD((Lists!F$24-$AA41),$Z41))&gt;=0)*(EDATE($G41,((Lists!F$24-$AA41)-MOD((Lists!F$24-$AA41),$Z41)))&gt;Lists!F$23)*(EDATE($G41,((Lists!F$24-$AA41)-MOD((Lists!F$24-$AA41),$Z41)))&lt;=Lists!F$21)*(EDATE($G41,((Lists!F$24-$AA41)-MOD((Lists!F$24-$AA41),$Z41)))&lt;=$AB41)+((((Lists!F$24-$AA41)-MOD((Lists!F$24-$AA41),$Z41))-$Z41)&gt;=0)*(EDATE($G41,(((Lists!F$24-$AA41)-MOD((Lists!F$24-$AA41),$Z41))-$Z41))&gt;Lists!F$23)*(EDATE($G41,(((Lists!F$24-$AA41)-MOD((Lists!F$24-$AA41),$Z41))-$Z41))&lt;=Lists!F$21)*(EDATE($G41,(((Lists!F$24-$AA41)-MOD((Lists!F$24-$AA41),$Z41))-$Z41))&lt;=$AB41)))))</f>
        <v>0</v>
      </c>
      <c r="N41" s="53" t="n">
        <f aca="false">IF(OR(N($E41)=0,$G41=""),0,$I41*IF($F41="Weekly",((Lists!G$21-MOD(Lists!G$21-$G41,7))&gt;=$G41)*((Lists!G$21-MOD(Lists!G$21-$G41,7))&lt;=$AB41),IF($F41="One-off",($G41&gt;Lists!G$23)*($G41&lt;=Lists!G$21),IF($F41="",0,(((Lists!G$24-$AA41)-MOD((Lists!G$24-$AA41),$Z41))&gt;=0)*(EDATE($G41,((Lists!G$24-$AA41)-MOD((Lists!G$24-$AA41),$Z41)))&gt;Lists!G$23)*(EDATE($G41,((Lists!G$24-$AA41)-MOD((Lists!G$24-$AA41),$Z41)))&lt;=Lists!G$21)*(EDATE($G41,((Lists!G$24-$AA41)-MOD((Lists!G$24-$AA41),$Z41)))&lt;=$AB41)+((((Lists!G$24-$AA41)-MOD((Lists!G$24-$AA41),$Z41))-$Z41)&gt;=0)*(EDATE($G41,(((Lists!G$24-$AA41)-MOD((Lists!G$24-$AA41),$Z41))-$Z41))&gt;Lists!G$23)*(EDATE($G41,(((Lists!G$24-$AA41)-MOD((Lists!G$24-$AA41),$Z41))-$Z41))&lt;=Lists!G$21)*(EDATE($G41,(((Lists!G$24-$AA41)-MOD((Lists!G$24-$AA41),$Z41))-$Z41))&lt;=$AB41)))))</f>
        <v>0</v>
      </c>
      <c r="O41" s="53" t="n">
        <f aca="false">IF(OR(N($E41)=0,$G41=""),0,$I41*IF($F41="Weekly",((Lists!H$21-MOD(Lists!H$21-$G41,7))&gt;=$G41)*((Lists!H$21-MOD(Lists!H$21-$G41,7))&lt;=$AB41),IF($F41="One-off",($G41&gt;Lists!H$23)*($G41&lt;=Lists!H$21),IF($F41="",0,(((Lists!H$24-$AA41)-MOD((Lists!H$24-$AA41),$Z41))&gt;=0)*(EDATE($G41,((Lists!H$24-$AA41)-MOD((Lists!H$24-$AA41),$Z41)))&gt;Lists!H$23)*(EDATE($G41,((Lists!H$24-$AA41)-MOD((Lists!H$24-$AA41),$Z41)))&lt;=Lists!H$21)*(EDATE($G41,((Lists!H$24-$AA41)-MOD((Lists!H$24-$AA41),$Z41)))&lt;=$AB41)+((((Lists!H$24-$AA41)-MOD((Lists!H$24-$AA41),$Z41))-$Z41)&gt;=0)*(EDATE($G41,(((Lists!H$24-$AA41)-MOD((Lists!H$24-$AA41),$Z41))-$Z41))&gt;Lists!H$23)*(EDATE($G41,(((Lists!H$24-$AA41)-MOD((Lists!H$24-$AA41),$Z41))-$Z41))&lt;=Lists!H$21)*(EDATE($G41,(((Lists!H$24-$AA41)-MOD((Lists!H$24-$AA41),$Z41))-$Z41))&lt;=$AB41)))))</f>
        <v>0</v>
      </c>
      <c r="P41" s="53" t="n">
        <f aca="false">IF(OR(N($E41)=0,$G41=""),0,$I41*IF($F41="Weekly",((Lists!I$21-MOD(Lists!I$21-$G41,7))&gt;=$G41)*((Lists!I$21-MOD(Lists!I$21-$G41,7))&lt;=$AB41),IF($F41="One-off",($G41&gt;Lists!I$23)*($G41&lt;=Lists!I$21),IF($F41="",0,(((Lists!I$24-$AA41)-MOD((Lists!I$24-$AA41),$Z41))&gt;=0)*(EDATE($G41,((Lists!I$24-$AA41)-MOD((Lists!I$24-$AA41),$Z41)))&gt;Lists!I$23)*(EDATE($G41,((Lists!I$24-$AA41)-MOD((Lists!I$24-$AA41),$Z41)))&lt;=Lists!I$21)*(EDATE($G41,((Lists!I$24-$AA41)-MOD((Lists!I$24-$AA41),$Z41)))&lt;=$AB41)+((((Lists!I$24-$AA41)-MOD((Lists!I$24-$AA41),$Z41))-$Z41)&gt;=0)*(EDATE($G41,(((Lists!I$24-$AA41)-MOD((Lists!I$24-$AA41),$Z41))-$Z41))&gt;Lists!I$23)*(EDATE($G41,(((Lists!I$24-$AA41)-MOD((Lists!I$24-$AA41),$Z41))-$Z41))&lt;=Lists!I$21)*(EDATE($G41,(((Lists!I$24-$AA41)-MOD((Lists!I$24-$AA41),$Z41))-$Z41))&lt;=$AB41)))))</f>
        <v>0</v>
      </c>
      <c r="Q41" s="53" t="n">
        <f aca="false">IF(OR(N($E41)=0,$G41=""),0,$I41*IF($F41="Weekly",((Lists!J$21-MOD(Lists!J$21-$G41,7))&gt;=$G41)*((Lists!J$21-MOD(Lists!J$21-$G41,7))&lt;=$AB41),IF($F41="One-off",($G41&gt;Lists!J$23)*($G41&lt;=Lists!J$21),IF($F41="",0,(((Lists!J$24-$AA41)-MOD((Lists!J$24-$AA41),$Z41))&gt;=0)*(EDATE($G41,((Lists!J$24-$AA41)-MOD((Lists!J$24-$AA41),$Z41)))&gt;Lists!J$23)*(EDATE($G41,((Lists!J$24-$AA41)-MOD((Lists!J$24-$AA41),$Z41)))&lt;=Lists!J$21)*(EDATE($G41,((Lists!J$24-$AA41)-MOD((Lists!J$24-$AA41),$Z41)))&lt;=$AB41)+((((Lists!J$24-$AA41)-MOD((Lists!J$24-$AA41),$Z41))-$Z41)&gt;=0)*(EDATE($G41,(((Lists!J$24-$AA41)-MOD((Lists!J$24-$AA41),$Z41))-$Z41))&gt;Lists!J$23)*(EDATE($G41,(((Lists!J$24-$AA41)-MOD((Lists!J$24-$AA41),$Z41))-$Z41))&lt;=Lists!J$21)*(EDATE($G41,(((Lists!J$24-$AA41)-MOD((Lists!J$24-$AA41),$Z41))-$Z41))&lt;=$AB41)))))</f>
        <v>0</v>
      </c>
      <c r="R41" s="53" t="n">
        <f aca="false">IF(OR(N($E41)=0,$G41=""),0,$I41*IF($F41="Weekly",((Lists!K$21-MOD(Lists!K$21-$G41,7))&gt;=$G41)*((Lists!K$21-MOD(Lists!K$21-$G41,7))&lt;=$AB41),IF($F41="One-off",($G41&gt;Lists!K$23)*($G41&lt;=Lists!K$21),IF($F41="",0,(((Lists!K$24-$AA41)-MOD((Lists!K$24-$AA41),$Z41))&gt;=0)*(EDATE($G41,((Lists!K$24-$AA41)-MOD((Lists!K$24-$AA41),$Z41)))&gt;Lists!K$23)*(EDATE($G41,((Lists!K$24-$AA41)-MOD((Lists!K$24-$AA41),$Z41)))&lt;=Lists!K$21)*(EDATE($G41,((Lists!K$24-$AA41)-MOD((Lists!K$24-$AA41),$Z41)))&lt;=$AB41)+((((Lists!K$24-$AA41)-MOD((Lists!K$24-$AA41),$Z41))-$Z41)&gt;=0)*(EDATE($G41,(((Lists!K$24-$AA41)-MOD((Lists!K$24-$AA41),$Z41))-$Z41))&gt;Lists!K$23)*(EDATE($G41,(((Lists!K$24-$AA41)-MOD((Lists!K$24-$AA41),$Z41))-$Z41))&lt;=Lists!K$21)*(EDATE($G41,(((Lists!K$24-$AA41)-MOD((Lists!K$24-$AA41),$Z41))-$Z41))&lt;=$AB41)))))</f>
        <v>0</v>
      </c>
      <c r="S41" s="53" t="n">
        <f aca="false">IF(OR(N($E41)=0,$G41=""),0,$I41*IF($F41="Weekly",((Lists!L$21-MOD(Lists!L$21-$G41,7))&gt;=$G41)*((Lists!L$21-MOD(Lists!L$21-$G41,7))&lt;=$AB41),IF($F41="One-off",($G41&gt;Lists!L$23)*($G41&lt;=Lists!L$21),IF($F41="",0,(((Lists!L$24-$AA41)-MOD((Lists!L$24-$AA41),$Z41))&gt;=0)*(EDATE($G41,((Lists!L$24-$AA41)-MOD((Lists!L$24-$AA41),$Z41)))&gt;Lists!L$23)*(EDATE($G41,((Lists!L$24-$AA41)-MOD((Lists!L$24-$AA41),$Z41)))&lt;=Lists!L$21)*(EDATE($G41,((Lists!L$24-$AA41)-MOD((Lists!L$24-$AA41),$Z41)))&lt;=$AB41)+((((Lists!L$24-$AA41)-MOD((Lists!L$24-$AA41),$Z41))-$Z41)&gt;=0)*(EDATE($G41,(((Lists!L$24-$AA41)-MOD((Lists!L$24-$AA41),$Z41))-$Z41))&gt;Lists!L$23)*(EDATE($G41,(((Lists!L$24-$AA41)-MOD((Lists!L$24-$AA41),$Z41))-$Z41))&lt;=Lists!L$21)*(EDATE($G41,(((Lists!L$24-$AA41)-MOD((Lists!L$24-$AA41),$Z41))-$Z41))&lt;=$AB41)))))</f>
        <v>0</v>
      </c>
      <c r="T41" s="53" t="n">
        <f aca="false">IF(OR(N($E41)=0,$G41=""),0,$I41*IF($F41="Weekly",((Lists!M$21-MOD(Lists!M$21-$G41,7))&gt;=$G41)*((Lists!M$21-MOD(Lists!M$21-$G41,7))&lt;=$AB41),IF($F41="One-off",($G41&gt;Lists!M$23)*($G41&lt;=Lists!M$21),IF($F41="",0,(((Lists!M$24-$AA41)-MOD((Lists!M$24-$AA41),$Z41))&gt;=0)*(EDATE($G41,((Lists!M$24-$AA41)-MOD((Lists!M$24-$AA41),$Z41)))&gt;Lists!M$23)*(EDATE($G41,((Lists!M$24-$AA41)-MOD((Lists!M$24-$AA41),$Z41)))&lt;=Lists!M$21)*(EDATE($G41,((Lists!M$24-$AA41)-MOD((Lists!M$24-$AA41),$Z41)))&lt;=$AB41)+((((Lists!M$24-$AA41)-MOD((Lists!M$24-$AA41),$Z41))-$Z41)&gt;=0)*(EDATE($G41,(((Lists!M$24-$AA41)-MOD((Lists!M$24-$AA41),$Z41))-$Z41))&gt;Lists!M$23)*(EDATE($G41,(((Lists!M$24-$AA41)-MOD((Lists!M$24-$AA41),$Z41))-$Z41))&lt;=Lists!M$21)*(EDATE($G41,(((Lists!M$24-$AA41)-MOD((Lists!M$24-$AA41),$Z41))-$Z41))&lt;=$AB41)))))</f>
        <v>0</v>
      </c>
      <c r="U41" s="53" t="n">
        <f aca="false">IF(OR(N($E41)=0,$G41=""),0,$I41*IF($F41="Weekly",((Lists!N$21-MOD(Lists!N$21-$G41,7))&gt;=$G41)*((Lists!N$21-MOD(Lists!N$21-$G41,7))&lt;=$AB41),IF($F41="One-off",($G41&gt;Lists!N$23)*($G41&lt;=Lists!N$21),IF($F41="",0,(((Lists!N$24-$AA41)-MOD((Lists!N$24-$AA41),$Z41))&gt;=0)*(EDATE($G41,((Lists!N$24-$AA41)-MOD((Lists!N$24-$AA41),$Z41)))&gt;Lists!N$23)*(EDATE($G41,((Lists!N$24-$AA41)-MOD((Lists!N$24-$AA41),$Z41)))&lt;=Lists!N$21)*(EDATE($G41,((Lists!N$24-$AA41)-MOD((Lists!N$24-$AA41),$Z41)))&lt;=$AB41)+((((Lists!N$24-$AA41)-MOD((Lists!N$24-$AA41),$Z41))-$Z41)&gt;=0)*(EDATE($G41,(((Lists!N$24-$AA41)-MOD((Lists!N$24-$AA41),$Z41))-$Z41))&gt;Lists!N$23)*(EDATE($G41,(((Lists!N$24-$AA41)-MOD((Lists!N$24-$AA41),$Z41))-$Z41))&lt;=Lists!N$21)*(EDATE($G41,(((Lists!N$24-$AA41)-MOD((Lists!N$24-$AA41),$Z41))-$Z41))&lt;=$AB41)))))</f>
        <v>0</v>
      </c>
      <c r="V41" s="53" t="n">
        <f aca="false">IF(OR(N($E41)=0,$G41=""),0,$I41*IF($F41="Weekly",((Lists!O$21-MOD(Lists!O$21-$G41,7))&gt;=$G41)*((Lists!O$21-MOD(Lists!O$21-$G41,7))&lt;=$AB41),IF($F41="One-off",($G41&gt;Lists!O$23)*($G41&lt;=Lists!O$21),IF($F41="",0,(((Lists!O$24-$AA41)-MOD((Lists!O$24-$AA41),$Z41))&gt;=0)*(EDATE($G41,((Lists!O$24-$AA41)-MOD((Lists!O$24-$AA41),$Z41)))&gt;Lists!O$23)*(EDATE($G41,((Lists!O$24-$AA41)-MOD((Lists!O$24-$AA41),$Z41)))&lt;=Lists!O$21)*(EDATE($G41,((Lists!O$24-$AA41)-MOD((Lists!O$24-$AA41),$Z41)))&lt;=$AB41)+((((Lists!O$24-$AA41)-MOD((Lists!O$24-$AA41),$Z41))-$Z41)&gt;=0)*(EDATE($G41,(((Lists!O$24-$AA41)-MOD((Lists!O$24-$AA41),$Z41))-$Z41))&gt;Lists!O$23)*(EDATE($G41,(((Lists!O$24-$AA41)-MOD((Lists!O$24-$AA41),$Z41))-$Z41))&lt;=Lists!O$21)*(EDATE($G41,(((Lists!O$24-$AA41)-MOD((Lists!O$24-$AA41),$Z41))-$Z41))&lt;=$AB41)))))</f>
        <v>0</v>
      </c>
      <c r="W41" s="46" t="n">
        <f aca="false">SUM(J41:V41)</f>
        <v>0</v>
      </c>
      <c r="X41" s="2"/>
      <c r="Y41" s="104" t="n">
        <f aca="false">IF(AND(Setup!$D$16="Yes",D41&lt;&gt;"No"),1+Setup!$D$17,1)</f>
        <v>1.2</v>
      </c>
      <c r="Z41" s="94" t="n">
        <f aca="false">IF(F41="Quarterly",3,IF(F41="Annually",12,1))</f>
        <v>1</v>
      </c>
      <c r="AA41" s="94" t="n">
        <f aca="false">IF(G41="",0,YEAR(G41)*12+MONTH(G41))</f>
        <v>0</v>
      </c>
      <c r="AB41" s="93" t="n">
        <f aca="false">IF(H41="",2958465,H41)</f>
        <v>2958465</v>
      </c>
      <c r="AC41" s="95" t="str">
        <f aca="false">IF(C41="","Other overheads",C41)</f>
        <v>Other overheads</v>
      </c>
    </row>
    <row r="42" customFormat="false" ht="15" hidden="false" customHeight="false" outlineLevel="0" collapsed="false">
      <c r="A42" s="87" t="n">
        <v>34</v>
      </c>
      <c r="B42" s="55"/>
      <c r="C42" s="55"/>
      <c r="D42" s="58"/>
      <c r="E42" s="88"/>
      <c r="F42" s="58"/>
      <c r="G42" s="90"/>
      <c r="H42" s="90"/>
      <c r="I42" s="92" t="n">
        <f aca="false">N(E42)*Y42</f>
        <v>0</v>
      </c>
      <c r="J42" s="53" t="n">
        <f aca="false">IF(OR(N($E42)=0,$G42=""),0,$I42*IF($F42="Weekly",((Lists!C$21-MOD(Lists!C$21-$G42,7))&gt;=$G42)*((Lists!C$21-MOD(Lists!C$21-$G42,7))&lt;=$AB42),IF($F42="One-off",($G42&gt;Lists!C$23)*($G42&lt;=Lists!C$21),IF($F42="",0,(((Lists!C$24-$AA42)-MOD((Lists!C$24-$AA42),$Z42))&gt;=0)*(EDATE($G42,((Lists!C$24-$AA42)-MOD((Lists!C$24-$AA42),$Z42)))&gt;Lists!C$23)*(EDATE($G42,((Lists!C$24-$AA42)-MOD((Lists!C$24-$AA42),$Z42)))&lt;=Lists!C$21)*(EDATE($G42,((Lists!C$24-$AA42)-MOD((Lists!C$24-$AA42),$Z42)))&lt;=$AB42)+((((Lists!C$24-$AA42)-MOD((Lists!C$24-$AA42),$Z42))-$Z42)&gt;=0)*(EDATE($G42,(((Lists!C$24-$AA42)-MOD((Lists!C$24-$AA42),$Z42))-$Z42))&gt;Lists!C$23)*(EDATE($G42,(((Lists!C$24-$AA42)-MOD((Lists!C$24-$AA42),$Z42))-$Z42))&lt;=Lists!C$21)*(EDATE($G42,(((Lists!C$24-$AA42)-MOD((Lists!C$24-$AA42),$Z42))-$Z42))&lt;=$AB42)))))</f>
        <v>0</v>
      </c>
      <c r="K42" s="53" t="n">
        <f aca="false">IF(OR(N($E42)=0,$G42=""),0,$I42*IF($F42="Weekly",((Lists!D$21-MOD(Lists!D$21-$G42,7))&gt;=$G42)*((Lists!D$21-MOD(Lists!D$21-$G42,7))&lt;=$AB42),IF($F42="One-off",($G42&gt;Lists!D$23)*($G42&lt;=Lists!D$21),IF($F42="",0,(((Lists!D$24-$AA42)-MOD((Lists!D$24-$AA42),$Z42))&gt;=0)*(EDATE($G42,((Lists!D$24-$AA42)-MOD((Lists!D$24-$AA42),$Z42)))&gt;Lists!D$23)*(EDATE($G42,((Lists!D$24-$AA42)-MOD((Lists!D$24-$AA42),$Z42)))&lt;=Lists!D$21)*(EDATE($G42,((Lists!D$24-$AA42)-MOD((Lists!D$24-$AA42),$Z42)))&lt;=$AB42)+((((Lists!D$24-$AA42)-MOD((Lists!D$24-$AA42),$Z42))-$Z42)&gt;=0)*(EDATE($G42,(((Lists!D$24-$AA42)-MOD((Lists!D$24-$AA42),$Z42))-$Z42))&gt;Lists!D$23)*(EDATE($G42,(((Lists!D$24-$AA42)-MOD((Lists!D$24-$AA42),$Z42))-$Z42))&lt;=Lists!D$21)*(EDATE($G42,(((Lists!D$24-$AA42)-MOD((Lists!D$24-$AA42),$Z42))-$Z42))&lt;=$AB42)))))</f>
        <v>0</v>
      </c>
      <c r="L42" s="53" t="n">
        <f aca="false">IF(OR(N($E42)=0,$G42=""),0,$I42*IF($F42="Weekly",((Lists!E$21-MOD(Lists!E$21-$G42,7))&gt;=$G42)*((Lists!E$21-MOD(Lists!E$21-$G42,7))&lt;=$AB42),IF($F42="One-off",($G42&gt;Lists!E$23)*($G42&lt;=Lists!E$21),IF($F42="",0,(((Lists!E$24-$AA42)-MOD((Lists!E$24-$AA42),$Z42))&gt;=0)*(EDATE($G42,((Lists!E$24-$AA42)-MOD((Lists!E$24-$AA42),$Z42)))&gt;Lists!E$23)*(EDATE($G42,((Lists!E$24-$AA42)-MOD((Lists!E$24-$AA42),$Z42)))&lt;=Lists!E$21)*(EDATE($G42,((Lists!E$24-$AA42)-MOD((Lists!E$24-$AA42),$Z42)))&lt;=$AB42)+((((Lists!E$24-$AA42)-MOD((Lists!E$24-$AA42),$Z42))-$Z42)&gt;=0)*(EDATE($G42,(((Lists!E$24-$AA42)-MOD((Lists!E$24-$AA42),$Z42))-$Z42))&gt;Lists!E$23)*(EDATE($G42,(((Lists!E$24-$AA42)-MOD((Lists!E$24-$AA42),$Z42))-$Z42))&lt;=Lists!E$21)*(EDATE($G42,(((Lists!E$24-$AA42)-MOD((Lists!E$24-$AA42),$Z42))-$Z42))&lt;=$AB42)))))</f>
        <v>0</v>
      </c>
      <c r="M42" s="53" t="n">
        <f aca="false">IF(OR(N($E42)=0,$G42=""),0,$I42*IF($F42="Weekly",((Lists!F$21-MOD(Lists!F$21-$G42,7))&gt;=$G42)*((Lists!F$21-MOD(Lists!F$21-$G42,7))&lt;=$AB42),IF($F42="One-off",($G42&gt;Lists!F$23)*($G42&lt;=Lists!F$21),IF($F42="",0,(((Lists!F$24-$AA42)-MOD((Lists!F$24-$AA42),$Z42))&gt;=0)*(EDATE($G42,((Lists!F$24-$AA42)-MOD((Lists!F$24-$AA42),$Z42)))&gt;Lists!F$23)*(EDATE($G42,((Lists!F$24-$AA42)-MOD((Lists!F$24-$AA42),$Z42)))&lt;=Lists!F$21)*(EDATE($G42,((Lists!F$24-$AA42)-MOD((Lists!F$24-$AA42),$Z42)))&lt;=$AB42)+((((Lists!F$24-$AA42)-MOD((Lists!F$24-$AA42),$Z42))-$Z42)&gt;=0)*(EDATE($G42,(((Lists!F$24-$AA42)-MOD((Lists!F$24-$AA42),$Z42))-$Z42))&gt;Lists!F$23)*(EDATE($G42,(((Lists!F$24-$AA42)-MOD((Lists!F$24-$AA42),$Z42))-$Z42))&lt;=Lists!F$21)*(EDATE($G42,(((Lists!F$24-$AA42)-MOD((Lists!F$24-$AA42),$Z42))-$Z42))&lt;=$AB42)))))</f>
        <v>0</v>
      </c>
      <c r="N42" s="53" t="n">
        <f aca="false">IF(OR(N($E42)=0,$G42=""),0,$I42*IF($F42="Weekly",((Lists!G$21-MOD(Lists!G$21-$G42,7))&gt;=$G42)*((Lists!G$21-MOD(Lists!G$21-$G42,7))&lt;=$AB42),IF($F42="One-off",($G42&gt;Lists!G$23)*($G42&lt;=Lists!G$21),IF($F42="",0,(((Lists!G$24-$AA42)-MOD((Lists!G$24-$AA42),$Z42))&gt;=0)*(EDATE($G42,((Lists!G$24-$AA42)-MOD((Lists!G$24-$AA42),$Z42)))&gt;Lists!G$23)*(EDATE($G42,((Lists!G$24-$AA42)-MOD((Lists!G$24-$AA42),$Z42)))&lt;=Lists!G$21)*(EDATE($G42,((Lists!G$24-$AA42)-MOD((Lists!G$24-$AA42),$Z42)))&lt;=$AB42)+((((Lists!G$24-$AA42)-MOD((Lists!G$24-$AA42),$Z42))-$Z42)&gt;=0)*(EDATE($G42,(((Lists!G$24-$AA42)-MOD((Lists!G$24-$AA42),$Z42))-$Z42))&gt;Lists!G$23)*(EDATE($G42,(((Lists!G$24-$AA42)-MOD((Lists!G$24-$AA42),$Z42))-$Z42))&lt;=Lists!G$21)*(EDATE($G42,(((Lists!G$24-$AA42)-MOD((Lists!G$24-$AA42),$Z42))-$Z42))&lt;=$AB42)))))</f>
        <v>0</v>
      </c>
      <c r="O42" s="53" t="n">
        <f aca="false">IF(OR(N($E42)=0,$G42=""),0,$I42*IF($F42="Weekly",((Lists!H$21-MOD(Lists!H$21-$G42,7))&gt;=$G42)*((Lists!H$21-MOD(Lists!H$21-$G42,7))&lt;=$AB42),IF($F42="One-off",($G42&gt;Lists!H$23)*($G42&lt;=Lists!H$21),IF($F42="",0,(((Lists!H$24-$AA42)-MOD((Lists!H$24-$AA42),$Z42))&gt;=0)*(EDATE($G42,((Lists!H$24-$AA42)-MOD((Lists!H$24-$AA42),$Z42)))&gt;Lists!H$23)*(EDATE($G42,((Lists!H$24-$AA42)-MOD((Lists!H$24-$AA42),$Z42)))&lt;=Lists!H$21)*(EDATE($G42,((Lists!H$24-$AA42)-MOD((Lists!H$24-$AA42),$Z42)))&lt;=$AB42)+((((Lists!H$24-$AA42)-MOD((Lists!H$24-$AA42),$Z42))-$Z42)&gt;=0)*(EDATE($G42,(((Lists!H$24-$AA42)-MOD((Lists!H$24-$AA42),$Z42))-$Z42))&gt;Lists!H$23)*(EDATE($G42,(((Lists!H$24-$AA42)-MOD((Lists!H$24-$AA42),$Z42))-$Z42))&lt;=Lists!H$21)*(EDATE($G42,(((Lists!H$24-$AA42)-MOD((Lists!H$24-$AA42),$Z42))-$Z42))&lt;=$AB42)))))</f>
        <v>0</v>
      </c>
      <c r="P42" s="53" t="n">
        <f aca="false">IF(OR(N($E42)=0,$G42=""),0,$I42*IF($F42="Weekly",((Lists!I$21-MOD(Lists!I$21-$G42,7))&gt;=$G42)*((Lists!I$21-MOD(Lists!I$21-$G42,7))&lt;=$AB42),IF($F42="One-off",($G42&gt;Lists!I$23)*($G42&lt;=Lists!I$21),IF($F42="",0,(((Lists!I$24-$AA42)-MOD((Lists!I$24-$AA42),$Z42))&gt;=0)*(EDATE($G42,((Lists!I$24-$AA42)-MOD((Lists!I$24-$AA42),$Z42)))&gt;Lists!I$23)*(EDATE($G42,((Lists!I$24-$AA42)-MOD((Lists!I$24-$AA42),$Z42)))&lt;=Lists!I$21)*(EDATE($G42,((Lists!I$24-$AA42)-MOD((Lists!I$24-$AA42),$Z42)))&lt;=$AB42)+((((Lists!I$24-$AA42)-MOD((Lists!I$24-$AA42),$Z42))-$Z42)&gt;=0)*(EDATE($G42,(((Lists!I$24-$AA42)-MOD((Lists!I$24-$AA42),$Z42))-$Z42))&gt;Lists!I$23)*(EDATE($G42,(((Lists!I$24-$AA42)-MOD((Lists!I$24-$AA42),$Z42))-$Z42))&lt;=Lists!I$21)*(EDATE($G42,(((Lists!I$24-$AA42)-MOD((Lists!I$24-$AA42),$Z42))-$Z42))&lt;=$AB42)))))</f>
        <v>0</v>
      </c>
      <c r="Q42" s="53" t="n">
        <f aca="false">IF(OR(N($E42)=0,$G42=""),0,$I42*IF($F42="Weekly",((Lists!J$21-MOD(Lists!J$21-$G42,7))&gt;=$G42)*((Lists!J$21-MOD(Lists!J$21-$G42,7))&lt;=$AB42),IF($F42="One-off",($G42&gt;Lists!J$23)*($G42&lt;=Lists!J$21),IF($F42="",0,(((Lists!J$24-$AA42)-MOD((Lists!J$24-$AA42),$Z42))&gt;=0)*(EDATE($G42,((Lists!J$24-$AA42)-MOD((Lists!J$24-$AA42),$Z42)))&gt;Lists!J$23)*(EDATE($G42,((Lists!J$24-$AA42)-MOD((Lists!J$24-$AA42),$Z42)))&lt;=Lists!J$21)*(EDATE($G42,((Lists!J$24-$AA42)-MOD((Lists!J$24-$AA42),$Z42)))&lt;=$AB42)+((((Lists!J$24-$AA42)-MOD((Lists!J$24-$AA42),$Z42))-$Z42)&gt;=0)*(EDATE($G42,(((Lists!J$24-$AA42)-MOD((Lists!J$24-$AA42),$Z42))-$Z42))&gt;Lists!J$23)*(EDATE($G42,(((Lists!J$24-$AA42)-MOD((Lists!J$24-$AA42),$Z42))-$Z42))&lt;=Lists!J$21)*(EDATE($G42,(((Lists!J$24-$AA42)-MOD((Lists!J$24-$AA42),$Z42))-$Z42))&lt;=$AB42)))))</f>
        <v>0</v>
      </c>
      <c r="R42" s="53" t="n">
        <f aca="false">IF(OR(N($E42)=0,$G42=""),0,$I42*IF($F42="Weekly",((Lists!K$21-MOD(Lists!K$21-$G42,7))&gt;=$G42)*((Lists!K$21-MOD(Lists!K$21-$G42,7))&lt;=$AB42),IF($F42="One-off",($G42&gt;Lists!K$23)*($G42&lt;=Lists!K$21),IF($F42="",0,(((Lists!K$24-$AA42)-MOD((Lists!K$24-$AA42),$Z42))&gt;=0)*(EDATE($G42,((Lists!K$24-$AA42)-MOD((Lists!K$24-$AA42),$Z42)))&gt;Lists!K$23)*(EDATE($G42,((Lists!K$24-$AA42)-MOD((Lists!K$24-$AA42),$Z42)))&lt;=Lists!K$21)*(EDATE($G42,((Lists!K$24-$AA42)-MOD((Lists!K$24-$AA42),$Z42)))&lt;=$AB42)+((((Lists!K$24-$AA42)-MOD((Lists!K$24-$AA42),$Z42))-$Z42)&gt;=0)*(EDATE($G42,(((Lists!K$24-$AA42)-MOD((Lists!K$24-$AA42),$Z42))-$Z42))&gt;Lists!K$23)*(EDATE($G42,(((Lists!K$24-$AA42)-MOD((Lists!K$24-$AA42),$Z42))-$Z42))&lt;=Lists!K$21)*(EDATE($G42,(((Lists!K$24-$AA42)-MOD((Lists!K$24-$AA42),$Z42))-$Z42))&lt;=$AB42)))))</f>
        <v>0</v>
      </c>
      <c r="S42" s="53" t="n">
        <f aca="false">IF(OR(N($E42)=0,$G42=""),0,$I42*IF($F42="Weekly",((Lists!L$21-MOD(Lists!L$21-$G42,7))&gt;=$G42)*((Lists!L$21-MOD(Lists!L$21-$G42,7))&lt;=$AB42),IF($F42="One-off",($G42&gt;Lists!L$23)*($G42&lt;=Lists!L$21),IF($F42="",0,(((Lists!L$24-$AA42)-MOD((Lists!L$24-$AA42),$Z42))&gt;=0)*(EDATE($G42,((Lists!L$24-$AA42)-MOD((Lists!L$24-$AA42),$Z42)))&gt;Lists!L$23)*(EDATE($G42,((Lists!L$24-$AA42)-MOD((Lists!L$24-$AA42),$Z42)))&lt;=Lists!L$21)*(EDATE($G42,((Lists!L$24-$AA42)-MOD((Lists!L$24-$AA42),$Z42)))&lt;=$AB42)+((((Lists!L$24-$AA42)-MOD((Lists!L$24-$AA42),$Z42))-$Z42)&gt;=0)*(EDATE($G42,(((Lists!L$24-$AA42)-MOD((Lists!L$24-$AA42),$Z42))-$Z42))&gt;Lists!L$23)*(EDATE($G42,(((Lists!L$24-$AA42)-MOD((Lists!L$24-$AA42),$Z42))-$Z42))&lt;=Lists!L$21)*(EDATE($G42,(((Lists!L$24-$AA42)-MOD((Lists!L$24-$AA42),$Z42))-$Z42))&lt;=$AB42)))))</f>
        <v>0</v>
      </c>
      <c r="T42" s="53" t="n">
        <f aca="false">IF(OR(N($E42)=0,$G42=""),0,$I42*IF($F42="Weekly",((Lists!M$21-MOD(Lists!M$21-$G42,7))&gt;=$G42)*((Lists!M$21-MOD(Lists!M$21-$G42,7))&lt;=$AB42),IF($F42="One-off",($G42&gt;Lists!M$23)*($G42&lt;=Lists!M$21),IF($F42="",0,(((Lists!M$24-$AA42)-MOD((Lists!M$24-$AA42),$Z42))&gt;=0)*(EDATE($G42,((Lists!M$24-$AA42)-MOD((Lists!M$24-$AA42),$Z42)))&gt;Lists!M$23)*(EDATE($G42,((Lists!M$24-$AA42)-MOD((Lists!M$24-$AA42),$Z42)))&lt;=Lists!M$21)*(EDATE($G42,((Lists!M$24-$AA42)-MOD((Lists!M$24-$AA42),$Z42)))&lt;=$AB42)+((((Lists!M$24-$AA42)-MOD((Lists!M$24-$AA42),$Z42))-$Z42)&gt;=0)*(EDATE($G42,(((Lists!M$24-$AA42)-MOD((Lists!M$24-$AA42),$Z42))-$Z42))&gt;Lists!M$23)*(EDATE($G42,(((Lists!M$24-$AA42)-MOD((Lists!M$24-$AA42),$Z42))-$Z42))&lt;=Lists!M$21)*(EDATE($G42,(((Lists!M$24-$AA42)-MOD((Lists!M$24-$AA42),$Z42))-$Z42))&lt;=$AB42)))))</f>
        <v>0</v>
      </c>
      <c r="U42" s="53" t="n">
        <f aca="false">IF(OR(N($E42)=0,$G42=""),0,$I42*IF($F42="Weekly",((Lists!N$21-MOD(Lists!N$21-$G42,7))&gt;=$G42)*((Lists!N$21-MOD(Lists!N$21-$G42,7))&lt;=$AB42),IF($F42="One-off",($G42&gt;Lists!N$23)*($G42&lt;=Lists!N$21),IF($F42="",0,(((Lists!N$24-$AA42)-MOD((Lists!N$24-$AA42),$Z42))&gt;=0)*(EDATE($G42,((Lists!N$24-$AA42)-MOD((Lists!N$24-$AA42),$Z42)))&gt;Lists!N$23)*(EDATE($G42,((Lists!N$24-$AA42)-MOD((Lists!N$24-$AA42),$Z42)))&lt;=Lists!N$21)*(EDATE($G42,((Lists!N$24-$AA42)-MOD((Lists!N$24-$AA42),$Z42)))&lt;=$AB42)+((((Lists!N$24-$AA42)-MOD((Lists!N$24-$AA42),$Z42))-$Z42)&gt;=0)*(EDATE($G42,(((Lists!N$24-$AA42)-MOD((Lists!N$24-$AA42),$Z42))-$Z42))&gt;Lists!N$23)*(EDATE($G42,(((Lists!N$24-$AA42)-MOD((Lists!N$24-$AA42),$Z42))-$Z42))&lt;=Lists!N$21)*(EDATE($G42,(((Lists!N$24-$AA42)-MOD((Lists!N$24-$AA42),$Z42))-$Z42))&lt;=$AB42)))))</f>
        <v>0</v>
      </c>
      <c r="V42" s="53" t="n">
        <f aca="false">IF(OR(N($E42)=0,$G42=""),0,$I42*IF($F42="Weekly",((Lists!O$21-MOD(Lists!O$21-$G42,7))&gt;=$G42)*((Lists!O$21-MOD(Lists!O$21-$G42,7))&lt;=$AB42),IF($F42="One-off",($G42&gt;Lists!O$23)*($G42&lt;=Lists!O$21),IF($F42="",0,(((Lists!O$24-$AA42)-MOD((Lists!O$24-$AA42),$Z42))&gt;=0)*(EDATE($G42,((Lists!O$24-$AA42)-MOD((Lists!O$24-$AA42),$Z42)))&gt;Lists!O$23)*(EDATE($G42,((Lists!O$24-$AA42)-MOD((Lists!O$24-$AA42),$Z42)))&lt;=Lists!O$21)*(EDATE($G42,((Lists!O$24-$AA42)-MOD((Lists!O$24-$AA42),$Z42)))&lt;=$AB42)+((((Lists!O$24-$AA42)-MOD((Lists!O$24-$AA42),$Z42))-$Z42)&gt;=0)*(EDATE($G42,(((Lists!O$24-$AA42)-MOD((Lists!O$24-$AA42),$Z42))-$Z42))&gt;Lists!O$23)*(EDATE($G42,(((Lists!O$24-$AA42)-MOD((Lists!O$24-$AA42),$Z42))-$Z42))&lt;=Lists!O$21)*(EDATE($G42,(((Lists!O$24-$AA42)-MOD((Lists!O$24-$AA42),$Z42))-$Z42))&lt;=$AB42)))))</f>
        <v>0</v>
      </c>
      <c r="W42" s="46" t="n">
        <f aca="false">SUM(J42:V42)</f>
        <v>0</v>
      </c>
      <c r="X42" s="2"/>
      <c r="Y42" s="104" t="n">
        <f aca="false">IF(AND(Setup!$D$16="Yes",D42&lt;&gt;"No"),1+Setup!$D$17,1)</f>
        <v>1.2</v>
      </c>
      <c r="Z42" s="94" t="n">
        <f aca="false">IF(F42="Quarterly",3,IF(F42="Annually",12,1))</f>
        <v>1</v>
      </c>
      <c r="AA42" s="94" t="n">
        <f aca="false">IF(G42="",0,YEAR(G42)*12+MONTH(G42))</f>
        <v>0</v>
      </c>
      <c r="AB42" s="93" t="n">
        <f aca="false">IF(H42="",2958465,H42)</f>
        <v>2958465</v>
      </c>
      <c r="AC42" s="95" t="str">
        <f aca="false">IF(C42="","Other overheads",C42)</f>
        <v>Other overheads</v>
      </c>
    </row>
    <row r="43" customFormat="false" ht="15" hidden="false" customHeight="false" outlineLevel="0" collapsed="false">
      <c r="A43" s="87" t="n">
        <v>35</v>
      </c>
      <c r="B43" s="55"/>
      <c r="C43" s="55"/>
      <c r="D43" s="58"/>
      <c r="E43" s="88"/>
      <c r="F43" s="58"/>
      <c r="G43" s="90"/>
      <c r="H43" s="90"/>
      <c r="I43" s="92" t="n">
        <f aca="false">N(E43)*Y43</f>
        <v>0</v>
      </c>
      <c r="J43" s="53" t="n">
        <f aca="false">IF(OR(N($E43)=0,$G43=""),0,$I43*IF($F43="Weekly",((Lists!C$21-MOD(Lists!C$21-$G43,7))&gt;=$G43)*((Lists!C$21-MOD(Lists!C$21-$G43,7))&lt;=$AB43),IF($F43="One-off",($G43&gt;Lists!C$23)*($G43&lt;=Lists!C$21),IF($F43="",0,(((Lists!C$24-$AA43)-MOD((Lists!C$24-$AA43),$Z43))&gt;=0)*(EDATE($G43,((Lists!C$24-$AA43)-MOD((Lists!C$24-$AA43),$Z43)))&gt;Lists!C$23)*(EDATE($G43,((Lists!C$24-$AA43)-MOD((Lists!C$24-$AA43),$Z43)))&lt;=Lists!C$21)*(EDATE($G43,((Lists!C$24-$AA43)-MOD((Lists!C$24-$AA43),$Z43)))&lt;=$AB43)+((((Lists!C$24-$AA43)-MOD((Lists!C$24-$AA43),$Z43))-$Z43)&gt;=0)*(EDATE($G43,(((Lists!C$24-$AA43)-MOD((Lists!C$24-$AA43),$Z43))-$Z43))&gt;Lists!C$23)*(EDATE($G43,(((Lists!C$24-$AA43)-MOD((Lists!C$24-$AA43),$Z43))-$Z43))&lt;=Lists!C$21)*(EDATE($G43,(((Lists!C$24-$AA43)-MOD((Lists!C$24-$AA43),$Z43))-$Z43))&lt;=$AB43)))))</f>
        <v>0</v>
      </c>
      <c r="K43" s="53" t="n">
        <f aca="false">IF(OR(N($E43)=0,$G43=""),0,$I43*IF($F43="Weekly",((Lists!D$21-MOD(Lists!D$21-$G43,7))&gt;=$G43)*((Lists!D$21-MOD(Lists!D$21-$G43,7))&lt;=$AB43),IF($F43="One-off",($G43&gt;Lists!D$23)*($G43&lt;=Lists!D$21),IF($F43="",0,(((Lists!D$24-$AA43)-MOD((Lists!D$24-$AA43),$Z43))&gt;=0)*(EDATE($G43,((Lists!D$24-$AA43)-MOD((Lists!D$24-$AA43),$Z43)))&gt;Lists!D$23)*(EDATE($G43,((Lists!D$24-$AA43)-MOD((Lists!D$24-$AA43),$Z43)))&lt;=Lists!D$21)*(EDATE($G43,((Lists!D$24-$AA43)-MOD((Lists!D$24-$AA43),$Z43)))&lt;=$AB43)+((((Lists!D$24-$AA43)-MOD((Lists!D$24-$AA43),$Z43))-$Z43)&gt;=0)*(EDATE($G43,(((Lists!D$24-$AA43)-MOD((Lists!D$24-$AA43),$Z43))-$Z43))&gt;Lists!D$23)*(EDATE($G43,(((Lists!D$24-$AA43)-MOD((Lists!D$24-$AA43),$Z43))-$Z43))&lt;=Lists!D$21)*(EDATE($G43,(((Lists!D$24-$AA43)-MOD((Lists!D$24-$AA43),$Z43))-$Z43))&lt;=$AB43)))))</f>
        <v>0</v>
      </c>
      <c r="L43" s="53" t="n">
        <f aca="false">IF(OR(N($E43)=0,$G43=""),0,$I43*IF($F43="Weekly",((Lists!E$21-MOD(Lists!E$21-$G43,7))&gt;=$G43)*((Lists!E$21-MOD(Lists!E$21-$G43,7))&lt;=$AB43),IF($F43="One-off",($G43&gt;Lists!E$23)*($G43&lt;=Lists!E$21),IF($F43="",0,(((Lists!E$24-$AA43)-MOD((Lists!E$24-$AA43),$Z43))&gt;=0)*(EDATE($G43,((Lists!E$24-$AA43)-MOD((Lists!E$24-$AA43),$Z43)))&gt;Lists!E$23)*(EDATE($G43,((Lists!E$24-$AA43)-MOD((Lists!E$24-$AA43),$Z43)))&lt;=Lists!E$21)*(EDATE($G43,((Lists!E$24-$AA43)-MOD((Lists!E$24-$AA43),$Z43)))&lt;=$AB43)+((((Lists!E$24-$AA43)-MOD((Lists!E$24-$AA43),$Z43))-$Z43)&gt;=0)*(EDATE($G43,(((Lists!E$24-$AA43)-MOD((Lists!E$24-$AA43),$Z43))-$Z43))&gt;Lists!E$23)*(EDATE($G43,(((Lists!E$24-$AA43)-MOD((Lists!E$24-$AA43),$Z43))-$Z43))&lt;=Lists!E$21)*(EDATE($G43,(((Lists!E$24-$AA43)-MOD((Lists!E$24-$AA43),$Z43))-$Z43))&lt;=$AB43)))))</f>
        <v>0</v>
      </c>
      <c r="M43" s="53" t="n">
        <f aca="false">IF(OR(N($E43)=0,$G43=""),0,$I43*IF($F43="Weekly",((Lists!F$21-MOD(Lists!F$21-$G43,7))&gt;=$G43)*((Lists!F$21-MOD(Lists!F$21-$G43,7))&lt;=$AB43),IF($F43="One-off",($G43&gt;Lists!F$23)*($G43&lt;=Lists!F$21),IF($F43="",0,(((Lists!F$24-$AA43)-MOD((Lists!F$24-$AA43),$Z43))&gt;=0)*(EDATE($G43,((Lists!F$24-$AA43)-MOD((Lists!F$24-$AA43),$Z43)))&gt;Lists!F$23)*(EDATE($G43,((Lists!F$24-$AA43)-MOD((Lists!F$24-$AA43),$Z43)))&lt;=Lists!F$21)*(EDATE($G43,((Lists!F$24-$AA43)-MOD((Lists!F$24-$AA43),$Z43)))&lt;=$AB43)+((((Lists!F$24-$AA43)-MOD((Lists!F$24-$AA43),$Z43))-$Z43)&gt;=0)*(EDATE($G43,(((Lists!F$24-$AA43)-MOD((Lists!F$24-$AA43),$Z43))-$Z43))&gt;Lists!F$23)*(EDATE($G43,(((Lists!F$24-$AA43)-MOD((Lists!F$24-$AA43),$Z43))-$Z43))&lt;=Lists!F$21)*(EDATE($G43,(((Lists!F$24-$AA43)-MOD((Lists!F$24-$AA43),$Z43))-$Z43))&lt;=$AB43)))))</f>
        <v>0</v>
      </c>
      <c r="N43" s="53" t="n">
        <f aca="false">IF(OR(N($E43)=0,$G43=""),0,$I43*IF($F43="Weekly",((Lists!G$21-MOD(Lists!G$21-$G43,7))&gt;=$G43)*((Lists!G$21-MOD(Lists!G$21-$G43,7))&lt;=$AB43),IF($F43="One-off",($G43&gt;Lists!G$23)*($G43&lt;=Lists!G$21),IF($F43="",0,(((Lists!G$24-$AA43)-MOD((Lists!G$24-$AA43),$Z43))&gt;=0)*(EDATE($G43,((Lists!G$24-$AA43)-MOD((Lists!G$24-$AA43),$Z43)))&gt;Lists!G$23)*(EDATE($G43,((Lists!G$24-$AA43)-MOD((Lists!G$24-$AA43),$Z43)))&lt;=Lists!G$21)*(EDATE($G43,((Lists!G$24-$AA43)-MOD((Lists!G$24-$AA43),$Z43)))&lt;=$AB43)+((((Lists!G$24-$AA43)-MOD((Lists!G$24-$AA43),$Z43))-$Z43)&gt;=0)*(EDATE($G43,(((Lists!G$24-$AA43)-MOD((Lists!G$24-$AA43),$Z43))-$Z43))&gt;Lists!G$23)*(EDATE($G43,(((Lists!G$24-$AA43)-MOD((Lists!G$24-$AA43),$Z43))-$Z43))&lt;=Lists!G$21)*(EDATE($G43,(((Lists!G$24-$AA43)-MOD((Lists!G$24-$AA43),$Z43))-$Z43))&lt;=$AB43)))))</f>
        <v>0</v>
      </c>
      <c r="O43" s="53" t="n">
        <f aca="false">IF(OR(N($E43)=0,$G43=""),0,$I43*IF($F43="Weekly",((Lists!H$21-MOD(Lists!H$21-$G43,7))&gt;=$G43)*((Lists!H$21-MOD(Lists!H$21-$G43,7))&lt;=$AB43),IF($F43="One-off",($G43&gt;Lists!H$23)*($G43&lt;=Lists!H$21),IF($F43="",0,(((Lists!H$24-$AA43)-MOD((Lists!H$24-$AA43),$Z43))&gt;=0)*(EDATE($G43,((Lists!H$24-$AA43)-MOD((Lists!H$24-$AA43),$Z43)))&gt;Lists!H$23)*(EDATE($G43,((Lists!H$24-$AA43)-MOD((Lists!H$24-$AA43),$Z43)))&lt;=Lists!H$21)*(EDATE($G43,((Lists!H$24-$AA43)-MOD((Lists!H$24-$AA43),$Z43)))&lt;=$AB43)+((((Lists!H$24-$AA43)-MOD((Lists!H$24-$AA43),$Z43))-$Z43)&gt;=0)*(EDATE($G43,(((Lists!H$24-$AA43)-MOD((Lists!H$24-$AA43),$Z43))-$Z43))&gt;Lists!H$23)*(EDATE($G43,(((Lists!H$24-$AA43)-MOD((Lists!H$24-$AA43),$Z43))-$Z43))&lt;=Lists!H$21)*(EDATE($G43,(((Lists!H$24-$AA43)-MOD((Lists!H$24-$AA43),$Z43))-$Z43))&lt;=$AB43)))))</f>
        <v>0</v>
      </c>
      <c r="P43" s="53" t="n">
        <f aca="false">IF(OR(N($E43)=0,$G43=""),0,$I43*IF($F43="Weekly",((Lists!I$21-MOD(Lists!I$21-$G43,7))&gt;=$G43)*((Lists!I$21-MOD(Lists!I$21-$G43,7))&lt;=$AB43),IF($F43="One-off",($G43&gt;Lists!I$23)*($G43&lt;=Lists!I$21),IF($F43="",0,(((Lists!I$24-$AA43)-MOD((Lists!I$24-$AA43),$Z43))&gt;=0)*(EDATE($G43,((Lists!I$24-$AA43)-MOD((Lists!I$24-$AA43),$Z43)))&gt;Lists!I$23)*(EDATE($G43,((Lists!I$24-$AA43)-MOD((Lists!I$24-$AA43),$Z43)))&lt;=Lists!I$21)*(EDATE($G43,((Lists!I$24-$AA43)-MOD((Lists!I$24-$AA43),$Z43)))&lt;=$AB43)+((((Lists!I$24-$AA43)-MOD((Lists!I$24-$AA43),$Z43))-$Z43)&gt;=0)*(EDATE($G43,(((Lists!I$24-$AA43)-MOD((Lists!I$24-$AA43),$Z43))-$Z43))&gt;Lists!I$23)*(EDATE($G43,(((Lists!I$24-$AA43)-MOD((Lists!I$24-$AA43),$Z43))-$Z43))&lt;=Lists!I$21)*(EDATE($G43,(((Lists!I$24-$AA43)-MOD((Lists!I$24-$AA43),$Z43))-$Z43))&lt;=$AB43)))))</f>
        <v>0</v>
      </c>
      <c r="Q43" s="53" t="n">
        <f aca="false">IF(OR(N($E43)=0,$G43=""),0,$I43*IF($F43="Weekly",((Lists!J$21-MOD(Lists!J$21-$G43,7))&gt;=$G43)*((Lists!J$21-MOD(Lists!J$21-$G43,7))&lt;=$AB43),IF($F43="One-off",($G43&gt;Lists!J$23)*($G43&lt;=Lists!J$21),IF($F43="",0,(((Lists!J$24-$AA43)-MOD((Lists!J$24-$AA43),$Z43))&gt;=0)*(EDATE($G43,((Lists!J$24-$AA43)-MOD((Lists!J$24-$AA43),$Z43)))&gt;Lists!J$23)*(EDATE($G43,((Lists!J$24-$AA43)-MOD((Lists!J$24-$AA43),$Z43)))&lt;=Lists!J$21)*(EDATE($G43,((Lists!J$24-$AA43)-MOD((Lists!J$24-$AA43),$Z43)))&lt;=$AB43)+((((Lists!J$24-$AA43)-MOD((Lists!J$24-$AA43),$Z43))-$Z43)&gt;=0)*(EDATE($G43,(((Lists!J$24-$AA43)-MOD((Lists!J$24-$AA43),$Z43))-$Z43))&gt;Lists!J$23)*(EDATE($G43,(((Lists!J$24-$AA43)-MOD((Lists!J$24-$AA43),$Z43))-$Z43))&lt;=Lists!J$21)*(EDATE($G43,(((Lists!J$24-$AA43)-MOD((Lists!J$24-$AA43),$Z43))-$Z43))&lt;=$AB43)))))</f>
        <v>0</v>
      </c>
      <c r="R43" s="53" t="n">
        <f aca="false">IF(OR(N($E43)=0,$G43=""),0,$I43*IF($F43="Weekly",((Lists!K$21-MOD(Lists!K$21-$G43,7))&gt;=$G43)*((Lists!K$21-MOD(Lists!K$21-$G43,7))&lt;=$AB43),IF($F43="One-off",($G43&gt;Lists!K$23)*($G43&lt;=Lists!K$21),IF($F43="",0,(((Lists!K$24-$AA43)-MOD((Lists!K$24-$AA43),$Z43))&gt;=0)*(EDATE($G43,((Lists!K$24-$AA43)-MOD((Lists!K$24-$AA43),$Z43)))&gt;Lists!K$23)*(EDATE($G43,((Lists!K$24-$AA43)-MOD((Lists!K$24-$AA43),$Z43)))&lt;=Lists!K$21)*(EDATE($G43,((Lists!K$24-$AA43)-MOD((Lists!K$24-$AA43),$Z43)))&lt;=$AB43)+((((Lists!K$24-$AA43)-MOD((Lists!K$24-$AA43),$Z43))-$Z43)&gt;=0)*(EDATE($G43,(((Lists!K$24-$AA43)-MOD((Lists!K$24-$AA43),$Z43))-$Z43))&gt;Lists!K$23)*(EDATE($G43,(((Lists!K$24-$AA43)-MOD((Lists!K$24-$AA43),$Z43))-$Z43))&lt;=Lists!K$21)*(EDATE($G43,(((Lists!K$24-$AA43)-MOD((Lists!K$24-$AA43),$Z43))-$Z43))&lt;=$AB43)))))</f>
        <v>0</v>
      </c>
      <c r="S43" s="53" t="n">
        <f aca="false">IF(OR(N($E43)=0,$G43=""),0,$I43*IF($F43="Weekly",((Lists!L$21-MOD(Lists!L$21-$G43,7))&gt;=$G43)*((Lists!L$21-MOD(Lists!L$21-$G43,7))&lt;=$AB43),IF($F43="One-off",($G43&gt;Lists!L$23)*($G43&lt;=Lists!L$21),IF($F43="",0,(((Lists!L$24-$AA43)-MOD((Lists!L$24-$AA43),$Z43))&gt;=0)*(EDATE($G43,((Lists!L$24-$AA43)-MOD((Lists!L$24-$AA43),$Z43)))&gt;Lists!L$23)*(EDATE($G43,((Lists!L$24-$AA43)-MOD((Lists!L$24-$AA43),$Z43)))&lt;=Lists!L$21)*(EDATE($G43,((Lists!L$24-$AA43)-MOD((Lists!L$24-$AA43),$Z43)))&lt;=$AB43)+((((Lists!L$24-$AA43)-MOD((Lists!L$24-$AA43),$Z43))-$Z43)&gt;=0)*(EDATE($G43,(((Lists!L$24-$AA43)-MOD((Lists!L$24-$AA43),$Z43))-$Z43))&gt;Lists!L$23)*(EDATE($G43,(((Lists!L$24-$AA43)-MOD((Lists!L$24-$AA43),$Z43))-$Z43))&lt;=Lists!L$21)*(EDATE($G43,(((Lists!L$24-$AA43)-MOD((Lists!L$24-$AA43),$Z43))-$Z43))&lt;=$AB43)))))</f>
        <v>0</v>
      </c>
      <c r="T43" s="53" t="n">
        <f aca="false">IF(OR(N($E43)=0,$G43=""),0,$I43*IF($F43="Weekly",((Lists!M$21-MOD(Lists!M$21-$G43,7))&gt;=$G43)*((Lists!M$21-MOD(Lists!M$21-$G43,7))&lt;=$AB43),IF($F43="One-off",($G43&gt;Lists!M$23)*($G43&lt;=Lists!M$21),IF($F43="",0,(((Lists!M$24-$AA43)-MOD((Lists!M$24-$AA43),$Z43))&gt;=0)*(EDATE($G43,((Lists!M$24-$AA43)-MOD((Lists!M$24-$AA43),$Z43)))&gt;Lists!M$23)*(EDATE($G43,((Lists!M$24-$AA43)-MOD((Lists!M$24-$AA43),$Z43)))&lt;=Lists!M$21)*(EDATE($G43,((Lists!M$24-$AA43)-MOD((Lists!M$24-$AA43),$Z43)))&lt;=$AB43)+((((Lists!M$24-$AA43)-MOD((Lists!M$24-$AA43),$Z43))-$Z43)&gt;=0)*(EDATE($G43,(((Lists!M$24-$AA43)-MOD((Lists!M$24-$AA43),$Z43))-$Z43))&gt;Lists!M$23)*(EDATE($G43,(((Lists!M$24-$AA43)-MOD((Lists!M$24-$AA43),$Z43))-$Z43))&lt;=Lists!M$21)*(EDATE($G43,(((Lists!M$24-$AA43)-MOD((Lists!M$24-$AA43),$Z43))-$Z43))&lt;=$AB43)))))</f>
        <v>0</v>
      </c>
      <c r="U43" s="53" t="n">
        <f aca="false">IF(OR(N($E43)=0,$G43=""),0,$I43*IF($F43="Weekly",((Lists!N$21-MOD(Lists!N$21-$G43,7))&gt;=$G43)*((Lists!N$21-MOD(Lists!N$21-$G43,7))&lt;=$AB43),IF($F43="One-off",($G43&gt;Lists!N$23)*($G43&lt;=Lists!N$21),IF($F43="",0,(((Lists!N$24-$AA43)-MOD((Lists!N$24-$AA43),$Z43))&gt;=0)*(EDATE($G43,((Lists!N$24-$AA43)-MOD((Lists!N$24-$AA43),$Z43)))&gt;Lists!N$23)*(EDATE($G43,((Lists!N$24-$AA43)-MOD((Lists!N$24-$AA43),$Z43)))&lt;=Lists!N$21)*(EDATE($G43,((Lists!N$24-$AA43)-MOD((Lists!N$24-$AA43),$Z43)))&lt;=$AB43)+((((Lists!N$24-$AA43)-MOD((Lists!N$24-$AA43),$Z43))-$Z43)&gt;=0)*(EDATE($G43,(((Lists!N$24-$AA43)-MOD((Lists!N$24-$AA43),$Z43))-$Z43))&gt;Lists!N$23)*(EDATE($G43,(((Lists!N$24-$AA43)-MOD((Lists!N$24-$AA43),$Z43))-$Z43))&lt;=Lists!N$21)*(EDATE($G43,(((Lists!N$24-$AA43)-MOD((Lists!N$24-$AA43),$Z43))-$Z43))&lt;=$AB43)))))</f>
        <v>0</v>
      </c>
      <c r="V43" s="53" t="n">
        <f aca="false">IF(OR(N($E43)=0,$G43=""),0,$I43*IF($F43="Weekly",((Lists!O$21-MOD(Lists!O$21-$G43,7))&gt;=$G43)*((Lists!O$21-MOD(Lists!O$21-$G43,7))&lt;=$AB43),IF($F43="One-off",($G43&gt;Lists!O$23)*($G43&lt;=Lists!O$21),IF($F43="",0,(((Lists!O$24-$AA43)-MOD((Lists!O$24-$AA43),$Z43))&gt;=0)*(EDATE($G43,((Lists!O$24-$AA43)-MOD((Lists!O$24-$AA43),$Z43)))&gt;Lists!O$23)*(EDATE($G43,((Lists!O$24-$AA43)-MOD((Lists!O$24-$AA43),$Z43)))&lt;=Lists!O$21)*(EDATE($G43,((Lists!O$24-$AA43)-MOD((Lists!O$24-$AA43),$Z43)))&lt;=$AB43)+((((Lists!O$24-$AA43)-MOD((Lists!O$24-$AA43),$Z43))-$Z43)&gt;=0)*(EDATE($G43,(((Lists!O$24-$AA43)-MOD((Lists!O$24-$AA43),$Z43))-$Z43))&gt;Lists!O$23)*(EDATE($G43,(((Lists!O$24-$AA43)-MOD((Lists!O$24-$AA43),$Z43))-$Z43))&lt;=Lists!O$21)*(EDATE($G43,(((Lists!O$24-$AA43)-MOD((Lists!O$24-$AA43),$Z43))-$Z43))&lt;=$AB43)))))</f>
        <v>0</v>
      </c>
      <c r="W43" s="46" t="n">
        <f aca="false">SUM(J43:V43)</f>
        <v>0</v>
      </c>
      <c r="X43" s="2"/>
      <c r="Y43" s="104" t="n">
        <f aca="false">IF(AND(Setup!$D$16="Yes",D43&lt;&gt;"No"),1+Setup!$D$17,1)</f>
        <v>1.2</v>
      </c>
      <c r="Z43" s="94" t="n">
        <f aca="false">IF(F43="Quarterly",3,IF(F43="Annually",12,1))</f>
        <v>1</v>
      </c>
      <c r="AA43" s="94" t="n">
        <f aca="false">IF(G43="",0,YEAR(G43)*12+MONTH(G43))</f>
        <v>0</v>
      </c>
      <c r="AB43" s="93" t="n">
        <f aca="false">IF(H43="",2958465,H43)</f>
        <v>2958465</v>
      </c>
      <c r="AC43" s="95" t="str">
        <f aca="false">IF(C43="","Other overheads",C43)</f>
        <v>Other overheads</v>
      </c>
    </row>
    <row r="44" customFormat="false" ht="15" hidden="false" customHeight="false" outlineLevel="0" collapsed="false">
      <c r="A44" s="87" t="n">
        <v>36</v>
      </c>
      <c r="B44" s="55"/>
      <c r="C44" s="55"/>
      <c r="D44" s="58"/>
      <c r="E44" s="88"/>
      <c r="F44" s="58"/>
      <c r="G44" s="90"/>
      <c r="H44" s="90"/>
      <c r="I44" s="92" t="n">
        <f aca="false">N(E44)*Y44</f>
        <v>0</v>
      </c>
      <c r="J44" s="53" t="n">
        <f aca="false">IF(OR(N($E44)=0,$G44=""),0,$I44*IF($F44="Weekly",((Lists!C$21-MOD(Lists!C$21-$G44,7))&gt;=$G44)*((Lists!C$21-MOD(Lists!C$21-$G44,7))&lt;=$AB44),IF($F44="One-off",($G44&gt;Lists!C$23)*($G44&lt;=Lists!C$21),IF($F44="",0,(((Lists!C$24-$AA44)-MOD((Lists!C$24-$AA44),$Z44))&gt;=0)*(EDATE($G44,((Lists!C$24-$AA44)-MOD((Lists!C$24-$AA44),$Z44)))&gt;Lists!C$23)*(EDATE($G44,((Lists!C$24-$AA44)-MOD((Lists!C$24-$AA44),$Z44)))&lt;=Lists!C$21)*(EDATE($G44,((Lists!C$24-$AA44)-MOD((Lists!C$24-$AA44),$Z44)))&lt;=$AB44)+((((Lists!C$24-$AA44)-MOD((Lists!C$24-$AA44),$Z44))-$Z44)&gt;=0)*(EDATE($G44,(((Lists!C$24-$AA44)-MOD((Lists!C$24-$AA44),$Z44))-$Z44))&gt;Lists!C$23)*(EDATE($G44,(((Lists!C$24-$AA44)-MOD((Lists!C$24-$AA44),$Z44))-$Z44))&lt;=Lists!C$21)*(EDATE($G44,(((Lists!C$24-$AA44)-MOD((Lists!C$24-$AA44),$Z44))-$Z44))&lt;=$AB44)))))</f>
        <v>0</v>
      </c>
      <c r="K44" s="53" t="n">
        <f aca="false">IF(OR(N($E44)=0,$G44=""),0,$I44*IF($F44="Weekly",((Lists!D$21-MOD(Lists!D$21-$G44,7))&gt;=$G44)*((Lists!D$21-MOD(Lists!D$21-$G44,7))&lt;=$AB44),IF($F44="One-off",($G44&gt;Lists!D$23)*($G44&lt;=Lists!D$21),IF($F44="",0,(((Lists!D$24-$AA44)-MOD((Lists!D$24-$AA44),$Z44))&gt;=0)*(EDATE($G44,((Lists!D$24-$AA44)-MOD((Lists!D$24-$AA44),$Z44)))&gt;Lists!D$23)*(EDATE($G44,((Lists!D$24-$AA44)-MOD((Lists!D$24-$AA44),$Z44)))&lt;=Lists!D$21)*(EDATE($G44,((Lists!D$24-$AA44)-MOD((Lists!D$24-$AA44),$Z44)))&lt;=$AB44)+((((Lists!D$24-$AA44)-MOD((Lists!D$24-$AA44),$Z44))-$Z44)&gt;=0)*(EDATE($G44,(((Lists!D$24-$AA44)-MOD((Lists!D$24-$AA44),$Z44))-$Z44))&gt;Lists!D$23)*(EDATE($G44,(((Lists!D$24-$AA44)-MOD((Lists!D$24-$AA44),$Z44))-$Z44))&lt;=Lists!D$21)*(EDATE($G44,(((Lists!D$24-$AA44)-MOD((Lists!D$24-$AA44),$Z44))-$Z44))&lt;=$AB44)))))</f>
        <v>0</v>
      </c>
      <c r="L44" s="53" t="n">
        <f aca="false">IF(OR(N($E44)=0,$G44=""),0,$I44*IF($F44="Weekly",((Lists!E$21-MOD(Lists!E$21-$G44,7))&gt;=$G44)*((Lists!E$21-MOD(Lists!E$21-$G44,7))&lt;=$AB44),IF($F44="One-off",($G44&gt;Lists!E$23)*($G44&lt;=Lists!E$21),IF($F44="",0,(((Lists!E$24-$AA44)-MOD((Lists!E$24-$AA44),$Z44))&gt;=0)*(EDATE($G44,((Lists!E$24-$AA44)-MOD((Lists!E$24-$AA44),$Z44)))&gt;Lists!E$23)*(EDATE($G44,((Lists!E$24-$AA44)-MOD((Lists!E$24-$AA44),$Z44)))&lt;=Lists!E$21)*(EDATE($G44,((Lists!E$24-$AA44)-MOD((Lists!E$24-$AA44),$Z44)))&lt;=$AB44)+((((Lists!E$24-$AA44)-MOD((Lists!E$24-$AA44),$Z44))-$Z44)&gt;=0)*(EDATE($G44,(((Lists!E$24-$AA44)-MOD((Lists!E$24-$AA44),$Z44))-$Z44))&gt;Lists!E$23)*(EDATE($G44,(((Lists!E$24-$AA44)-MOD((Lists!E$24-$AA44),$Z44))-$Z44))&lt;=Lists!E$21)*(EDATE($G44,(((Lists!E$24-$AA44)-MOD((Lists!E$24-$AA44),$Z44))-$Z44))&lt;=$AB44)))))</f>
        <v>0</v>
      </c>
      <c r="M44" s="53" t="n">
        <f aca="false">IF(OR(N($E44)=0,$G44=""),0,$I44*IF($F44="Weekly",((Lists!F$21-MOD(Lists!F$21-$G44,7))&gt;=$G44)*((Lists!F$21-MOD(Lists!F$21-$G44,7))&lt;=$AB44),IF($F44="One-off",($G44&gt;Lists!F$23)*($G44&lt;=Lists!F$21),IF($F44="",0,(((Lists!F$24-$AA44)-MOD((Lists!F$24-$AA44),$Z44))&gt;=0)*(EDATE($G44,((Lists!F$24-$AA44)-MOD((Lists!F$24-$AA44),$Z44)))&gt;Lists!F$23)*(EDATE($G44,((Lists!F$24-$AA44)-MOD((Lists!F$24-$AA44),$Z44)))&lt;=Lists!F$21)*(EDATE($G44,((Lists!F$24-$AA44)-MOD((Lists!F$24-$AA44),$Z44)))&lt;=$AB44)+((((Lists!F$24-$AA44)-MOD((Lists!F$24-$AA44),$Z44))-$Z44)&gt;=0)*(EDATE($G44,(((Lists!F$24-$AA44)-MOD((Lists!F$24-$AA44),$Z44))-$Z44))&gt;Lists!F$23)*(EDATE($G44,(((Lists!F$24-$AA44)-MOD((Lists!F$24-$AA44),$Z44))-$Z44))&lt;=Lists!F$21)*(EDATE($G44,(((Lists!F$24-$AA44)-MOD((Lists!F$24-$AA44),$Z44))-$Z44))&lt;=$AB44)))))</f>
        <v>0</v>
      </c>
      <c r="N44" s="53" t="n">
        <f aca="false">IF(OR(N($E44)=0,$G44=""),0,$I44*IF($F44="Weekly",((Lists!G$21-MOD(Lists!G$21-$G44,7))&gt;=$G44)*((Lists!G$21-MOD(Lists!G$21-$G44,7))&lt;=$AB44),IF($F44="One-off",($G44&gt;Lists!G$23)*($G44&lt;=Lists!G$21),IF($F44="",0,(((Lists!G$24-$AA44)-MOD((Lists!G$24-$AA44),$Z44))&gt;=0)*(EDATE($G44,((Lists!G$24-$AA44)-MOD((Lists!G$24-$AA44),$Z44)))&gt;Lists!G$23)*(EDATE($G44,((Lists!G$24-$AA44)-MOD((Lists!G$24-$AA44),$Z44)))&lt;=Lists!G$21)*(EDATE($G44,((Lists!G$24-$AA44)-MOD((Lists!G$24-$AA44),$Z44)))&lt;=$AB44)+((((Lists!G$24-$AA44)-MOD((Lists!G$24-$AA44),$Z44))-$Z44)&gt;=0)*(EDATE($G44,(((Lists!G$24-$AA44)-MOD((Lists!G$24-$AA44),$Z44))-$Z44))&gt;Lists!G$23)*(EDATE($G44,(((Lists!G$24-$AA44)-MOD((Lists!G$24-$AA44),$Z44))-$Z44))&lt;=Lists!G$21)*(EDATE($G44,(((Lists!G$24-$AA44)-MOD((Lists!G$24-$AA44),$Z44))-$Z44))&lt;=$AB44)))))</f>
        <v>0</v>
      </c>
      <c r="O44" s="53" t="n">
        <f aca="false">IF(OR(N($E44)=0,$G44=""),0,$I44*IF($F44="Weekly",((Lists!H$21-MOD(Lists!H$21-$G44,7))&gt;=$G44)*((Lists!H$21-MOD(Lists!H$21-$G44,7))&lt;=$AB44),IF($F44="One-off",($G44&gt;Lists!H$23)*($G44&lt;=Lists!H$21),IF($F44="",0,(((Lists!H$24-$AA44)-MOD((Lists!H$24-$AA44),$Z44))&gt;=0)*(EDATE($G44,((Lists!H$24-$AA44)-MOD((Lists!H$24-$AA44),$Z44)))&gt;Lists!H$23)*(EDATE($G44,((Lists!H$24-$AA44)-MOD((Lists!H$24-$AA44),$Z44)))&lt;=Lists!H$21)*(EDATE($G44,((Lists!H$24-$AA44)-MOD((Lists!H$24-$AA44),$Z44)))&lt;=$AB44)+((((Lists!H$24-$AA44)-MOD((Lists!H$24-$AA44),$Z44))-$Z44)&gt;=0)*(EDATE($G44,(((Lists!H$24-$AA44)-MOD((Lists!H$24-$AA44),$Z44))-$Z44))&gt;Lists!H$23)*(EDATE($G44,(((Lists!H$24-$AA44)-MOD((Lists!H$24-$AA44),$Z44))-$Z44))&lt;=Lists!H$21)*(EDATE($G44,(((Lists!H$24-$AA44)-MOD((Lists!H$24-$AA44),$Z44))-$Z44))&lt;=$AB44)))))</f>
        <v>0</v>
      </c>
      <c r="P44" s="53" t="n">
        <f aca="false">IF(OR(N($E44)=0,$G44=""),0,$I44*IF($F44="Weekly",((Lists!I$21-MOD(Lists!I$21-$G44,7))&gt;=$G44)*((Lists!I$21-MOD(Lists!I$21-$G44,7))&lt;=$AB44),IF($F44="One-off",($G44&gt;Lists!I$23)*($G44&lt;=Lists!I$21),IF($F44="",0,(((Lists!I$24-$AA44)-MOD((Lists!I$24-$AA44),$Z44))&gt;=0)*(EDATE($G44,((Lists!I$24-$AA44)-MOD((Lists!I$24-$AA44),$Z44)))&gt;Lists!I$23)*(EDATE($G44,((Lists!I$24-$AA44)-MOD((Lists!I$24-$AA44),$Z44)))&lt;=Lists!I$21)*(EDATE($G44,((Lists!I$24-$AA44)-MOD((Lists!I$24-$AA44),$Z44)))&lt;=$AB44)+((((Lists!I$24-$AA44)-MOD((Lists!I$24-$AA44),$Z44))-$Z44)&gt;=0)*(EDATE($G44,(((Lists!I$24-$AA44)-MOD((Lists!I$24-$AA44),$Z44))-$Z44))&gt;Lists!I$23)*(EDATE($G44,(((Lists!I$24-$AA44)-MOD((Lists!I$24-$AA44),$Z44))-$Z44))&lt;=Lists!I$21)*(EDATE($G44,(((Lists!I$24-$AA44)-MOD((Lists!I$24-$AA44),$Z44))-$Z44))&lt;=$AB44)))))</f>
        <v>0</v>
      </c>
      <c r="Q44" s="53" t="n">
        <f aca="false">IF(OR(N($E44)=0,$G44=""),0,$I44*IF($F44="Weekly",((Lists!J$21-MOD(Lists!J$21-$G44,7))&gt;=$G44)*((Lists!J$21-MOD(Lists!J$21-$G44,7))&lt;=$AB44),IF($F44="One-off",($G44&gt;Lists!J$23)*($G44&lt;=Lists!J$21),IF($F44="",0,(((Lists!J$24-$AA44)-MOD((Lists!J$24-$AA44),$Z44))&gt;=0)*(EDATE($G44,((Lists!J$24-$AA44)-MOD((Lists!J$24-$AA44),$Z44)))&gt;Lists!J$23)*(EDATE($G44,((Lists!J$24-$AA44)-MOD((Lists!J$24-$AA44),$Z44)))&lt;=Lists!J$21)*(EDATE($G44,((Lists!J$24-$AA44)-MOD((Lists!J$24-$AA44),$Z44)))&lt;=$AB44)+((((Lists!J$24-$AA44)-MOD((Lists!J$24-$AA44),$Z44))-$Z44)&gt;=0)*(EDATE($G44,(((Lists!J$24-$AA44)-MOD((Lists!J$24-$AA44),$Z44))-$Z44))&gt;Lists!J$23)*(EDATE($G44,(((Lists!J$24-$AA44)-MOD((Lists!J$24-$AA44),$Z44))-$Z44))&lt;=Lists!J$21)*(EDATE($G44,(((Lists!J$24-$AA44)-MOD((Lists!J$24-$AA44),$Z44))-$Z44))&lt;=$AB44)))))</f>
        <v>0</v>
      </c>
      <c r="R44" s="53" t="n">
        <f aca="false">IF(OR(N($E44)=0,$G44=""),0,$I44*IF($F44="Weekly",((Lists!K$21-MOD(Lists!K$21-$G44,7))&gt;=$G44)*((Lists!K$21-MOD(Lists!K$21-$G44,7))&lt;=$AB44),IF($F44="One-off",($G44&gt;Lists!K$23)*($G44&lt;=Lists!K$21),IF($F44="",0,(((Lists!K$24-$AA44)-MOD((Lists!K$24-$AA44),$Z44))&gt;=0)*(EDATE($G44,((Lists!K$24-$AA44)-MOD((Lists!K$24-$AA44),$Z44)))&gt;Lists!K$23)*(EDATE($G44,((Lists!K$24-$AA44)-MOD((Lists!K$24-$AA44),$Z44)))&lt;=Lists!K$21)*(EDATE($G44,((Lists!K$24-$AA44)-MOD((Lists!K$24-$AA44),$Z44)))&lt;=$AB44)+((((Lists!K$24-$AA44)-MOD((Lists!K$24-$AA44),$Z44))-$Z44)&gt;=0)*(EDATE($G44,(((Lists!K$24-$AA44)-MOD((Lists!K$24-$AA44),$Z44))-$Z44))&gt;Lists!K$23)*(EDATE($G44,(((Lists!K$24-$AA44)-MOD((Lists!K$24-$AA44),$Z44))-$Z44))&lt;=Lists!K$21)*(EDATE($G44,(((Lists!K$24-$AA44)-MOD((Lists!K$24-$AA44),$Z44))-$Z44))&lt;=$AB44)))))</f>
        <v>0</v>
      </c>
      <c r="S44" s="53" t="n">
        <f aca="false">IF(OR(N($E44)=0,$G44=""),0,$I44*IF($F44="Weekly",((Lists!L$21-MOD(Lists!L$21-$G44,7))&gt;=$G44)*((Lists!L$21-MOD(Lists!L$21-$G44,7))&lt;=$AB44),IF($F44="One-off",($G44&gt;Lists!L$23)*($G44&lt;=Lists!L$21),IF($F44="",0,(((Lists!L$24-$AA44)-MOD((Lists!L$24-$AA44),$Z44))&gt;=0)*(EDATE($G44,((Lists!L$24-$AA44)-MOD((Lists!L$24-$AA44),$Z44)))&gt;Lists!L$23)*(EDATE($G44,((Lists!L$24-$AA44)-MOD((Lists!L$24-$AA44),$Z44)))&lt;=Lists!L$21)*(EDATE($G44,((Lists!L$24-$AA44)-MOD((Lists!L$24-$AA44),$Z44)))&lt;=$AB44)+((((Lists!L$24-$AA44)-MOD((Lists!L$24-$AA44),$Z44))-$Z44)&gt;=0)*(EDATE($G44,(((Lists!L$24-$AA44)-MOD((Lists!L$24-$AA44),$Z44))-$Z44))&gt;Lists!L$23)*(EDATE($G44,(((Lists!L$24-$AA44)-MOD((Lists!L$24-$AA44),$Z44))-$Z44))&lt;=Lists!L$21)*(EDATE($G44,(((Lists!L$24-$AA44)-MOD((Lists!L$24-$AA44),$Z44))-$Z44))&lt;=$AB44)))))</f>
        <v>0</v>
      </c>
      <c r="T44" s="53" t="n">
        <f aca="false">IF(OR(N($E44)=0,$G44=""),0,$I44*IF($F44="Weekly",((Lists!M$21-MOD(Lists!M$21-$G44,7))&gt;=$G44)*((Lists!M$21-MOD(Lists!M$21-$G44,7))&lt;=$AB44),IF($F44="One-off",($G44&gt;Lists!M$23)*($G44&lt;=Lists!M$21),IF($F44="",0,(((Lists!M$24-$AA44)-MOD((Lists!M$24-$AA44),$Z44))&gt;=0)*(EDATE($G44,((Lists!M$24-$AA44)-MOD((Lists!M$24-$AA44),$Z44)))&gt;Lists!M$23)*(EDATE($G44,((Lists!M$24-$AA44)-MOD((Lists!M$24-$AA44),$Z44)))&lt;=Lists!M$21)*(EDATE($G44,((Lists!M$24-$AA44)-MOD((Lists!M$24-$AA44),$Z44)))&lt;=$AB44)+((((Lists!M$24-$AA44)-MOD((Lists!M$24-$AA44),$Z44))-$Z44)&gt;=0)*(EDATE($G44,(((Lists!M$24-$AA44)-MOD((Lists!M$24-$AA44),$Z44))-$Z44))&gt;Lists!M$23)*(EDATE($G44,(((Lists!M$24-$AA44)-MOD((Lists!M$24-$AA44),$Z44))-$Z44))&lt;=Lists!M$21)*(EDATE($G44,(((Lists!M$24-$AA44)-MOD((Lists!M$24-$AA44),$Z44))-$Z44))&lt;=$AB44)))))</f>
        <v>0</v>
      </c>
      <c r="U44" s="53" t="n">
        <f aca="false">IF(OR(N($E44)=0,$G44=""),0,$I44*IF($F44="Weekly",((Lists!N$21-MOD(Lists!N$21-$G44,7))&gt;=$G44)*((Lists!N$21-MOD(Lists!N$21-$G44,7))&lt;=$AB44),IF($F44="One-off",($G44&gt;Lists!N$23)*($G44&lt;=Lists!N$21),IF($F44="",0,(((Lists!N$24-$AA44)-MOD((Lists!N$24-$AA44),$Z44))&gt;=0)*(EDATE($G44,((Lists!N$24-$AA44)-MOD((Lists!N$24-$AA44),$Z44)))&gt;Lists!N$23)*(EDATE($G44,((Lists!N$24-$AA44)-MOD((Lists!N$24-$AA44),$Z44)))&lt;=Lists!N$21)*(EDATE($G44,((Lists!N$24-$AA44)-MOD((Lists!N$24-$AA44),$Z44)))&lt;=$AB44)+((((Lists!N$24-$AA44)-MOD((Lists!N$24-$AA44),$Z44))-$Z44)&gt;=0)*(EDATE($G44,(((Lists!N$24-$AA44)-MOD((Lists!N$24-$AA44),$Z44))-$Z44))&gt;Lists!N$23)*(EDATE($G44,(((Lists!N$24-$AA44)-MOD((Lists!N$24-$AA44),$Z44))-$Z44))&lt;=Lists!N$21)*(EDATE($G44,(((Lists!N$24-$AA44)-MOD((Lists!N$24-$AA44),$Z44))-$Z44))&lt;=$AB44)))))</f>
        <v>0</v>
      </c>
      <c r="V44" s="53" t="n">
        <f aca="false">IF(OR(N($E44)=0,$G44=""),0,$I44*IF($F44="Weekly",((Lists!O$21-MOD(Lists!O$21-$G44,7))&gt;=$G44)*((Lists!O$21-MOD(Lists!O$21-$G44,7))&lt;=$AB44),IF($F44="One-off",($G44&gt;Lists!O$23)*($G44&lt;=Lists!O$21),IF($F44="",0,(((Lists!O$24-$AA44)-MOD((Lists!O$24-$AA44),$Z44))&gt;=0)*(EDATE($G44,((Lists!O$24-$AA44)-MOD((Lists!O$24-$AA44),$Z44)))&gt;Lists!O$23)*(EDATE($G44,((Lists!O$24-$AA44)-MOD((Lists!O$24-$AA44),$Z44)))&lt;=Lists!O$21)*(EDATE($G44,((Lists!O$24-$AA44)-MOD((Lists!O$24-$AA44),$Z44)))&lt;=$AB44)+((((Lists!O$24-$AA44)-MOD((Lists!O$24-$AA44),$Z44))-$Z44)&gt;=0)*(EDATE($G44,(((Lists!O$24-$AA44)-MOD((Lists!O$24-$AA44),$Z44))-$Z44))&gt;Lists!O$23)*(EDATE($G44,(((Lists!O$24-$AA44)-MOD((Lists!O$24-$AA44),$Z44))-$Z44))&lt;=Lists!O$21)*(EDATE($G44,(((Lists!O$24-$AA44)-MOD((Lists!O$24-$AA44),$Z44))-$Z44))&lt;=$AB44)))))</f>
        <v>0</v>
      </c>
      <c r="W44" s="46" t="n">
        <f aca="false">SUM(J44:V44)</f>
        <v>0</v>
      </c>
      <c r="X44" s="2"/>
      <c r="Y44" s="104" t="n">
        <f aca="false">IF(AND(Setup!$D$16="Yes",D44&lt;&gt;"No"),1+Setup!$D$17,1)</f>
        <v>1.2</v>
      </c>
      <c r="Z44" s="94" t="n">
        <f aca="false">IF(F44="Quarterly",3,IF(F44="Annually",12,1))</f>
        <v>1</v>
      </c>
      <c r="AA44" s="94" t="n">
        <f aca="false">IF(G44="",0,YEAR(G44)*12+MONTH(G44))</f>
        <v>0</v>
      </c>
      <c r="AB44" s="93" t="n">
        <f aca="false">IF(H44="",2958465,H44)</f>
        <v>2958465</v>
      </c>
      <c r="AC44" s="95" t="str">
        <f aca="false">IF(C44="","Other overheads",C44)</f>
        <v>Other overheads</v>
      </c>
    </row>
    <row r="45" customFormat="false" ht="15" hidden="false" customHeight="false" outlineLevel="0" collapsed="false">
      <c r="A45" s="87" t="n">
        <v>37</v>
      </c>
      <c r="B45" s="55"/>
      <c r="C45" s="55"/>
      <c r="D45" s="58"/>
      <c r="E45" s="88"/>
      <c r="F45" s="58"/>
      <c r="G45" s="90"/>
      <c r="H45" s="90"/>
      <c r="I45" s="92" t="n">
        <f aca="false">N(E45)*Y45</f>
        <v>0</v>
      </c>
      <c r="J45" s="53" t="n">
        <f aca="false">IF(OR(N($E45)=0,$G45=""),0,$I45*IF($F45="Weekly",((Lists!C$21-MOD(Lists!C$21-$G45,7))&gt;=$G45)*((Lists!C$21-MOD(Lists!C$21-$G45,7))&lt;=$AB45),IF($F45="One-off",($G45&gt;Lists!C$23)*($G45&lt;=Lists!C$21),IF($F45="",0,(((Lists!C$24-$AA45)-MOD((Lists!C$24-$AA45),$Z45))&gt;=0)*(EDATE($G45,((Lists!C$24-$AA45)-MOD((Lists!C$24-$AA45),$Z45)))&gt;Lists!C$23)*(EDATE($G45,((Lists!C$24-$AA45)-MOD((Lists!C$24-$AA45),$Z45)))&lt;=Lists!C$21)*(EDATE($G45,((Lists!C$24-$AA45)-MOD((Lists!C$24-$AA45),$Z45)))&lt;=$AB45)+((((Lists!C$24-$AA45)-MOD((Lists!C$24-$AA45),$Z45))-$Z45)&gt;=0)*(EDATE($G45,(((Lists!C$24-$AA45)-MOD((Lists!C$24-$AA45),$Z45))-$Z45))&gt;Lists!C$23)*(EDATE($G45,(((Lists!C$24-$AA45)-MOD((Lists!C$24-$AA45),$Z45))-$Z45))&lt;=Lists!C$21)*(EDATE($G45,(((Lists!C$24-$AA45)-MOD((Lists!C$24-$AA45),$Z45))-$Z45))&lt;=$AB45)))))</f>
        <v>0</v>
      </c>
      <c r="K45" s="53" t="n">
        <f aca="false">IF(OR(N($E45)=0,$G45=""),0,$I45*IF($F45="Weekly",((Lists!D$21-MOD(Lists!D$21-$G45,7))&gt;=$G45)*((Lists!D$21-MOD(Lists!D$21-$G45,7))&lt;=$AB45),IF($F45="One-off",($G45&gt;Lists!D$23)*($G45&lt;=Lists!D$21),IF($F45="",0,(((Lists!D$24-$AA45)-MOD((Lists!D$24-$AA45),$Z45))&gt;=0)*(EDATE($G45,((Lists!D$24-$AA45)-MOD((Lists!D$24-$AA45),$Z45)))&gt;Lists!D$23)*(EDATE($G45,((Lists!D$24-$AA45)-MOD((Lists!D$24-$AA45),$Z45)))&lt;=Lists!D$21)*(EDATE($G45,((Lists!D$24-$AA45)-MOD((Lists!D$24-$AA45),$Z45)))&lt;=$AB45)+((((Lists!D$24-$AA45)-MOD((Lists!D$24-$AA45),$Z45))-$Z45)&gt;=0)*(EDATE($G45,(((Lists!D$24-$AA45)-MOD((Lists!D$24-$AA45),$Z45))-$Z45))&gt;Lists!D$23)*(EDATE($G45,(((Lists!D$24-$AA45)-MOD((Lists!D$24-$AA45),$Z45))-$Z45))&lt;=Lists!D$21)*(EDATE($G45,(((Lists!D$24-$AA45)-MOD((Lists!D$24-$AA45),$Z45))-$Z45))&lt;=$AB45)))))</f>
        <v>0</v>
      </c>
      <c r="L45" s="53" t="n">
        <f aca="false">IF(OR(N($E45)=0,$G45=""),0,$I45*IF($F45="Weekly",((Lists!E$21-MOD(Lists!E$21-$G45,7))&gt;=$G45)*((Lists!E$21-MOD(Lists!E$21-$G45,7))&lt;=$AB45),IF($F45="One-off",($G45&gt;Lists!E$23)*($G45&lt;=Lists!E$21),IF($F45="",0,(((Lists!E$24-$AA45)-MOD((Lists!E$24-$AA45),$Z45))&gt;=0)*(EDATE($G45,((Lists!E$24-$AA45)-MOD((Lists!E$24-$AA45),$Z45)))&gt;Lists!E$23)*(EDATE($G45,((Lists!E$24-$AA45)-MOD((Lists!E$24-$AA45),$Z45)))&lt;=Lists!E$21)*(EDATE($G45,((Lists!E$24-$AA45)-MOD((Lists!E$24-$AA45),$Z45)))&lt;=$AB45)+((((Lists!E$24-$AA45)-MOD((Lists!E$24-$AA45),$Z45))-$Z45)&gt;=0)*(EDATE($G45,(((Lists!E$24-$AA45)-MOD((Lists!E$24-$AA45),$Z45))-$Z45))&gt;Lists!E$23)*(EDATE($G45,(((Lists!E$24-$AA45)-MOD((Lists!E$24-$AA45),$Z45))-$Z45))&lt;=Lists!E$21)*(EDATE($G45,(((Lists!E$24-$AA45)-MOD((Lists!E$24-$AA45),$Z45))-$Z45))&lt;=$AB45)))))</f>
        <v>0</v>
      </c>
      <c r="M45" s="53" t="n">
        <f aca="false">IF(OR(N($E45)=0,$G45=""),0,$I45*IF($F45="Weekly",((Lists!F$21-MOD(Lists!F$21-$G45,7))&gt;=$G45)*((Lists!F$21-MOD(Lists!F$21-$G45,7))&lt;=$AB45),IF($F45="One-off",($G45&gt;Lists!F$23)*($G45&lt;=Lists!F$21),IF($F45="",0,(((Lists!F$24-$AA45)-MOD((Lists!F$24-$AA45),$Z45))&gt;=0)*(EDATE($G45,((Lists!F$24-$AA45)-MOD((Lists!F$24-$AA45),$Z45)))&gt;Lists!F$23)*(EDATE($G45,((Lists!F$24-$AA45)-MOD((Lists!F$24-$AA45),$Z45)))&lt;=Lists!F$21)*(EDATE($G45,((Lists!F$24-$AA45)-MOD((Lists!F$24-$AA45),$Z45)))&lt;=$AB45)+((((Lists!F$24-$AA45)-MOD((Lists!F$24-$AA45),$Z45))-$Z45)&gt;=0)*(EDATE($G45,(((Lists!F$24-$AA45)-MOD((Lists!F$24-$AA45),$Z45))-$Z45))&gt;Lists!F$23)*(EDATE($G45,(((Lists!F$24-$AA45)-MOD((Lists!F$24-$AA45),$Z45))-$Z45))&lt;=Lists!F$21)*(EDATE($G45,(((Lists!F$24-$AA45)-MOD((Lists!F$24-$AA45),$Z45))-$Z45))&lt;=$AB45)))))</f>
        <v>0</v>
      </c>
      <c r="N45" s="53" t="n">
        <f aca="false">IF(OR(N($E45)=0,$G45=""),0,$I45*IF($F45="Weekly",((Lists!G$21-MOD(Lists!G$21-$G45,7))&gt;=$G45)*((Lists!G$21-MOD(Lists!G$21-$G45,7))&lt;=$AB45),IF($F45="One-off",($G45&gt;Lists!G$23)*($G45&lt;=Lists!G$21),IF($F45="",0,(((Lists!G$24-$AA45)-MOD((Lists!G$24-$AA45),$Z45))&gt;=0)*(EDATE($G45,((Lists!G$24-$AA45)-MOD((Lists!G$24-$AA45),$Z45)))&gt;Lists!G$23)*(EDATE($G45,((Lists!G$24-$AA45)-MOD((Lists!G$24-$AA45),$Z45)))&lt;=Lists!G$21)*(EDATE($G45,((Lists!G$24-$AA45)-MOD((Lists!G$24-$AA45),$Z45)))&lt;=$AB45)+((((Lists!G$24-$AA45)-MOD((Lists!G$24-$AA45),$Z45))-$Z45)&gt;=0)*(EDATE($G45,(((Lists!G$24-$AA45)-MOD((Lists!G$24-$AA45),$Z45))-$Z45))&gt;Lists!G$23)*(EDATE($G45,(((Lists!G$24-$AA45)-MOD((Lists!G$24-$AA45),$Z45))-$Z45))&lt;=Lists!G$21)*(EDATE($G45,(((Lists!G$24-$AA45)-MOD((Lists!G$24-$AA45),$Z45))-$Z45))&lt;=$AB45)))))</f>
        <v>0</v>
      </c>
      <c r="O45" s="53" t="n">
        <f aca="false">IF(OR(N($E45)=0,$G45=""),0,$I45*IF($F45="Weekly",((Lists!H$21-MOD(Lists!H$21-$G45,7))&gt;=$G45)*((Lists!H$21-MOD(Lists!H$21-$G45,7))&lt;=$AB45),IF($F45="One-off",($G45&gt;Lists!H$23)*($G45&lt;=Lists!H$21),IF($F45="",0,(((Lists!H$24-$AA45)-MOD((Lists!H$24-$AA45),$Z45))&gt;=0)*(EDATE($G45,((Lists!H$24-$AA45)-MOD((Lists!H$24-$AA45),$Z45)))&gt;Lists!H$23)*(EDATE($G45,((Lists!H$24-$AA45)-MOD((Lists!H$24-$AA45),$Z45)))&lt;=Lists!H$21)*(EDATE($G45,((Lists!H$24-$AA45)-MOD((Lists!H$24-$AA45),$Z45)))&lt;=$AB45)+((((Lists!H$24-$AA45)-MOD((Lists!H$24-$AA45),$Z45))-$Z45)&gt;=0)*(EDATE($G45,(((Lists!H$24-$AA45)-MOD((Lists!H$24-$AA45),$Z45))-$Z45))&gt;Lists!H$23)*(EDATE($G45,(((Lists!H$24-$AA45)-MOD((Lists!H$24-$AA45),$Z45))-$Z45))&lt;=Lists!H$21)*(EDATE($G45,(((Lists!H$24-$AA45)-MOD((Lists!H$24-$AA45),$Z45))-$Z45))&lt;=$AB45)))))</f>
        <v>0</v>
      </c>
      <c r="P45" s="53" t="n">
        <f aca="false">IF(OR(N($E45)=0,$G45=""),0,$I45*IF($F45="Weekly",((Lists!I$21-MOD(Lists!I$21-$G45,7))&gt;=$G45)*((Lists!I$21-MOD(Lists!I$21-$G45,7))&lt;=$AB45),IF($F45="One-off",($G45&gt;Lists!I$23)*($G45&lt;=Lists!I$21),IF($F45="",0,(((Lists!I$24-$AA45)-MOD((Lists!I$24-$AA45),$Z45))&gt;=0)*(EDATE($G45,((Lists!I$24-$AA45)-MOD((Lists!I$24-$AA45),$Z45)))&gt;Lists!I$23)*(EDATE($G45,((Lists!I$24-$AA45)-MOD((Lists!I$24-$AA45),$Z45)))&lt;=Lists!I$21)*(EDATE($G45,((Lists!I$24-$AA45)-MOD((Lists!I$24-$AA45),$Z45)))&lt;=$AB45)+((((Lists!I$24-$AA45)-MOD((Lists!I$24-$AA45),$Z45))-$Z45)&gt;=0)*(EDATE($G45,(((Lists!I$24-$AA45)-MOD((Lists!I$24-$AA45),$Z45))-$Z45))&gt;Lists!I$23)*(EDATE($G45,(((Lists!I$24-$AA45)-MOD((Lists!I$24-$AA45),$Z45))-$Z45))&lt;=Lists!I$21)*(EDATE($G45,(((Lists!I$24-$AA45)-MOD((Lists!I$24-$AA45),$Z45))-$Z45))&lt;=$AB45)))))</f>
        <v>0</v>
      </c>
      <c r="Q45" s="53" t="n">
        <f aca="false">IF(OR(N($E45)=0,$G45=""),0,$I45*IF($F45="Weekly",((Lists!J$21-MOD(Lists!J$21-$G45,7))&gt;=$G45)*((Lists!J$21-MOD(Lists!J$21-$G45,7))&lt;=$AB45),IF($F45="One-off",($G45&gt;Lists!J$23)*($G45&lt;=Lists!J$21),IF($F45="",0,(((Lists!J$24-$AA45)-MOD((Lists!J$24-$AA45),$Z45))&gt;=0)*(EDATE($G45,((Lists!J$24-$AA45)-MOD((Lists!J$24-$AA45),$Z45)))&gt;Lists!J$23)*(EDATE($G45,((Lists!J$24-$AA45)-MOD((Lists!J$24-$AA45),$Z45)))&lt;=Lists!J$21)*(EDATE($G45,((Lists!J$24-$AA45)-MOD((Lists!J$24-$AA45),$Z45)))&lt;=$AB45)+((((Lists!J$24-$AA45)-MOD((Lists!J$24-$AA45),$Z45))-$Z45)&gt;=0)*(EDATE($G45,(((Lists!J$24-$AA45)-MOD((Lists!J$24-$AA45),$Z45))-$Z45))&gt;Lists!J$23)*(EDATE($G45,(((Lists!J$24-$AA45)-MOD((Lists!J$24-$AA45),$Z45))-$Z45))&lt;=Lists!J$21)*(EDATE($G45,(((Lists!J$24-$AA45)-MOD((Lists!J$24-$AA45),$Z45))-$Z45))&lt;=$AB45)))))</f>
        <v>0</v>
      </c>
      <c r="R45" s="53" t="n">
        <f aca="false">IF(OR(N($E45)=0,$G45=""),0,$I45*IF($F45="Weekly",((Lists!K$21-MOD(Lists!K$21-$G45,7))&gt;=$G45)*((Lists!K$21-MOD(Lists!K$21-$G45,7))&lt;=$AB45),IF($F45="One-off",($G45&gt;Lists!K$23)*($G45&lt;=Lists!K$21),IF($F45="",0,(((Lists!K$24-$AA45)-MOD((Lists!K$24-$AA45),$Z45))&gt;=0)*(EDATE($G45,((Lists!K$24-$AA45)-MOD((Lists!K$24-$AA45),$Z45)))&gt;Lists!K$23)*(EDATE($G45,((Lists!K$24-$AA45)-MOD((Lists!K$24-$AA45),$Z45)))&lt;=Lists!K$21)*(EDATE($G45,((Lists!K$24-$AA45)-MOD((Lists!K$24-$AA45),$Z45)))&lt;=$AB45)+((((Lists!K$24-$AA45)-MOD((Lists!K$24-$AA45),$Z45))-$Z45)&gt;=0)*(EDATE($G45,(((Lists!K$24-$AA45)-MOD((Lists!K$24-$AA45),$Z45))-$Z45))&gt;Lists!K$23)*(EDATE($G45,(((Lists!K$24-$AA45)-MOD((Lists!K$24-$AA45),$Z45))-$Z45))&lt;=Lists!K$21)*(EDATE($G45,(((Lists!K$24-$AA45)-MOD((Lists!K$24-$AA45),$Z45))-$Z45))&lt;=$AB45)))))</f>
        <v>0</v>
      </c>
      <c r="S45" s="53" t="n">
        <f aca="false">IF(OR(N($E45)=0,$G45=""),0,$I45*IF($F45="Weekly",((Lists!L$21-MOD(Lists!L$21-$G45,7))&gt;=$G45)*((Lists!L$21-MOD(Lists!L$21-$G45,7))&lt;=$AB45),IF($F45="One-off",($G45&gt;Lists!L$23)*($G45&lt;=Lists!L$21),IF($F45="",0,(((Lists!L$24-$AA45)-MOD((Lists!L$24-$AA45),$Z45))&gt;=0)*(EDATE($G45,((Lists!L$24-$AA45)-MOD((Lists!L$24-$AA45),$Z45)))&gt;Lists!L$23)*(EDATE($G45,((Lists!L$24-$AA45)-MOD((Lists!L$24-$AA45),$Z45)))&lt;=Lists!L$21)*(EDATE($G45,((Lists!L$24-$AA45)-MOD((Lists!L$24-$AA45),$Z45)))&lt;=$AB45)+((((Lists!L$24-$AA45)-MOD((Lists!L$24-$AA45),$Z45))-$Z45)&gt;=0)*(EDATE($G45,(((Lists!L$24-$AA45)-MOD((Lists!L$24-$AA45),$Z45))-$Z45))&gt;Lists!L$23)*(EDATE($G45,(((Lists!L$24-$AA45)-MOD((Lists!L$24-$AA45),$Z45))-$Z45))&lt;=Lists!L$21)*(EDATE($G45,(((Lists!L$24-$AA45)-MOD((Lists!L$24-$AA45),$Z45))-$Z45))&lt;=$AB45)))))</f>
        <v>0</v>
      </c>
      <c r="T45" s="53" t="n">
        <f aca="false">IF(OR(N($E45)=0,$G45=""),0,$I45*IF($F45="Weekly",((Lists!M$21-MOD(Lists!M$21-$G45,7))&gt;=$G45)*((Lists!M$21-MOD(Lists!M$21-$G45,7))&lt;=$AB45),IF($F45="One-off",($G45&gt;Lists!M$23)*($G45&lt;=Lists!M$21),IF($F45="",0,(((Lists!M$24-$AA45)-MOD((Lists!M$24-$AA45),$Z45))&gt;=0)*(EDATE($G45,((Lists!M$24-$AA45)-MOD((Lists!M$24-$AA45),$Z45)))&gt;Lists!M$23)*(EDATE($G45,((Lists!M$24-$AA45)-MOD((Lists!M$24-$AA45),$Z45)))&lt;=Lists!M$21)*(EDATE($G45,((Lists!M$24-$AA45)-MOD((Lists!M$24-$AA45),$Z45)))&lt;=$AB45)+((((Lists!M$24-$AA45)-MOD((Lists!M$24-$AA45),$Z45))-$Z45)&gt;=0)*(EDATE($G45,(((Lists!M$24-$AA45)-MOD((Lists!M$24-$AA45),$Z45))-$Z45))&gt;Lists!M$23)*(EDATE($G45,(((Lists!M$24-$AA45)-MOD((Lists!M$24-$AA45),$Z45))-$Z45))&lt;=Lists!M$21)*(EDATE($G45,(((Lists!M$24-$AA45)-MOD((Lists!M$24-$AA45),$Z45))-$Z45))&lt;=$AB45)))))</f>
        <v>0</v>
      </c>
      <c r="U45" s="53" t="n">
        <f aca="false">IF(OR(N($E45)=0,$G45=""),0,$I45*IF($F45="Weekly",((Lists!N$21-MOD(Lists!N$21-$G45,7))&gt;=$G45)*((Lists!N$21-MOD(Lists!N$21-$G45,7))&lt;=$AB45),IF($F45="One-off",($G45&gt;Lists!N$23)*($G45&lt;=Lists!N$21),IF($F45="",0,(((Lists!N$24-$AA45)-MOD((Lists!N$24-$AA45),$Z45))&gt;=0)*(EDATE($G45,((Lists!N$24-$AA45)-MOD((Lists!N$24-$AA45),$Z45)))&gt;Lists!N$23)*(EDATE($G45,((Lists!N$24-$AA45)-MOD((Lists!N$24-$AA45),$Z45)))&lt;=Lists!N$21)*(EDATE($G45,((Lists!N$24-$AA45)-MOD((Lists!N$24-$AA45),$Z45)))&lt;=$AB45)+((((Lists!N$24-$AA45)-MOD((Lists!N$24-$AA45),$Z45))-$Z45)&gt;=0)*(EDATE($G45,(((Lists!N$24-$AA45)-MOD((Lists!N$24-$AA45),$Z45))-$Z45))&gt;Lists!N$23)*(EDATE($G45,(((Lists!N$24-$AA45)-MOD((Lists!N$24-$AA45),$Z45))-$Z45))&lt;=Lists!N$21)*(EDATE($G45,(((Lists!N$24-$AA45)-MOD((Lists!N$24-$AA45),$Z45))-$Z45))&lt;=$AB45)))))</f>
        <v>0</v>
      </c>
      <c r="V45" s="53" t="n">
        <f aca="false">IF(OR(N($E45)=0,$G45=""),0,$I45*IF($F45="Weekly",((Lists!O$21-MOD(Lists!O$21-$G45,7))&gt;=$G45)*((Lists!O$21-MOD(Lists!O$21-$G45,7))&lt;=$AB45),IF($F45="One-off",($G45&gt;Lists!O$23)*($G45&lt;=Lists!O$21),IF($F45="",0,(((Lists!O$24-$AA45)-MOD((Lists!O$24-$AA45),$Z45))&gt;=0)*(EDATE($G45,((Lists!O$24-$AA45)-MOD((Lists!O$24-$AA45),$Z45)))&gt;Lists!O$23)*(EDATE($G45,((Lists!O$24-$AA45)-MOD((Lists!O$24-$AA45),$Z45)))&lt;=Lists!O$21)*(EDATE($G45,((Lists!O$24-$AA45)-MOD((Lists!O$24-$AA45),$Z45)))&lt;=$AB45)+((((Lists!O$24-$AA45)-MOD((Lists!O$24-$AA45),$Z45))-$Z45)&gt;=0)*(EDATE($G45,(((Lists!O$24-$AA45)-MOD((Lists!O$24-$AA45),$Z45))-$Z45))&gt;Lists!O$23)*(EDATE($G45,(((Lists!O$24-$AA45)-MOD((Lists!O$24-$AA45),$Z45))-$Z45))&lt;=Lists!O$21)*(EDATE($G45,(((Lists!O$24-$AA45)-MOD((Lists!O$24-$AA45),$Z45))-$Z45))&lt;=$AB45)))))</f>
        <v>0</v>
      </c>
      <c r="W45" s="46" t="n">
        <f aca="false">SUM(J45:V45)</f>
        <v>0</v>
      </c>
      <c r="X45" s="2"/>
      <c r="Y45" s="104" t="n">
        <f aca="false">IF(AND(Setup!$D$16="Yes",D45&lt;&gt;"No"),1+Setup!$D$17,1)</f>
        <v>1.2</v>
      </c>
      <c r="Z45" s="94" t="n">
        <f aca="false">IF(F45="Quarterly",3,IF(F45="Annually",12,1))</f>
        <v>1</v>
      </c>
      <c r="AA45" s="94" t="n">
        <f aca="false">IF(G45="",0,YEAR(G45)*12+MONTH(G45))</f>
        <v>0</v>
      </c>
      <c r="AB45" s="93" t="n">
        <f aca="false">IF(H45="",2958465,H45)</f>
        <v>2958465</v>
      </c>
      <c r="AC45" s="95" t="str">
        <f aca="false">IF(C45="","Other overheads",C45)</f>
        <v>Other overheads</v>
      </c>
    </row>
    <row r="46" customFormat="false" ht="15" hidden="false" customHeight="false" outlineLevel="0" collapsed="false">
      <c r="A46" s="87" t="n">
        <v>38</v>
      </c>
      <c r="B46" s="55"/>
      <c r="C46" s="55"/>
      <c r="D46" s="58"/>
      <c r="E46" s="88"/>
      <c r="F46" s="58"/>
      <c r="G46" s="90"/>
      <c r="H46" s="90"/>
      <c r="I46" s="92" t="n">
        <f aca="false">N(E46)*Y46</f>
        <v>0</v>
      </c>
      <c r="J46" s="53" t="n">
        <f aca="false">IF(OR(N($E46)=0,$G46=""),0,$I46*IF($F46="Weekly",((Lists!C$21-MOD(Lists!C$21-$G46,7))&gt;=$G46)*((Lists!C$21-MOD(Lists!C$21-$G46,7))&lt;=$AB46),IF($F46="One-off",($G46&gt;Lists!C$23)*($G46&lt;=Lists!C$21),IF($F46="",0,(((Lists!C$24-$AA46)-MOD((Lists!C$24-$AA46),$Z46))&gt;=0)*(EDATE($G46,((Lists!C$24-$AA46)-MOD((Lists!C$24-$AA46),$Z46)))&gt;Lists!C$23)*(EDATE($G46,((Lists!C$24-$AA46)-MOD((Lists!C$24-$AA46),$Z46)))&lt;=Lists!C$21)*(EDATE($G46,((Lists!C$24-$AA46)-MOD((Lists!C$24-$AA46),$Z46)))&lt;=$AB46)+((((Lists!C$24-$AA46)-MOD((Lists!C$24-$AA46),$Z46))-$Z46)&gt;=0)*(EDATE($G46,(((Lists!C$24-$AA46)-MOD((Lists!C$24-$AA46),$Z46))-$Z46))&gt;Lists!C$23)*(EDATE($G46,(((Lists!C$24-$AA46)-MOD((Lists!C$24-$AA46),$Z46))-$Z46))&lt;=Lists!C$21)*(EDATE($G46,(((Lists!C$24-$AA46)-MOD((Lists!C$24-$AA46),$Z46))-$Z46))&lt;=$AB46)))))</f>
        <v>0</v>
      </c>
      <c r="K46" s="53" t="n">
        <f aca="false">IF(OR(N($E46)=0,$G46=""),0,$I46*IF($F46="Weekly",((Lists!D$21-MOD(Lists!D$21-$G46,7))&gt;=$G46)*((Lists!D$21-MOD(Lists!D$21-$G46,7))&lt;=$AB46),IF($F46="One-off",($G46&gt;Lists!D$23)*($G46&lt;=Lists!D$21),IF($F46="",0,(((Lists!D$24-$AA46)-MOD((Lists!D$24-$AA46),$Z46))&gt;=0)*(EDATE($G46,((Lists!D$24-$AA46)-MOD((Lists!D$24-$AA46),$Z46)))&gt;Lists!D$23)*(EDATE($G46,((Lists!D$24-$AA46)-MOD((Lists!D$24-$AA46),$Z46)))&lt;=Lists!D$21)*(EDATE($G46,((Lists!D$24-$AA46)-MOD((Lists!D$24-$AA46),$Z46)))&lt;=$AB46)+((((Lists!D$24-$AA46)-MOD((Lists!D$24-$AA46),$Z46))-$Z46)&gt;=0)*(EDATE($G46,(((Lists!D$24-$AA46)-MOD((Lists!D$24-$AA46),$Z46))-$Z46))&gt;Lists!D$23)*(EDATE($G46,(((Lists!D$24-$AA46)-MOD((Lists!D$24-$AA46),$Z46))-$Z46))&lt;=Lists!D$21)*(EDATE($G46,(((Lists!D$24-$AA46)-MOD((Lists!D$24-$AA46),$Z46))-$Z46))&lt;=$AB46)))))</f>
        <v>0</v>
      </c>
      <c r="L46" s="53" t="n">
        <f aca="false">IF(OR(N($E46)=0,$G46=""),0,$I46*IF($F46="Weekly",((Lists!E$21-MOD(Lists!E$21-$G46,7))&gt;=$G46)*((Lists!E$21-MOD(Lists!E$21-$G46,7))&lt;=$AB46),IF($F46="One-off",($G46&gt;Lists!E$23)*($G46&lt;=Lists!E$21),IF($F46="",0,(((Lists!E$24-$AA46)-MOD((Lists!E$24-$AA46),$Z46))&gt;=0)*(EDATE($G46,((Lists!E$24-$AA46)-MOD((Lists!E$24-$AA46),$Z46)))&gt;Lists!E$23)*(EDATE($G46,((Lists!E$24-$AA46)-MOD((Lists!E$24-$AA46),$Z46)))&lt;=Lists!E$21)*(EDATE($G46,((Lists!E$24-$AA46)-MOD((Lists!E$24-$AA46),$Z46)))&lt;=$AB46)+((((Lists!E$24-$AA46)-MOD((Lists!E$24-$AA46),$Z46))-$Z46)&gt;=0)*(EDATE($G46,(((Lists!E$24-$AA46)-MOD((Lists!E$24-$AA46),$Z46))-$Z46))&gt;Lists!E$23)*(EDATE($G46,(((Lists!E$24-$AA46)-MOD((Lists!E$24-$AA46),$Z46))-$Z46))&lt;=Lists!E$21)*(EDATE($G46,(((Lists!E$24-$AA46)-MOD((Lists!E$24-$AA46),$Z46))-$Z46))&lt;=$AB46)))))</f>
        <v>0</v>
      </c>
      <c r="M46" s="53" t="n">
        <f aca="false">IF(OR(N($E46)=0,$G46=""),0,$I46*IF($F46="Weekly",((Lists!F$21-MOD(Lists!F$21-$G46,7))&gt;=$G46)*((Lists!F$21-MOD(Lists!F$21-$G46,7))&lt;=$AB46),IF($F46="One-off",($G46&gt;Lists!F$23)*($G46&lt;=Lists!F$21),IF($F46="",0,(((Lists!F$24-$AA46)-MOD((Lists!F$24-$AA46),$Z46))&gt;=0)*(EDATE($G46,((Lists!F$24-$AA46)-MOD((Lists!F$24-$AA46),$Z46)))&gt;Lists!F$23)*(EDATE($G46,((Lists!F$24-$AA46)-MOD((Lists!F$24-$AA46),$Z46)))&lt;=Lists!F$21)*(EDATE($G46,((Lists!F$24-$AA46)-MOD((Lists!F$24-$AA46),$Z46)))&lt;=$AB46)+((((Lists!F$24-$AA46)-MOD((Lists!F$24-$AA46),$Z46))-$Z46)&gt;=0)*(EDATE($G46,(((Lists!F$24-$AA46)-MOD((Lists!F$24-$AA46),$Z46))-$Z46))&gt;Lists!F$23)*(EDATE($G46,(((Lists!F$24-$AA46)-MOD((Lists!F$24-$AA46),$Z46))-$Z46))&lt;=Lists!F$21)*(EDATE($G46,(((Lists!F$24-$AA46)-MOD((Lists!F$24-$AA46),$Z46))-$Z46))&lt;=$AB46)))))</f>
        <v>0</v>
      </c>
      <c r="N46" s="53" t="n">
        <f aca="false">IF(OR(N($E46)=0,$G46=""),0,$I46*IF($F46="Weekly",((Lists!G$21-MOD(Lists!G$21-$G46,7))&gt;=$G46)*((Lists!G$21-MOD(Lists!G$21-$G46,7))&lt;=$AB46),IF($F46="One-off",($G46&gt;Lists!G$23)*($G46&lt;=Lists!G$21),IF($F46="",0,(((Lists!G$24-$AA46)-MOD((Lists!G$24-$AA46),$Z46))&gt;=0)*(EDATE($G46,((Lists!G$24-$AA46)-MOD((Lists!G$24-$AA46),$Z46)))&gt;Lists!G$23)*(EDATE($G46,((Lists!G$24-$AA46)-MOD((Lists!G$24-$AA46),$Z46)))&lt;=Lists!G$21)*(EDATE($G46,((Lists!G$24-$AA46)-MOD((Lists!G$24-$AA46),$Z46)))&lt;=$AB46)+((((Lists!G$24-$AA46)-MOD((Lists!G$24-$AA46),$Z46))-$Z46)&gt;=0)*(EDATE($G46,(((Lists!G$24-$AA46)-MOD((Lists!G$24-$AA46),$Z46))-$Z46))&gt;Lists!G$23)*(EDATE($G46,(((Lists!G$24-$AA46)-MOD((Lists!G$24-$AA46),$Z46))-$Z46))&lt;=Lists!G$21)*(EDATE($G46,(((Lists!G$24-$AA46)-MOD((Lists!G$24-$AA46),$Z46))-$Z46))&lt;=$AB46)))))</f>
        <v>0</v>
      </c>
      <c r="O46" s="53" t="n">
        <f aca="false">IF(OR(N($E46)=0,$G46=""),0,$I46*IF($F46="Weekly",((Lists!H$21-MOD(Lists!H$21-$G46,7))&gt;=$G46)*((Lists!H$21-MOD(Lists!H$21-$G46,7))&lt;=$AB46),IF($F46="One-off",($G46&gt;Lists!H$23)*($G46&lt;=Lists!H$21),IF($F46="",0,(((Lists!H$24-$AA46)-MOD((Lists!H$24-$AA46),$Z46))&gt;=0)*(EDATE($G46,((Lists!H$24-$AA46)-MOD((Lists!H$24-$AA46),$Z46)))&gt;Lists!H$23)*(EDATE($G46,((Lists!H$24-$AA46)-MOD((Lists!H$24-$AA46),$Z46)))&lt;=Lists!H$21)*(EDATE($G46,((Lists!H$24-$AA46)-MOD((Lists!H$24-$AA46),$Z46)))&lt;=$AB46)+((((Lists!H$24-$AA46)-MOD((Lists!H$24-$AA46),$Z46))-$Z46)&gt;=0)*(EDATE($G46,(((Lists!H$24-$AA46)-MOD((Lists!H$24-$AA46),$Z46))-$Z46))&gt;Lists!H$23)*(EDATE($G46,(((Lists!H$24-$AA46)-MOD((Lists!H$24-$AA46),$Z46))-$Z46))&lt;=Lists!H$21)*(EDATE($G46,(((Lists!H$24-$AA46)-MOD((Lists!H$24-$AA46),$Z46))-$Z46))&lt;=$AB46)))))</f>
        <v>0</v>
      </c>
      <c r="P46" s="53" t="n">
        <f aca="false">IF(OR(N($E46)=0,$G46=""),0,$I46*IF($F46="Weekly",((Lists!I$21-MOD(Lists!I$21-$G46,7))&gt;=$G46)*((Lists!I$21-MOD(Lists!I$21-$G46,7))&lt;=$AB46),IF($F46="One-off",($G46&gt;Lists!I$23)*($G46&lt;=Lists!I$21),IF($F46="",0,(((Lists!I$24-$AA46)-MOD((Lists!I$24-$AA46),$Z46))&gt;=0)*(EDATE($G46,((Lists!I$24-$AA46)-MOD((Lists!I$24-$AA46),$Z46)))&gt;Lists!I$23)*(EDATE($G46,((Lists!I$24-$AA46)-MOD((Lists!I$24-$AA46),$Z46)))&lt;=Lists!I$21)*(EDATE($G46,((Lists!I$24-$AA46)-MOD((Lists!I$24-$AA46),$Z46)))&lt;=$AB46)+((((Lists!I$24-$AA46)-MOD((Lists!I$24-$AA46),$Z46))-$Z46)&gt;=0)*(EDATE($G46,(((Lists!I$24-$AA46)-MOD((Lists!I$24-$AA46),$Z46))-$Z46))&gt;Lists!I$23)*(EDATE($G46,(((Lists!I$24-$AA46)-MOD((Lists!I$24-$AA46),$Z46))-$Z46))&lt;=Lists!I$21)*(EDATE($G46,(((Lists!I$24-$AA46)-MOD((Lists!I$24-$AA46),$Z46))-$Z46))&lt;=$AB46)))))</f>
        <v>0</v>
      </c>
      <c r="Q46" s="53" t="n">
        <f aca="false">IF(OR(N($E46)=0,$G46=""),0,$I46*IF($F46="Weekly",((Lists!J$21-MOD(Lists!J$21-$G46,7))&gt;=$G46)*((Lists!J$21-MOD(Lists!J$21-$G46,7))&lt;=$AB46),IF($F46="One-off",($G46&gt;Lists!J$23)*($G46&lt;=Lists!J$21),IF($F46="",0,(((Lists!J$24-$AA46)-MOD((Lists!J$24-$AA46),$Z46))&gt;=0)*(EDATE($G46,((Lists!J$24-$AA46)-MOD((Lists!J$24-$AA46),$Z46)))&gt;Lists!J$23)*(EDATE($G46,((Lists!J$24-$AA46)-MOD((Lists!J$24-$AA46),$Z46)))&lt;=Lists!J$21)*(EDATE($G46,((Lists!J$24-$AA46)-MOD((Lists!J$24-$AA46),$Z46)))&lt;=$AB46)+((((Lists!J$24-$AA46)-MOD((Lists!J$24-$AA46),$Z46))-$Z46)&gt;=0)*(EDATE($G46,(((Lists!J$24-$AA46)-MOD((Lists!J$24-$AA46),$Z46))-$Z46))&gt;Lists!J$23)*(EDATE($G46,(((Lists!J$24-$AA46)-MOD((Lists!J$24-$AA46),$Z46))-$Z46))&lt;=Lists!J$21)*(EDATE($G46,(((Lists!J$24-$AA46)-MOD((Lists!J$24-$AA46),$Z46))-$Z46))&lt;=$AB46)))))</f>
        <v>0</v>
      </c>
      <c r="R46" s="53" t="n">
        <f aca="false">IF(OR(N($E46)=0,$G46=""),0,$I46*IF($F46="Weekly",((Lists!K$21-MOD(Lists!K$21-$G46,7))&gt;=$G46)*((Lists!K$21-MOD(Lists!K$21-$G46,7))&lt;=$AB46),IF($F46="One-off",($G46&gt;Lists!K$23)*($G46&lt;=Lists!K$21),IF($F46="",0,(((Lists!K$24-$AA46)-MOD((Lists!K$24-$AA46),$Z46))&gt;=0)*(EDATE($G46,((Lists!K$24-$AA46)-MOD((Lists!K$24-$AA46),$Z46)))&gt;Lists!K$23)*(EDATE($G46,((Lists!K$24-$AA46)-MOD((Lists!K$24-$AA46),$Z46)))&lt;=Lists!K$21)*(EDATE($G46,((Lists!K$24-$AA46)-MOD((Lists!K$24-$AA46),$Z46)))&lt;=$AB46)+((((Lists!K$24-$AA46)-MOD((Lists!K$24-$AA46),$Z46))-$Z46)&gt;=0)*(EDATE($G46,(((Lists!K$24-$AA46)-MOD((Lists!K$24-$AA46),$Z46))-$Z46))&gt;Lists!K$23)*(EDATE($G46,(((Lists!K$24-$AA46)-MOD((Lists!K$24-$AA46),$Z46))-$Z46))&lt;=Lists!K$21)*(EDATE($G46,(((Lists!K$24-$AA46)-MOD((Lists!K$24-$AA46),$Z46))-$Z46))&lt;=$AB46)))))</f>
        <v>0</v>
      </c>
      <c r="S46" s="53" t="n">
        <f aca="false">IF(OR(N($E46)=0,$G46=""),0,$I46*IF($F46="Weekly",((Lists!L$21-MOD(Lists!L$21-$G46,7))&gt;=$G46)*((Lists!L$21-MOD(Lists!L$21-$G46,7))&lt;=$AB46),IF($F46="One-off",($G46&gt;Lists!L$23)*($G46&lt;=Lists!L$21),IF($F46="",0,(((Lists!L$24-$AA46)-MOD((Lists!L$24-$AA46),$Z46))&gt;=0)*(EDATE($G46,((Lists!L$24-$AA46)-MOD((Lists!L$24-$AA46),$Z46)))&gt;Lists!L$23)*(EDATE($G46,((Lists!L$24-$AA46)-MOD((Lists!L$24-$AA46),$Z46)))&lt;=Lists!L$21)*(EDATE($G46,((Lists!L$24-$AA46)-MOD((Lists!L$24-$AA46),$Z46)))&lt;=$AB46)+((((Lists!L$24-$AA46)-MOD((Lists!L$24-$AA46),$Z46))-$Z46)&gt;=0)*(EDATE($G46,(((Lists!L$24-$AA46)-MOD((Lists!L$24-$AA46),$Z46))-$Z46))&gt;Lists!L$23)*(EDATE($G46,(((Lists!L$24-$AA46)-MOD((Lists!L$24-$AA46),$Z46))-$Z46))&lt;=Lists!L$21)*(EDATE($G46,(((Lists!L$24-$AA46)-MOD((Lists!L$24-$AA46),$Z46))-$Z46))&lt;=$AB46)))))</f>
        <v>0</v>
      </c>
      <c r="T46" s="53" t="n">
        <f aca="false">IF(OR(N($E46)=0,$G46=""),0,$I46*IF($F46="Weekly",((Lists!M$21-MOD(Lists!M$21-$G46,7))&gt;=$G46)*((Lists!M$21-MOD(Lists!M$21-$G46,7))&lt;=$AB46),IF($F46="One-off",($G46&gt;Lists!M$23)*($G46&lt;=Lists!M$21),IF($F46="",0,(((Lists!M$24-$AA46)-MOD((Lists!M$24-$AA46),$Z46))&gt;=0)*(EDATE($G46,((Lists!M$24-$AA46)-MOD((Lists!M$24-$AA46),$Z46)))&gt;Lists!M$23)*(EDATE($G46,((Lists!M$24-$AA46)-MOD((Lists!M$24-$AA46),$Z46)))&lt;=Lists!M$21)*(EDATE($G46,((Lists!M$24-$AA46)-MOD((Lists!M$24-$AA46),$Z46)))&lt;=$AB46)+((((Lists!M$24-$AA46)-MOD((Lists!M$24-$AA46),$Z46))-$Z46)&gt;=0)*(EDATE($G46,(((Lists!M$24-$AA46)-MOD((Lists!M$24-$AA46),$Z46))-$Z46))&gt;Lists!M$23)*(EDATE($G46,(((Lists!M$24-$AA46)-MOD((Lists!M$24-$AA46),$Z46))-$Z46))&lt;=Lists!M$21)*(EDATE($G46,(((Lists!M$24-$AA46)-MOD((Lists!M$24-$AA46),$Z46))-$Z46))&lt;=$AB46)))))</f>
        <v>0</v>
      </c>
      <c r="U46" s="53" t="n">
        <f aca="false">IF(OR(N($E46)=0,$G46=""),0,$I46*IF($F46="Weekly",((Lists!N$21-MOD(Lists!N$21-$G46,7))&gt;=$G46)*((Lists!N$21-MOD(Lists!N$21-$G46,7))&lt;=$AB46),IF($F46="One-off",($G46&gt;Lists!N$23)*($G46&lt;=Lists!N$21),IF($F46="",0,(((Lists!N$24-$AA46)-MOD((Lists!N$24-$AA46),$Z46))&gt;=0)*(EDATE($G46,((Lists!N$24-$AA46)-MOD((Lists!N$24-$AA46),$Z46)))&gt;Lists!N$23)*(EDATE($G46,((Lists!N$24-$AA46)-MOD((Lists!N$24-$AA46),$Z46)))&lt;=Lists!N$21)*(EDATE($G46,((Lists!N$24-$AA46)-MOD((Lists!N$24-$AA46),$Z46)))&lt;=$AB46)+((((Lists!N$24-$AA46)-MOD((Lists!N$24-$AA46),$Z46))-$Z46)&gt;=0)*(EDATE($G46,(((Lists!N$24-$AA46)-MOD((Lists!N$24-$AA46),$Z46))-$Z46))&gt;Lists!N$23)*(EDATE($G46,(((Lists!N$24-$AA46)-MOD((Lists!N$24-$AA46),$Z46))-$Z46))&lt;=Lists!N$21)*(EDATE($G46,(((Lists!N$24-$AA46)-MOD((Lists!N$24-$AA46),$Z46))-$Z46))&lt;=$AB46)))))</f>
        <v>0</v>
      </c>
      <c r="V46" s="53" t="n">
        <f aca="false">IF(OR(N($E46)=0,$G46=""),0,$I46*IF($F46="Weekly",((Lists!O$21-MOD(Lists!O$21-$G46,7))&gt;=$G46)*((Lists!O$21-MOD(Lists!O$21-$G46,7))&lt;=$AB46),IF($F46="One-off",($G46&gt;Lists!O$23)*($G46&lt;=Lists!O$21),IF($F46="",0,(((Lists!O$24-$AA46)-MOD((Lists!O$24-$AA46),$Z46))&gt;=0)*(EDATE($G46,((Lists!O$24-$AA46)-MOD((Lists!O$24-$AA46),$Z46)))&gt;Lists!O$23)*(EDATE($G46,((Lists!O$24-$AA46)-MOD((Lists!O$24-$AA46),$Z46)))&lt;=Lists!O$21)*(EDATE($G46,((Lists!O$24-$AA46)-MOD((Lists!O$24-$AA46),$Z46)))&lt;=$AB46)+((((Lists!O$24-$AA46)-MOD((Lists!O$24-$AA46),$Z46))-$Z46)&gt;=0)*(EDATE($G46,(((Lists!O$24-$AA46)-MOD((Lists!O$24-$AA46),$Z46))-$Z46))&gt;Lists!O$23)*(EDATE($G46,(((Lists!O$24-$AA46)-MOD((Lists!O$24-$AA46),$Z46))-$Z46))&lt;=Lists!O$21)*(EDATE($G46,(((Lists!O$24-$AA46)-MOD((Lists!O$24-$AA46),$Z46))-$Z46))&lt;=$AB46)))))</f>
        <v>0</v>
      </c>
      <c r="W46" s="46" t="n">
        <f aca="false">SUM(J46:V46)</f>
        <v>0</v>
      </c>
      <c r="X46" s="2"/>
      <c r="Y46" s="104" t="n">
        <f aca="false">IF(AND(Setup!$D$16="Yes",D46&lt;&gt;"No"),1+Setup!$D$17,1)</f>
        <v>1.2</v>
      </c>
      <c r="Z46" s="94" t="n">
        <f aca="false">IF(F46="Quarterly",3,IF(F46="Annually",12,1))</f>
        <v>1</v>
      </c>
      <c r="AA46" s="94" t="n">
        <f aca="false">IF(G46="",0,YEAR(G46)*12+MONTH(G46))</f>
        <v>0</v>
      </c>
      <c r="AB46" s="93" t="n">
        <f aca="false">IF(H46="",2958465,H46)</f>
        <v>2958465</v>
      </c>
      <c r="AC46" s="95" t="str">
        <f aca="false">IF(C46="","Other overheads",C46)</f>
        <v>Other overheads</v>
      </c>
    </row>
    <row r="47" customFormat="false" ht="15" hidden="false" customHeight="false" outlineLevel="0" collapsed="false">
      <c r="A47" s="87" t="n">
        <v>39</v>
      </c>
      <c r="B47" s="55"/>
      <c r="C47" s="55"/>
      <c r="D47" s="58"/>
      <c r="E47" s="88"/>
      <c r="F47" s="58"/>
      <c r="G47" s="90"/>
      <c r="H47" s="90"/>
      <c r="I47" s="92" t="n">
        <f aca="false">N(E47)*Y47</f>
        <v>0</v>
      </c>
      <c r="J47" s="53" t="n">
        <f aca="false">IF(OR(N($E47)=0,$G47=""),0,$I47*IF($F47="Weekly",((Lists!C$21-MOD(Lists!C$21-$G47,7))&gt;=$G47)*((Lists!C$21-MOD(Lists!C$21-$G47,7))&lt;=$AB47),IF($F47="One-off",($G47&gt;Lists!C$23)*($G47&lt;=Lists!C$21),IF($F47="",0,(((Lists!C$24-$AA47)-MOD((Lists!C$24-$AA47),$Z47))&gt;=0)*(EDATE($G47,((Lists!C$24-$AA47)-MOD((Lists!C$24-$AA47),$Z47)))&gt;Lists!C$23)*(EDATE($G47,((Lists!C$24-$AA47)-MOD((Lists!C$24-$AA47),$Z47)))&lt;=Lists!C$21)*(EDATE($G47,((Lists!C$24-$AA47)-MOD((Lists!C$24-$AA47),$Z47)))&lt;=$AB47)+((((Lists!C$24-$AA47)-MOD((Lists!C$24-$AA47),$Z47))-$Z47)&gt;=0)*(EDATE($G47,(((Lists!C$24-$AA47)-MOD((Lists!C$24-$AA47),$Z47))-$Z47))&gt;Lists!C$23)*(EDATE($G47,(((Lists!C$24-$AA47)-MOD((Lists!C$24-$AA47),$Z47))-$Z47))&lt;=Lists!C$21)*(EDATE($G47,(((Lists!C$24-$AA47)-MOD((Lists!C$24-$AA47),$Z47))-$Z47))&lt;=$AB47)))))</f>
        <v>0</v>
      </c>
      <c r="K47" s="53" t="n">
        <f aca="false">IF(OR(N($E47)=0,$G47=""),0,$I47*IF($F47="Weekly",((Lists!D$21-MOD(Lists!D$21-$G47,7))&gt;=$G47)*((Lists!D$21-MOD(Lists!D$21-$G47,7))&lt;=$AB47),IF($F47="One-off",($G47&gt;Lists!D$23)*($G47&lt;=Lists!D$21),IF($F47="",0,(((Lists!D$24-$AA47)-MOD((Lists!D$24-$AA47),$Z47))&gt;=0)*(EDATE($G47,((Lists!D$24-$AA47)-MOD((Lists!D$24-$AA47),$Z47)))&gt;Lists!D$23)*(EDATE($G47,((Lists!D$24-$AA47)-MOD((Lists!D$24-$AA47),$Z47)))&lt;=Lists!D$21)*(EDATE($G47,((Lists!D$24-$AA47)-MOD((Lists!D$24-$AA47),$Z47)))&lt;=$AB47)+((((Lists!D$24-$AA47)-MOD((Lists!D$24-$AA47),$Z47))-$Z47)&gt;=0)*(EDATE($G47,(((Lists!D$24-$AA47)-MOD((Lists!D$24-$AA47),$Z47))-$Z47))&gt;Lists!D$23)*(EDATE($G47,(((Lists!D$24-$AA47)-MOD((Lists!D$24-$AA47),$Z47))-$Z47))&lt;=Lists!D$21)*(EDATE($G47,(((Lists!D$24-$AA47)-MOD((Lists!D$24-$AA47),$Z47))-$Z47))&lt;=$AB47)))))</f>
        <v>0</v>
      </c>
      <c r="L47" s="53" t="n">
        <f aca="false">IF(OR(N($E47)=0,$G47=""),0,$I47*IF($F47="Weekly",((Lists!E$21-MOD(Lists!E$21-$G47,7))&gt;=$G47)*((Lists!E$21-MOD(Lists!E$21-$G47,7))&lt;=$AB47),IF($F47="One-off",($G47&gt;Lists!E$23)*($G47&lt;=Lists!E$21),IF($F47="",0,(((Lists!E$24-$AA47)-MOD((Lists!E$24-$AA47),$Z47))&gt;=0)*(EDATE($G47,((Lists!E$24-$AA47)-MOD((Lists!E$24-$AA47),$Z47)))&gt;Lists!E$23)*(EDATE($G47,((Lists!E$24-$AA47)-MOD((Lists!E$24-$AA47),$Z47)))&lt;=Lists!E$21)*(EDATE($G47,((Lists!E$24-$AA47)-MOD((Lists!E$24-$AA47),$Z47)))&lt;=$AB47)+((((Lists!E$24-$AA47)-MOD((Lists!E$24-$AA47),$Z47))-$Z47)&gt;=0)*(EDATE($G47,(((Lists!E$24-$AA47)-MOD((Lists!E$24-$AA47),$Z47))-$Z47))&gt;Lists!E$23)*(EDATE($G47,(((Lists!E$24-$AA47)-MOD((Lists!E$24-$AA47),$Z47))-$Z47))&lt;=Lists!E$21)*(EDATE($G47,(((Lists!E$24-$AA47)-MOD((Lists!E$24-$AA47),$Z47))-$Z47))&lt;=$AB47)))))</f>
        <v>0</v>
      </c>
      <c r="M47" s="53" t="n">
        <f aca="false">IF(OR(N($E47)=0,$G47=""),0,$I47*IF($F47="Weekly",((Lists!F$21-MOD(Lists!F$21-$G47,7))&gt;=$G47)*((Lists!F$21-MOD(Lists!F$21-$G47,7))&lt;=$AB47),IF($F47="One-off",($G47&gt;Lists!F$23)*($G47&lt;=Lists!F$21),IF($F47="",0,(((Lists!F$24-$AA47)-MOD((Lists!F$24-$AA47),$Z47))&gt;=0)*(EDATE($G47,((Lists!F$24-$AA47)-MOD((Lists!F$24-$AA47),$Z47)))&gt;Lists!F$23)*(EDATE($G47,((Lists!F$24-$AA47)-MOD((Lists!F$24-$AA47),$Z47)))&lt;=Lists!F$21)*(EDATE($G47,((Lists!F$24-$AA47)-MOD((Lists!F$24-$AA47),$Z47)))&lt;=$AB47)+((((Lists!F$24-$AA47)-MOD((Lists!F$24-$AA47),$Z47))-$Z47)&gt;=0)*(EDATE($G47,(((Lists!F$24-$AA47)-MOD((Lists!F$24-$AA47),$Z47))-$Z47))&gt;Lists!F$23)*(EDATE($G47,(((Lists!F$24-$AA47)-MOD((Lists!F$24-$AA47),$Z47))-$Z47))&lt;=Lists!F$21)*(EDATE($G47,(((Lists!F$24-$AA47)-MOD((Lists!F$24-$AA47),$Z47))-$Z47))&lt;=$AB47)))))</f>
        <v>0</v>
      </c>
      <c r="N47" s="53" t="n">
        <f aca="false">IF(OR(N($E47)=0,$G47=""),0,$I47*IF($F47="Weekly",((Lists!G$21-MOD(Lists!G$21-$G47,7))&gt;=$G47)*((Lists!G$21-MOD(Lists!G$21-$G47,7))&lt;=$AB47),IF($F47="One-off",($G47&gt;Lists!G$23)*($G47&lt;=Lists!G$21),IF($F47="",0,(((Lists!G$24-$AA47)-MOD((Lists!G$24-$AA47),$Z47))&gt;=0)*(EDATE($G47,((Lists!G$24-$AA47)-MOD((Lists!G$24-$AA47),$Z47)))&gt;Lists!G$23)*(EDATE($G47,((Lists!G$24-$AA47)-MOD((Lists!G$24-$AA47),$Z47)))&lt;=Lists!G$21)*(EDATE($G47,((Lists!G$24-$AA47)-MOD((Lists!G$24-$AA47),$Z47)))&lt;=$AB47)+((((Lists!G$24-$AA47)-MOD((Lists!G$24-$AA47),$Z47))-$Z47)&gt;=0)*(EDATE($G47,(((Lists!G$24-$AA47)-MOD((Lists!G$24-$AA47),$Z47))-$Z47))&gt;Lists!G$23)*(EDATE($G47,(((Lists!G$24-$AA47)-MOD((Lists!G$24-$AA47),$Z47))-$Z47))&lt;=Lists!G$21)*(EDATE($G47,(((Lists!G$24-$AA47)-MOD((Lists!G$24-$AA47),$Z47))-$Z47))&lt;=$AB47)))))</f>
        <v>0</v>
      </c>
      <c r="O47" s="53" t="n">
        <f aca="false">IF(OR(N($E47)=0,$G47=""),0,$I47*IF($F47="Weekly",((Lists!H$21-MOD(Lists!H$21-$G47,7))&gt;=$G47)*((Lists!H$21-MOD(Lists!H$21-$G47,7))&lt;=$AB47),IF($F47="One-off",($G47&gt;Lists!H$23)*($G47&lt;=Lists!H$21),IF($F47="",0,(((Lists!H$24-$AA47)-MOD((Lists!H$24-$AA47),$Z47))&gt;=0)*(EDATE($G47,((Lists!H$24-$AA47)-MOD((Lists!H$24-$AA47),$Z47)))&gt;Lists!H$23)*(EDATE($G47,((Lists!H$24-$AA47)-MOD((Lists!H$24-$AA47),$Z47)))&lt;=Lists!H$21)*(EDATE($G47,((Lists!H$24-$AA47)-MOD((Lists!H$24-$AA47),$Z47)))&lt;=$AB47)+((((Lists!H$24-$AA47)-MOD((Lists!H$24-$AA47),$Z47))-$Z47)&gt;=0)*(EDATE($G47,(((Lists!H$24-$AA47)-MOD((Lists!H$24-$AA47),$Z47))-$Z47))&gt;Lists!H$23)*(EDATE($G47,(((Lists!H$24-$AA47)-MOD((Lists!H$24-$AA47),$Z47))-$Z47))&lt;=Lists!H$21)*(EDATE($G47,(((Lists!H$24-$AA47)-MOD((Lists!H$24-$AA47),$Z47))-$Z47))&lt;=$AB47)))))</f>
        <v>0</v>
      </c>
      <c r="P47" s="53" t="n">
        <f aca="false">IF(OR(N($E47)=0,$G47=""),0,$I47*IF($F47="Weekly",((Lists!I$21-MOD(Lists!I$21-$G47,7))&gt;=$G47)*((Lists!I$21-MOD(Lists!I$21-$G47,7))&lt;=$AB47),IF($F47="One-off",($G47&gt;Lists!I$23)*($G47&lt;=Lists!I$21),IF($F47="",0,(((Lists!I$24-$AA47)-MOD((Lists!I$24-$AA47),$Z47))&gt;=0)*(EDATE($G47,((Lists!I$24-$AA47)-MOD((Lists!I$24-$AA47),$Z47)))&gt;Lists!I$23)*(EDATE($G47,((Lists!I$24-$AA47)-MOD((Lists!I$24-$AA47),$Z47)))&lt;=Lists!I$21)*(EDATE($G47,((Lists!I$24-$AA47)-MOD((Lists!I$24-$AA47),$Z47)))&lt;=$AB47)+((((Lists!I$24-$AA47)-MOD((Lists!I$24-$AA47),$Z47))-$Z47)&gt;=0)*(EDATE($G47,(((Lists!I$24-$AA47)-MOD((Lists!I$24-$AA47),$Z47))-$Z47))&gt;Lists!I$23)*(EDATE($G47,(((Lists!I$24-$AA47)-MOD((Lists!I$24-$AA47),$Z47))-$Z47))&lt;=Lists!I$21)*(EDATE($G47,(((Lists!I$24-$AA47)-MOD((Lists!I$24-$AA47),$Z47))-$Z47))&lt;=$AB47)))))</f>
        <v>0</v>
      </c>
      <c r="Q47" s="53" t="n">
        <f aca="false">IF(OR(N($E47)=0,$G47=""),0,$I47*IF($F47="Weekly",((Lists!J$21-MOD(Lists!J$21-$G47,7))&gt;=$G47)*((Lists!J$21-MOD(Lists!J$21-$G47,7))&lt;=$AB47),IF($F47="One-off",($G47&gt;Lists!J$23)*($G47&lt;=Lists!J$21),IF($F47="",0,(((Lists!J$24-$AA47)-MOD((Lists!J$24-$AA47),$Z47))&gt;=0)*(EDATE($G47,((Lists!J$24-$AA47)-MOD((Lists!J$24-$AA47),$Z47)))&gt;Lists!J$23)*(EDATE($G47,((Lists!J$24-$AA47)-MOD((Lists!J$24-$AA47),$Z47)))&lt;=Lists!J$21)*(EDATE($G47,((Lists!J$24-$AA47)-MOD((Lists!J$24-$AA47),$Z47)))&lt;=$AB47)+((((Lists!J$24-$AA47)-MOD((Lists!J$24-$AA47),$Z47))-$Z47)&gt;=0)*(EDATE($G47,(((Lists!J$24-$AA47)-MOD((Lists!J$24-$AA47),$Z47))-$Z47))&gt;Lists!J$23)*(EDATE($G47,(((Lists!J$24-$AA47)-MOD((Lists!J$24-$AA47),$Z47))-$Z47))&lt;=Lists!J$21)*(EDATE($G47,(((Lists!J$24-$AA47)-MOD((Lists!J$24-$AA47),$Z47))-$Z47))&lt;=$AB47)))))</f>
        <v>0</v>
      </c>
      <c r="R47" s="53" t="n">
        <f aca="false">IF(OR(N($E47)=0,$G47=""),0,$I47*IF($F47="Weekly",((Lists!K$21-MOD(Lists!K$21-$G47,7))&gt;=$G47)*((Lists!K$21-MOD(Lists!K$21-$G47,7))&lt;=$AB47),IF($F47="One-off",($G47&gt;Lists!K$23)*($G47&lt;=Lists!K$21),IF($F47="",0,(((Lists!K$24-$AA47)-MOD((Lists!K$24-$AA47),$Z47))&gt;=0)*(EDATE($G47,((Lists!K$24-$AA47)-MOD((Lists!K$24-$AA47),$Z47)))&gt;Lists!K$23)*(EDATE($G47,((Lists!K$24-$AA47)-MOD((Lists!K$24-$AA47),$Z47)))&lt;=Lists!K$21)*(EDATE($G47,((Lists!K$24-$AA47)-MOD((Lists!K$24-$AA47),$Z47)))&lt;=$AB47)+((((Lists!K$24-$AA47)-MOD((Lists!K$24-$AA47),$Z47))-$Z47)&gt;=0)*(EDATE($G47,(((Lists!K$24-$AA47)-MOD((Lists!K$24-$AA47),$Z47))-$Z47))&gt;Lists!K$23)*(EDATE($G47,(((Lists!K$24-$AA47)-MOD((Lists!K$24-$AA47),$Z47))-$Z47))&lt;=Lists!K$21)*(EDATE($G47,(((Lists!K$24-$AA47)-MOD((Lists!K$24-$AA47),$Z47))-$Z47))&lt;=$AB47)))))</f>
        <v>0</v>
      </c>
      <c r="S47" s="53" t="n">
        <f aca="false">IF(OR(N($E47)=0,$G47=""),0,$I47*IF($F47="Weekly",((Lists!L$21-MOD(Lists!L$21-$G47,7))&gt;=$G47)*((Lists!L$21-MOD(Lists!L$21-$G47,7))&lt;=$AB47),IF($F47="One-off",($G47&gt;Lists!L$23)*($G47&lt;=Lists!L$21),IF($F47="",0,(((Lists!L$24-$AA47)-MOD((Lists!L$24-$AA47),$Z47))&gt;=0)*(EDATE($G47,((Lists!L$24-$AA47)-MOD((Lists!L$24-$AA47),$Z47)))&gt;Lists!L$23)*(EDATE($G47,((Lists!L$24-$AA47)-MOD((Lists!L$24-$AA47),$Z47)))&lt;=Lists!L$21)*(EDATE($G47,((Lists!L$24-$AA47)-MOD((Lists!L$24-$AA47),$Z47)))&lt;=$AB47)+((((Lists!L$24-$AA47)-MOD((Lists!L$24-$AA47),$Z47))-$Z47)&gt;=0)*(EDATE($G47,(((Lists!L$24-$AA47)-MOD((Lists!L$24-$AA47),$Z47))-$Z47))&gt;Lists!L$23)*(EDATE($G47,(((Lists!L$24-$AA47)-MOD((Lists!L$24-$AA47),$Z47))-$Z47))&lt;=Lists!L$21)*(EDATE($G47,(((Lists!L$24-$AA47)-MOD((Lists!L$24-$AA47),$Z47))-$Z47))&lt;=$AB47)))))</f>
        <v>0</v>
      </c>
      <c r="T47" s="53" t="n">
        <f aca="false">IF(OR(N($E47)=0,$G47=""),0,$I47*IF($F47="Weekly",((Lists!M$21-MOD(Lists!M$21-$G47,7))&gt;=$G47)*((Lists!M$21-MOD(Lists!M$21-$G47,7))&lt;=$AB47),IF($F47="One-off",($G47&gt;Lists!M$23)*($G47&lt;=Lists!M$21),IF($F47="",0,(((Lists!M$24-$AA47)-MOD((Lists!M$24-$AA47),$Z47))&gt;=0)*(EDATE($G47,((Lists!M$24-$AA47)-MOD((Lists!M$24-$AA47),$Z47)))&gt;Lists!M$23)*(EDATE($G47,((Lists!M$24-$AA47)-MOD((Lists!M$24-$AA47),$Z47)))&lt;=Lists!M$21)*(EDATE($G47,((Lists!M$24-$AA47)-MOD((Lists!M$24-$AA47),$Z47)))&lt;=$AB47)+((((Lists!M$24-$AA47)-MOD((Lists!M$24-$AA47),$Z47))-$Z47)&gt;=0)*(EDATE($G47,(((Lists!M$24-$AA47)-MOD((Lists!M$24-$AA47),$Z47))-$Z47))&gt;Lists!M$23)*(EDATE($G47,(((Lists!M$24-$AA47)-MOD((Lists!M$24-$AA47),$Z47))-$Z47))&lt;=Lists!M$21)*(EDATE($G47,(((Lists!M$24-$AA47)-MOD((Lists!M$24-$AA47),$Z47))-$Z47))&lt;=$AB47)))))</f>
        <v>0</v>
      </c>
      <c r="U47" s="53" t="n">
        <f aca="false">IF(OR(N($E47)=0,$G47=""),0,$I47*IF($F47="Weekly",((Lists!N$21-MOD(Lists!N$21-$G47,7))&gt;=$G47)*((Lists!N$21-MOD(Lists!N$21-$G47,7))&lt;=$AB47),IF($F47="One-off",($G47&gt;Lists!N$23)*($G47&lt;=Lists!N$21),IF($F47="",0,(((Lists!N$24-$AA47)-MOD((Lists!N$24-$AA47),$Z47))&gt;=0)*(EDATE($G47,((Lists!N$24-$AA47)-MOD((Lists!N$24-$AA47),$Z47)))&gt;Lists!N$23)*(EDATE($G47,((Lists!N$24-$AA47)-MOD((Lists!N$24-$AA47),$Z47)))&lt;=Lists!N$21)*(EDATE($G47,((Lists!N$24-$AA47)-MOD((Lists!N$24-$AA47),$Z47)))&lt;=$AB47)+((((Lists!N$24-$AA47)-MOD((Lists!N$24-$AA47),$Z47))-$Z47)&gt;=0)*(EDATE($G47,(((Lists!N$24-$AA47)-MOD((Lists!N$24-$AA47),$Z47))-$Z47))&gt;Lists!N$23)*(EDATE($G47,(((Lists!N$24-$AA47)-MOD((Lists!N$24-$AA47),$Z47))-$Z47))&lt;=Lists!N$21)*(EDATE($G47,(((Lists!N$24-$AA47)-MOD((Lists!N$24-$AA47),$Z47))-$Z47))&lt;=$AB47)))))</f>
        <v>0</v>
      </c>
      <c r="V47" s="53" t="n">
        <f aca="false">IF(OR(N($E47)=0,$G47=""),0,$I47*IF($F47="Weekly",((Lists!O$21-MOD(Lists!O$21-$G47,7))&gt;=$G47)*((Lists!O$21-MOD(Lists!O$21-$G47,7))&lt;=$AB47),IF($F47="One-off",($G47&gt;Lists!O$23)*($G47&lt;=Lists!O$21),IF($F47="",0,(((Lists!O$24-$AA47)-MOD((Lists!O$24-$AA47),$Z47))&gt;=0)*(EDATE($G47,((Lists!O$24-$AA47)-MOD((Lists!O$24-$AA47),$Z47)))&gt;Lists!O$23)*(EDATE($G47,((Lists!O$24-$AA47)-MOD((Lists!O$24-$AA47),$Z47)))&lt;=Lists!O$21)*(EDATE($G47,((Lists!O$24-$AA47)-MOD((Lists!O$24-$AA47),$Z47)))&lt;=$AB47)+((((Lists!O$24-$AA47)-MOD((Lists!O$24-$AA47),$Z47))-$Z47)&gt;=0)*(EDATE($G47,(((Lists!O$24-$AA47)-MOD((Lists!O$24-$AA47),$Z47))-$Z47))&gt;Lists!O$23)*(EDATE($G47,(((Lists!O$24-$AA47)-MOD((Lists!O$24-$AA47),$Z47))-$Z47))&lt;=Lists!O$21)*(EDATE($G47,(((Lists!O$24-$AA47)-MOD((Lists!O$24-$AA47),$Z47))-$Z47))&lt;=$AB47)))))</f>
        <v>0</v>
      </c>
      <c r="W47" s="46" t="n">
        <f aca="false">SUM(J47:V47)</f>
        <v>0</v>
      </c>
      <c r="X47" s="2"/>
      <c r="Y47" s="104" t="n">
        <f aca="false">IF(AND(Setup!$D$16="Yes",D47&lt;&gt;"No"),1+Setup!$D$17,1)</f>
        <v>1.2</v>
      </c>
      <c r="Z47" s="94" t="n">
        <f aca="false">IF(F47="Quarterly",3,IF(F47="Annually",12,1))</f>
        <v>1</v>
      </c>
      <c r="AA47" s="94" t="n">
        <f aca="false">IF(G47="",0,YEAR(G47)*12+MONTH(G47))</f>
        <v>0</v>
      </c>
      <c r="AB47" s="93" t="n">
        <f aca="false">IF(H47="",2958465,H47)</f>
        <v>2958465</v>
      </c>
      <c r="AC47" s="95" t="str">
        <f aca="false">IF(C47="","Other overheads",C47)</f>
        <v>Other overheads</v>
      </c>
    </row>
    <row r="48" customFormat="false" ht="15" hidden="false" customHeight="false" outlineLevel="0" collapsed="false">
      <c r="A48" s="87" t="n">
        <v>40</v>
      </c>
      <c r="B48" s="55"/>
      <c r="C48" s="55"/>
      <c r="D48" s="58"/>
      <c r="E48" s="88"/>
      <c r="F48" s="58"/>
      <c r="G48" s="90"/>
      <c r="H48" s="90"/>
      <c r="I48" s="92" t="n">
        <f aca="false">N(E48)*Y48</f>
        <v>0</v>
      </c>
      <c r="J48" s="53" t="n">
        <f aca="false">IF(OR(N($E48)=0,$G48=""),0,$I48*IF($F48="Weekly",((Lists!C$21-MOD(Lists!C$21-$G48,7))&gt;=$G48)*((Lists!C$21-MOD(Lists!C$21-$G48,7))&lt;=$AB48),IF($F48="One-off",($G48&gt;Lists!C$23)*($G48&lt;=Lists!C$21),IF($F48="",0,(((Lists!C$24-$AA48)-MOD((Lists!C$24-$AA48),$Z48))&gt;=0)*(EDATE($G48,((Lists!C$24-$AA48)-MOD((Lists!C$24-$AA48),$Z48)))&gt;Lists!C$23)*(EDATE($G48,((Lists!C$24-$AA48)-MOD((Lists!C$24-$AA48),$Z48)))&lt;=Lists!C$21)*(EDATE($G48,((Lists!C$24-$AA48)-MOD((Lists!C$24-$AA48),$Z48)))&lt;=$AB48)+((((Lists!C$24-$AA48)-MOD((Lists!C$24-$AA48),$Z48))-$Z48)&gt;=0)*(EDATE($G48,(((Lists!C$24-$AA48)-MOD((Lists!C$24-$AA48),$Z48))-$Z48))&gt;Lists!C$23)*(EDATE($G48,(((Lists!C$24-$AA48)-MOD((Lists!C$24-$AA48),$Z48))-$Z48))&lt;=Lists!C$21)*(EDATE($G48,(((Lists!C$24-$AA48)-MOD((Lists!C$24-$AA48),$Z48))-$Z48))&lt;=$AB48)))))</f>
        <v>0</v>
      </c>
      <c r="K48" s="53" t="n">
        <f aca="false">IF(OR(N($E48)=0,$G48=""),0,$I48*IF($F48="Weekly",((Lists!D$21-MOD(Lists!D$21-$G48,7))&gt;=$G48)*((Lists!D$21-MOD(Lists!D$21-$G48,7))&lt;=$AB48),IF($F48="One-off",($G48&gt;Lists!D$23)*($G48&lt;=Lists!D$21),IF($F48="",0,(((Lists!D$24-$AA48)-MOD((Lists!D$24-$AA48),$Z48))&gt;=0)*(EDATE($G48,((Lists!D$24-$AA48)-MOD((Lists!D$24-$AA48),$Z48)))&gt;Lists!D$23)*(EDATE($G48,((Lists!D$24-$AA48)-MOD((Lists!D$24-$AA48),$Z48)))&lt;=Lists!D$21)*(EDATE($G48,((Lists!D$24-$AA48)-MOD((Lists!D$24-$AA48),$Z48)))&lt;=$AB48)+((((Lists!D$24-$AA48)-MOD((Lists!D$24-$AA48),$Z48))-$Z48)&gt;=0)*(EDATE($G48,(((Lists!D$24-$AA48)-MOD((Lists!D$24-$AA48),$Z48))-$Z48))&gt;Lists!D$23)*(EDATE($G48,(((Lists!D$24-$AA48)-MOD((Lists!D$24-$AA48),$Z48))-$Z48))&lt;=Lists!D$21)*(EDATE($G48,(((Lists!D$24-$AA48)-MOD((Lists!D$24-$AA48),$Z48))-$Z48))&lt;=$AB48)))))</f>
        <v>0</v>
      </c>
      <c r="L48" s="53" t="n">
        <f aca="false">IF(OR(N($E48)=0,$G48=""),0,$I48*IF($F48="Weekly",((Lists!E$21-MOD(Lists!E$21-$G48,7))&gt;=$G48)*((Lists!E$21-MOD(Lists!E$21-$G48,7))&lt;=$AB48),IF($F48="One-off",($G48&gt;Lists!E$23)*($G48&lt;=Lists!E$21),IF($F48="",0,(((Lists!E$24-$AA48)-MOD((Lists!E$24-$AA48),$Z48))&gt;=0)*(EDATE($G48,((Lists!E$24-$AA48)-MOD((Lists!E$24-$AA48),$Z48)))&gt;Lists!E$23)*(EDATE($G48,((Lists!E$24-$AA48)-MOD((Lists!E$24-$AA48),$Z48)))&lt;=Lists!E$21)*(EDATE($G48,((Lists!E$24-$AA48)-MOD((Lists!E$24-$AA48),$Z48)))&lt;=$AB48)+((((Lists!E$24-$AA48)-MOD((Lists!E$24-$AA48),$Z48))-$Z48)&gt;=0)*(EDATE($G48,(((Lists!E$24-$AA48)-MOD((Lists!E$24-$AA48),$Z48))-$Z48))&gt;Lists!E$23)*(EDATE($G48,(((Lists!E$24-$AA48)-MOD((Lists!E$24-$AA48),$Z48))-$Z48))&lt;=Lists!E$21)*(EDATE($G48,(((Lists!E$24-$AA48)-MOD((Lists!E$24-$AA48),$Z48))-$Z48))&lt;=$AB48)))))</f>
        <v>0</v>
      </c>
      <c r="M48" s="53" t="n">
        <f aca="false">IF(OR(N($E48)=0,$G48=""),0,$I48*IF($F48="Weekly",((Lists!F$21-MOD(Lists!F$21-$G48,7))&gt;=$G48)*((Lists!F$21-MOD(Lists!F$21-$G48,7))&lt;=$AB48),IF($F48="One-off",($G48&gt;Lists!F$23)*($G48&lt;=Lists!F$21),IF($F48="",0,(((Lists!F$24-$AA48)-MOD((Lists!F$24-$AA48),$Z48))&gt;=0)*(EDATE($G48,((Lists!F$24-$AA48)-MOD((Lists!F$24-$AA48),$Z48)))&gt;Lists!F$23)*(EDATE($G48,((Lists!F$24-$AA48)-MOD((Lists!F$24-$AA48),$Z48)))&lt;=Lists!F$21)*(EDATE($G48,((Lists!F$24-$AA48)-MOD((Lists!F$24-$AA48),$Z48)))&lt;=$AB48)+((((Lists!F$24-$AA48)-MOD((Lists!F$24-$AA48),$Z48))-$Z48)&gt;=0)*(EDATE($G48,(((Lists!F$24-$AA48)-MOD((Lists!F$24-$AA48),$Z48))-$Z48))&gt;Lists!F$23)*(EDATE($G48,(((Lists!F$24-$AA48)-MOD((Lists!F$24-$AA48),$Z48))-$Z48))&lt;=Lists!F$21)*(EDATE($G48,(((Lists!F$24-$AA48)-MOD((Lists!F$24-$AA48),$Z48))-$Z48))&lt;=$AB48)))))</f>
        <v>0</v>
      </c>
      <c r="N48" s="53" t="n">
        <f aca="false">IF(OR(N($E48)=0,$G48=""),0,$I48*IF($F48="Weekly",((Lists!G$21-MOD(Lists!G$21-$G48,7))&gt;=$G48)*((Lists!G$21-MOD(Lists!G$21-$G48,7))&lt;=$AB48),IF($F48="One-off",($G48&gt;Lists!G$23)*($G48&lt;=Lists!G$21),IF($F48="",0,(((Lists!G$24-$AA48)-MOD((Lists!G$24-$AA48),$Z48))&gt;=0)*(EDATE($G48,((Lists!G$24-$AA48)-MOD((Lists!G$24-$AA48),$Z48)))&gt;Lists!G$23)*(EDATE($G48,((Lists!G$24-$AA48)-MOD((Lists!G$24-$AA48),$Z48)))&lt;=Lists!G$21)*(EDATE($G48,((Lists!G$24-$AA48)-MOD((Lists!G$24-$AA48),$Z48)))&lt;=$AB48)+((((Lists!G$24-$AA48)-MOD((Lists!G$24-$AA48),$Z48))-$Z48)&gt;=0)*(EDATE($G48,(((Lists!G$24-$AA48)-MOD((Lists!G$24-$AA48),$Z48))-$Z48))&gt;Lists!G$23)*(EDATE($G48,(((Lists!G$24-$AA48)-MOD((Lists!G$24-$AA48),$Z48))-$Z48))&lt;=Lists!G$21)*(EDATE($G48,(((Lists!G$24-$AA48)-MOD((Lists!G$24-$AA48),$Z48))-$Z48))&lt;=$AB48)))))</f>
        <v>0</v>
      </c>
      <c r="O48" s="53" t="n">
        <f aca="false">IF(OR(N($E48)=0,$G48=""),0,$I48*IF($F48="Weekly",((Lists!H$21-MOD(Lists!H$21-$G48,7))&gt;=$G48)*((Lists!H$21-MOD(Lists!H$21-$G48,7))&lt;=$AB48),IF($F48="One-off",($G48&gt;Lists!H$23)*($G48&lt;=Lists!H$21),IF($F48="",0,(((Lists!H$24-$AA48)-MOD((Lists!H$24-$AA48),$Z48))&gt;=0)*(EDATE($G48,((Lists!H$24-$AA48)-MOD((Lists!H$24-$AA48),$Z48)))&gt;Lists!H$23)*(EDATE($G48,((Lists!H$24-$AA48)-MOD((Lists!H$24-$AA48),$Z48)))&lt;=Lists!H$21)*(EDATE($G48,((Lists!H$24-$AA48)-MOD((Lists!H$24-$AA48),$Z48)))&lt;=$AB48)+((((Lists!H$24-$AA48)-MOD((Lists!H$24-$AA48),$Z48))-$Z48)&gt;=0)*(EDATE($G48,(((Lists!H$24-$AA48)-MOD((Lists!H$24-$AA48),$Z48))-$Z48))&gt;Lists!H$23)*(EDATE($G48,(((Lists!H$24-$AA48)-MOD((Lists!H$24-$AA48),$Z48))-$Z48))&lt;=Lists!H$21)*(EDATE($G48,(((Lists!H$24-$AA48)-MOD((Lists!H$24-$AA48),$Z48))-$Z48))&lt;=$AB48)))))</f>
        <v>0</v>
      </c>
      <c r="P48" s="53" t="n">
        <f aca="false">IF(OR(N($E48)=0,$G48=""),0,$I48*IF($F48="Weekly",((Lists!I$21-MOD(Lists!I$21-$G48,7))&gt;=$G48)*((Lists!I$21-MOD(Lists!I$21-$G48,7))&lt;=$AB48),IF($F48="One-off",($G48&gt;Lists!I$23)*($G48&lt;=Lists!I$21),IF($F48="",0,(((Lists!I$24-$AA48)-MOD((Lists!I$24-$AA48),$Z48))&gt;=0)*(EDATE($G48,((Lists!I$24-$AA48)-MOD((Lists!I$24-$AA48),$Z48)))&gt;Lists!I$23)*(EDATE($G48,((Lists!I$24-$AA48)-MOD((Lists!I$24-$AA48),$Z48)))&lt;=Lists!I$21)*(EDATE($G48,((Lists!I$24-$AA48)-MOD((Lists!I$24-$AA48),$Z48)))&lt;=$AB48)+((((Lists!I$24-$AA48)-MOD((Lists!I$24-$AA48),$Z48))-$Z48)&gt;=0)*(EDATE($G48,(((Lists!I$24-$AA48)-MOD((Lists!I$24-$AA48),$Z48))-$Z48))&gt;Lists!I$23)*(EDATE($G48,(((Lists!I$24-$AA48)-MOD((Lists!I$24-$AA48),$Z48))-$Z48))&lt;=Lists!I$21)*(EDATE($G48,(((Lists!I$24-$AA48)-MOD((Lists!I$24-$AA48),$Z48))-$Z48))&lt;=$AB48)))))</f>
        <v>0</v>
      </c>
      <c r="Q48" s="53" t="n">
        <f aca="false">IF(OR(N($E48)=0,$G48=""),0,$I48*IF($F48="Weekly",((Lists!J$21-MOD(Lists!J$21-$G48,7))&gt;=$G48)*((Lists!J$21-MOD(Lists!J$21-$G48,7))&lt;=$AB48),IF($F48="One-off",($G48&gt;Lists!J$23)*($G48&lt;=Lists!J$21),IF($F48="",0,(((Lists!J$24-$AA48)-MOD((Lists!J$24-$AA48),$Z48))&gt;=0)*(EDATE($G48,((Lists!J$24-$AA48)-MOD((Lists!J$24-$AA48),$Z48)))&gt;Lists!J$23)*(EDATE($G48,((Lists!J$24-$AA48)-MOD((Lists!J$24-$AA48),$Z48)))&lt;=Lists!J$21)*(EDATE($G48,((Lists!J$24-$AA48)-MOD((Lists!J$24-$AA48),$Z48)))&lt;=$AB48)+((((Lists!J$24-$AA48)-MOD((Lists!J$24-$AA48),$Z48))-$Z48)&gt;=0)*(EDATE($G48,(((Lists!J$24-$AA48)-MOD((Lists!J$24-$AA48),$Z48))-$Z48))&gt;Lists!J$23)*(EDATE($G48,(((Lists!J$24-$AA48)-MOD((Lists!J$24-$AA48),$Z48))-$Z48))&lt;=Lists!J$21)*(EDATE($G48,(((Lists!J$24-$AA48)-MOD((Lists!J$24-$AA48),$Z48))-$Z48))&lt;=$AB48)))))</f>
        <v>0</v>
      </c>
      <c r="R48" s="53" t="n">
        <f aca="false">IF(OR(N($E48)=0,$G48=""),0,$I48*IF($F48="Weekly",((Lists!K$21-MOD(Lists!K$21-$G48,7))&gt;=$G48)*((Lists!K$21-MOD(Lists!K$21-$G48,7))&lt;=$AB48),IF($F48="One-off",($G48&gt;Lists!K$23)*($G48&lt;=Lists!K$21),IF($F48="",0,(((Lists!K$24-$AA48)-MOD((Lists!K$24-$AA48),$Z48))&gt;=0)*(EDATE($G48,((Lists!K$24-$AA48)-MOD((Lists!K$24-$AA48),$Z48)))&gt;Lists!K$23)*(EDATE($G48,((Lists!K$24-$AA48)-MOD((Lists!K$24-$AA48),$Z48)))&lt;=Lists!K$21)*(EDATE($G48,((Lists!K$24-$AA48)-MOD((Lists!K$24-$AA48),$Z48)))&lt;=$AB48)+((((Lists!K$24-$AA48)-MOD((Lists!K$24-$AA48),$Z48))-$Z48)&gt;=0)*(EDATE($G48,(((Lists!K$24-$AA48)-MOD((Lists!K$24-$AA48),$Z48))-$Z48))&gt;Lists!K$23)*(EDATE($G48,(((Lists!K$24-$AA48)-MOD((Lists!K$24-$AA48),$Z48))-$Z48))&lt;=Lists!K$21)*(EDATE($G48,(((Lists!K$24-$AA48)-MOD((Lists!K$24-$AA48),$Z48))-$Z48))&lt;=$AB48)))))</f>
        <v>0</v>
      </c>
      <c r="S48" s="53" t="n">
        <f aca="false">IF(OR(N($E48)=0,$G48=""),0,$I48*IF($F48="Weekly",((Lists!L$21-MOD(Lists!L$21-$G48,7))&gt;=$G48)*((Lists!L$21-MOD(Lists!L$21-$G48,7))&lt;=$AB48),IF($F48="One-off",($G48&gt;Lists!L$23)*($G48&lt;=Lists!L$21),IF($F48="",0,(((Lists!L$24-$AA48)-MOD((Lists!L$24-$AA48),$Z48))&gt;=0)*(EDATE($G48,((Lists!L$24-$AA48)-MOD((Lists!L$24-$AA48),$Z48)))&gt;Lists!L$23)*(EDATE($G48,((Lists!L$24-$AA48)-MOD((Lists!L$24-$AA48),$Z48)))&lt;=Lists!L$21)*(EDATE($G48,((Lists!L$24-$AA48)-MOD((Lists!L$24-$AA48),$Z48)))&lt;=$AB48)+((((Lists!L$24-$AA48)-MOD((Lists!L$24-$AA48),$Z48))-$Z48)&gt;=0)*(EDATE($G48,(((Lists!L$24-$AA48)-MOD((Lists!L$24-$AA48),$Z48))-$Z48))&gt;Lists!L$23)*(EDATE($G48,(((Lists!L$24-$AA48)-MOD((Lists!L$24-$AA48),$Z48))-$Z48))&lt;=Lists!L$21)*(EDATE($G48,(((Lists!L$24-$AA48)-MOD((Lists!L$24-$AA48),$Z48))-$Z48))&lt;=$AB48)))))</f>
        <v>0</v>
      </c>
      <c r="T48" s="53" t="n">
        <f aca="false">IF(OR(N($E48)=0,$G48=""),0,$I48*IF($F48="Weekly",((Lists!M$21-MOD(Lists!M$21-$G48,7))&gt;=$G48)*((Lists!M$21-MOD(Lists!M$21-$G48,7))&lt;=$AB48),IF($F48="One-off",($G48&gt;Lists!M$23)*($G48&lt;=Lists!M$21),IF($F48="",0,(((Lists!M$24-$AA48)-MOD((Lists!M$24-$AA48),$Z48))&gt;=0)*(EDATE($G48,((Lists!M$24-$AA48)-MOD((Lists!M$24-$AA48),$Z48)))&gt;Lists!M$23)*(EDATE($G48,((Lists!M$24-$AA48)-MOD((Lists!M$24-$AA48),$Z48)))&lt;=Lists!M$21)*(EDATE($G48,((Lists!M$24-$AA48)-MOD((Lists!M$24-$AA48),$Z48)))&lt;=$AB48)+((((Lists!M$24-$AA48)-MOD((Lists!M$24-$AA48),$Z48))-$Z48)&gt;=0)*(EDATE($G48,(((Lists!M$24-$AA48)-MOD((Lists!M$24-$AA48),$Z48))-$Z48))&gt;Lists!M$23)*(EDATE($G48,(((Lists!M$24-$AA48)-MOD((Lists!M$24-$AA48),$Z48))-$Z48))&lt;=Lists!M$21)*(EDATE($G48,(((Lists!M$24-$AA48)-MOD((Lists!M$24-$AA48),$Z48))-$Z48))&lt;=$AB48)))))</f>
        <v>0</v>
      </c>
      <c r="U48" s="53" t="n">
        <f aca="false">IF(OR(N($E48)=0,$G48=""),0,$I48*IF($F48="Weekly",((Lists!N$21-MOD(Lists!N$21-$G48,7))&gt;=$G48)*((Lists!N$21-MOD(Lists!N$21-$G48,7))&lt;=$AB48),IF($F48="One-off",($G48&gt;Lists!N$23)*($G48&lt;=Lists!N$21),IF($F48="",0,(((Lists!N$24-$AA48)-MOD((Lists!N$24-$AA48),$Z48))&gt;=0)*(EDATE($G48,((Lists!N$24-$AA48)-MOD((Lists!N$24-$AA48),$Z48)))&gt;Lists!N$23)*(EDATE($G48,((Lists!N$24-$AA48)-MOD((Lists!N$24-$AA48),$Z48)))&lt;=Lists!N$21)*(EDATE($G48,((Lists!N$24-$AA48)-MOD((Lists!N$24-$AA48),$Z48)))&lt;=$AB48)+((((Lists!N$24-$AA48)-MOD((Lists!N$24-$AA48),$Z48))-$Z48)&gt;=0)*(EDATE($G48,(((Lists!N$24-$AA48)-MOD((Lists!N$24-$AA48),$Z48))-$Z48))&gt;Lists!N$23)*(EDATE($G48,(((Lists!N$24-$AA48)-MOD((Lists!N$24-$AA48),$Z48))-$Z48))&lt;=Lists!N$21)*(EDATE($G48,(((Lists!N$24-$AA48)-MOD((Lists!N$24-$AA48),$Z48))-$Z48))&lt;=$AB48)))))</f>
        <v>0</v>
      </c>
      <c r="V48" s="53" t="n">
        <f aca="false">IF(OR(N($E48)=0,$G48=""),0,$I48*IF($F48="Weekly",((Lists!O$21-MOD(Lists!O$21-$G48,7))&gt;=$G48)*((Lists!O$21-MOD(Lists!O$21-$G48,7))&lt;=$AB48),IF($F48="One-off",($G48&gt;Lists!O$23)*($G48&lt;=Lists!O$21),IF($F48="",0,(((Lists!O$24-$AA48)-MOD((Lists!O$24-$AA48),$Z48))&gt;=0)*(EDATE($G48,((Lists!O$24-$AA48)-MOD((Lists!O$24-$AA48),$Z48)))&gt;Lists!O$23)*(EDATE($G48,((Lists!O$24-$AA48)-MOD((Lists!O$24-$AA48),$Z48)))&lt;=Lists!O$21)*(EDATE($G48,((Lists!O$24-$AA48)-MOD((Lists!O$24-$AA48),$Z48)))&lt;=$AB48)+((((Lists!O$24-$AA48)-MOD((Lists!O$24-$AA48),$Z48))-$Z48)&gt;=0)*(EDATE($G48,(((Lists!O$24-$AA48)-MOD((Lists!O$24-$AA48),$Z48))-$Z48))&gt;Lists!O$23)*(EDATE($G48,(((Lists!O$24-$AA48)-MOD((Lists!O$24-$AA48),$Z48))-$Z48))&lt;=Lists!O$21)*(EDATE($G48,(((Lists!O$24-$AA48)-MOD((Lists!O$24-$AA48),$Z48))-$Z48))&lt;=$AB48)))))</f>
        <v>0</v>
      </c>
      <c r="W48" s="46" t="n">
        <f aca="false">SUM(J48:V48)</f>
        <v>0</v>
      </c>
      <c r="X48" s="2"/>
      <c r="Y48" s="104" t="n">
        <f aca="false">IF(AND(Setup!$D$16="Yes",D48&lt;&gt;"No"),1+Setup!$D$17,1)</f>
        <v>1.2</v>
      </c>
      <c r="Z48" s="94" t="n">
        <f aca="false">IF(F48="Quarterly",3,IF(F48="Annually",12,1))</f>
        <v>1</v>
      </c>
      <c r="AA48" s="94" t="n">
        <f aca="false">IF(G48="",0,YEAR(G48)*12+MONTH(G48))</f>
        <v>0</v>
      </c>
      <c r="AB48" s="93" t="n">
        <f aca="false">IF(H48="",2958465,H48)</f>
        <v>2958465</v>
      </c>
      <c r="AC48" s="95" t="str">
        <f aca="false">IF(C48="","Other overheads",C48)</f>
        <v>Other overheads</v>
      </c>
    </row>
    <row r="49" customFormat="false" ht="15" hidden="false" customHeight="false" outlineLevel="0" collapsed="false">
      <c r="A49" s="2"/>
      <c r="B49" s="15" t="s">
        <v>516</v>
      </c>
      <c r="C49" s="2"/>
      <c r="D49" s="2"/>
      <c r="E49" s="2"/>
      <c r="F49" s="2"/>
      <c r="G49" s="2"/>
      <c r="H49" s="2"/>
      <c r="I49" s="2"/>
      <c r="J49" s="48" t="n">
        <f aca="false">SUM(J9:J48)</f>
        <v>3960</v>
      </c>
      <c r="K49" s="48" t="n">
        <f aca="false">SUM(K9:K48)</f>
        <v>11420</v>
      </c>
      <c r="L49" s="48" t="n">
        <f aca="false">SUM(L9:L48)</f>
        <v>3600</v>
      </c>
      <c r="M49" s="48" t="n">
        <f aca="false">SUM(M9:M48)</f>
        <v>7100</v>
      </c>
      <c r="N49" s="48" t="n">
        <f aca="false">SUM(N9:N48)</f>
        <v>1800</v>
      </c>
      <c r="O49" s="48" t="n">
        <f aca="false">SUM(O9:O48)</f>
        <v>6380</v>
      </c>
      <c r="P49" s="48" t="n">
        <f aca="false">SUM(P9:P48)</f>
        <v>46800</v>
      </c>
      <c r="Q49" s="48" t="n">
        <f aca="false">SUM(Q9:Q48)</f>
        <v>6700</v>
      </c>
      <c r="R49" s="48" t="n">
        <f aca="false">SUM(R9:R48)</f>
        <v>400</v>
      </c>
      <c r="S49" s="48" t="n">
        <f aca="false">SUM(S9:S48)</f>
        <v>7460</v>
      </c>
      <c r="T49" s="48" t="n">
        <f aca="false">SUM(T9:T48)</f>
        <v>7920</v>
      </c>
      <c r="U49" s="48" t="n">
        <f aca="false">SUM(U9:U48)</f>
        <v>6000</v>
      </c>
      <c r="V49" s="48" t="n">
        <f aca="false">SUM(V9:V48)</f>
        <v>4700</v>
      </c>
      <c r="W49" s="48" t="n">
        <f aca="false">SUM(W9:W48)</f>
        <v>114240</v>
      </c>
      <c r="X49" s="2"/>
      <c r="Y49" s="2"/>
      <c r="Z49" s="2"/>
      <c r="AA49" s="2"/>
      <c r="AB49" s="2"/>
      <c r="AC49" s="2"/>
    </row>
    <row r="50" customFormat="false" ht="15" hidden="false" customHeight="false" outlineLevel="0" collapsed="false">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customFormat="false" ht="15" hidden="false" customHeight="false" outlineLevel="0" collapsed="false">
      <c r="A51" s="5" t="s">
        <v>517</v>
      </c>
      <c r="B51" s="6"/>
      <c r="C51" s="6"/>
      <c r="D51" s="6"/>
      <c r="E51" s="6"/>
      <c r="F51" s="6"/>
      <c r="G51" s="6"/>
      <c r="H51" s="6"/>
      <c r="I51" s="6"/>
      <c r="J51" s="6"/>
      <c r="K51" s="6"/>
      <c r="L51" s="6"/>
      <c r="M51" s="6"/>
      <c r="N51" s="6"/>
      <c r="O51" s="6"/>
      <c r="P51" s="6"/>
      <c r="Q51" s="6"/>
      <c r="R51" s="6"/>
      <c r="S51" s="6"/>
      <c r="T51" s="6"/>
      <c r="U51" s="6"/>
      <c r="V51" s="6"/>
      <c r="W51" s="6"/>
      <c r="X51" s="6"/>
      <c r="Y51" s="2"/>
      <c r="Z51" s="2"/>
      <c r="AA51" s="2"/>
      <c r="AB51" s="2"/>
      <c r="AC51" s="2"/>
    </row>
    <row r="52" customFormat="false" ht="15" hidden="false" customHeight="false" outlineLevel="0" collapsed="false">
      <c r="A52" s="2"/>
      <c r="B52" s="9" t="str">
        <f aca="false">Lists!$D$2</f>
        <v>Premises (rent, rates, service charge)</v>
      </c>
      <c r="C52" s="2"/>
      <c r="D52" s="2"/>
      <c r="E52" s="2"/>
      <c r="F52" s="2"/>
      <c r="G52" s="2"/>
      <c r="H52" s="2"/>
      <c r="I52" s="2"/>
      <c r="J52" s="53" t="n">
        <f aca="false">SUMIF($AC$9:$AC$48,$B52,J$9:J$48)</f>
        <v>0</v>
      </c>
      <c r="K52" s="53" t="n">
        <f aca="false">SUMIF($AC$9:$AC$48,$B52,K$9:K$48)</f>
        <v>3500</v>
      </c>
      <c r="L52" s="53" t="n">
        <f aca="false">SUMIF($AC$9:$AC$48,$B52,L$9:L$48)</f>
        <v>0</v>
      </c>
      <c r="M52" s="53" t="n">
        <f aca="false">SUMIF($AC$9:$AC$48,$B52,M$9:M$48)</f>
        <v>0</v>
      </c>
      <c r="N52" s="53" t="n">
        <f aca="false">SUMIF($AC$9:$AC$48,$B52,N$9:N$48)</f>
        <v>0</v>
      </c>
      <c r="O52" s="53" t="n">
        <f aca="false">SUMIF($AC$9:$AC$48,$B52,O$9:O$48)</f>
        <v>3500</v>
      </c>
      <c r="P52" s="53" t="n">
        <f aca="false">SUMIF($AC$9:$AC$48,$B52,P$9:P$48)</f>
        <v>36000</v>
      </c>
      <c r="Q52" s="53" t="n">
        <f aca="false">SUMIF($AC$9:$AC$48,$B52,Q$9:Q$48)</f>
        <v>0</v>
      </c>
      <c r="R52" s="53" t="n">
        <f aca="false">SUMIF($AC$9:$AC$48,$B52,R$9:R$48)</f>
        <v>0</v>
      </c>
      <c r="S52" s="53" t="n">
        <f aca="false">SUMIF($AC$9:$AC$48,$B52,S$9:S$48)</f>
        <v>3500</v>
      </c>
      <c r="T52" s="53" t="n">
        <f aca="false">SUMIF($AC$9:$AC$48,$B52,T$9:T$48)</f>
        <v>0</v>
      </c>
      <c r="U52" s="53" t="n">
        <f aca="false">SUMIF($AC$9:$AC$48,$B52,U$9:U$48)</f>
        <v>0</v>
      </c>
      <c r="V52" s="53" t="n">
        <f aca="false">SUMIF($AC$9:$AC$48,$B52,V$9:V$48)</f>
        <v>0</v>
      </c>
      <c r="W52" s="53" t="n">
        <f aca="false">SUMIF($AC$9:$AC$48,$B52,W$9:W$48)</f>
        <v>46500</v>
      </c>
      <c r="X52" s="2"/>
      <c r="Y52" s="2"/>
      <c r="Z52" s="2"/>
      <c r="AA52" s="2"/>
      <c r="AB52" s="2"/>
      <c r="AC52" s="2"/>
    </row>
    <row r="53" customFormat="false" ht="15" hidden="false" customHeight="false" outlineLevel="0" collapsed="false">
      <c r="A53" s="2"/>
      <c r="B53" s="9" t="str">
        <f aca="false">Lists!$D$3</f>
        <v>Utilities (gas, electric, water)</v>
      </c>
      <c r="C53" s="2"/>
      <c r="D53" s="2"/>
      <c r="E53" s="2"/>
      <c r="F53" s="2"/>
      <c r="G53" s="2"/>
      <c r="H53" s="2"/>
      <c r="I53" s="2"/>
      <c r="J53" s="53" t="n">
        <f aca="false">SUMIF($AC$9:$AC$48,$B53,J$9:J$48)</f>
        <v>0</v>
      </c>
      <c r="K53" s="53" t="n">
        <f aca="false">SUMIF($AC$9:$AC$48,$B53,K$9:K$48)</f>
        <v>7200</v>
      </c>
      <c r="L53" s="53" t="n">
        <f aca="false">SUMIF($AC$9:$AC$48,$B53,L$9:L$48)</f>
        <v>0</v>
      </c>
      <c r="M53" s="53" t="n">
        <f aca="false">SUMIF($AC$9:$AC$48,$B53,M$9:M$48)</f>
        <v>0</v>
      </c>
      <c r="N53" s="53" t="n">
        <f aca="false">SUMIF($AC$9:$AC$48,$B53,N$9:N$48)</f>
        <v>0</v>
      </c>
      <c r="O53" s="53" t="n">
        <f aca="false">SUMIF($AC$9:$AC$48,$B53,O$9:O$48)</f>
        <v>0</v>
      </c>
      <c r="P53" s="53" t="n">
        <f aca="false">SUMIF($AC$9:$AC$48,$B53,P$9:P$48)</f>
        <v>7200</v>
      </c>
      <c r="Q53" s="53" t="n">
        <f aca="false">SUMIF($AC$9:$AC$48,$B53,Q$9:Q$48)</f>
        <v>0</v>
      </c>
      <c r="R53" s="53" t="n">
        <f aca="false">SUMIF($AC$9:$AC$48,$B53,R$9:R$48)</f>
        <v>0</v>
      </c>
      <c r="S53" s="53" t="n">
        <f aca="false">SUMIF($AC$9:$AC$48,$B53,S$9:S$48)</f>
        <v>0</v>
      </c>
      <c r="T53" s="53" t="n">
        <f aca="false">SUMIF($AC$9:$AC$48,$B53,T$9:T$48)</f>
        <v>7200</v>
      </c>
      <c r="U53" s="53" t="n">
        <f aca="false">SUMIF($AC$9:$AC$48,$B53,U$9:U$48)</f>
        <v>0</v>
      </c>
      <c r="V53" s="53" t="n">
        <f aca="false">SUMIF($AC$9:$AC$48,$B53,V$9:V$48)</f>
        <v>0</v>
      </c>
      <c r="W53" s="53" t="n">
        <f aca="false">SUMIF($AC$9:$AC$48,$B53,W$9:W$48)</f>
        <v>21600</v>
      </c>
      <c r="X53" s="2"/>
      <c r="Y53" s="2"/>
      <c r="Z53" s="2"/>
      <c r="AA53" s="2"/>
      <c r="AB53" s="2"/>
      <c r="AC53" s="2"/>
    </row>
    <row r="54" customFormat="false" ht="15" hidden="false" customHeight="false" outlineLevel="0" collapsed="false">
      <c r="A54" s="2"/>
      <c r="B54" s="9" t="str">
        <f aca="false">Lists!$D$4</f>
        <v>Insurance</v>
      </c>
      <c r="C54" s="2"/>
      <c r="D54" s="2"/>
      <c r="E54" s="2"/>
      <c r="F54" s="2"/>
      <c r="G54" s="2"/>
      <c r="H54" s="2"/>
      <c r="I54" s="2"/>
      <c r="J54" s="53" t="n">
        <f aca="false">SUMIF($AC$9:$AC$48,$B54,J$9:J$48)</f>
        <v>0</v>
      </c>
      <c r="K54" s="53" t="n">
        <f aca="false">SUMIF($AC$9:$AC$48,$B54,K$9:K$48)</f>
        <v>0</v>
      </c>
      <c r="L54" s="53" t="n">
        <f aca="false">SUMIF($AC$9:$AC$48,$B54,L$9:L$48)</f>
        <v>0</v>
      </c>
      <c r="M54" s="53" t="n">
        <f aca="false">SUMIF($AC$9:$AC$48,$B54,M$9:M$48)</f>
        <v>2500</v>
      </c>
      <c r="N54" s="53" t="n">
        <f aca="false">SUMIF($AC$9:$AC$48,$B54,N$9:N$48)</f>
        <v>0</v>
      </c>
      <c r="O54" s="53" t="n">
        <f aca="false">SUMIF($AC$9:$AC$48,$B54,O$9:O$48)</f>
        <v>0</v>
      </c>
      <c r="P54" s="53" t="n">
        <f aca="false">SUMIF($AC$9:$AC$48,$B54,P$9:P$48)</f>
        <v>0</v>
      </c>
      <c r="Q54" s="53" t="n">
        <f aca="false">SUMIF($AC$9:$AC$48,$B54,Q$9:Q$48)</f>
        <v>2500</v>
      </c>
      <c r="R54" s="53" t="n">
        <f aca="false">SUMIF($AC$9:$AC$48,$B54,R$9:R$48)</f>
        <v>0</v>
      </c>
      <c r="S54" s="53" t="n">
        <f aca="false">SUMIF($AC$9:$AC$48,$B54,S$9:S$48)</f>
        <v>0</v>
      </c>
      <c r="T54" s="53" t="n">
        <f aca="false">SUMIF($AC$9:$AC$48,$B54,T$9:T$48)</f>
        <v>0</v>
      </c>
      <c r="U54" s="53" t="n">
        <f aca="false">SUMIF($AC$9:$AC$48,$B54,U$9:U$48)</f>
        <v>0</v>
      </c>
      <c r="V54" s="53" t="n">
        <f aca="false">SUMIF($AC$9:$AC$48,$B54,V$9:V$48)</f>
        <v>2500</v>
      </c>
      <c r="W54" s="53" t="n">
        <f aca="false">SUMIF($AC$9:$AC$48,$B54,W$9:W$48)</f>
        <v>7500</v>
      </c>
      <c r="X54" s="2"/>
      <c r="Y54" s="2"/>
      <c r="Z54" s="2"/>
      <c r="AA54" s="2"/>
      <c r="AB54" s="2"/>
      <c r="AC54" s="2"/>
    </row>
    <row r="55" customFormat="false" ht="15" hidden="false" customHeight="false" outlineLevel="0" collapsed="false">
      <c r="A55" s="2"/>
      <c r="B55" s="9" t="str">
        <f aca="false">Lists!$D$5</f>
        <v>IT &amp; software</v>
      </c>
      <c r="C55" s="2"/>
      <c r="D55" s="2"/>
      <c r="E55" s="2"/>
      <c r="F55" s="2"/>
      <c r="G55" s="2"/>
      <c r="H55" s="2"/>
      <c r="I55" s="2"/>
      <c r="J55" s="53" t="n">
        <f aca="false">SUMIF($AC$9:$AC$48,$B55,J$9:J$48)</f>
        <v>1800</v>
      </c>
      <c r="K55" s="53" t="n">
        <f aca="false">SUMIF($AC$9:$AC$48,$B55,K$9:K$48)</f>
        <v>0</v>
      </c>
      <c r="L55" s="53" t="n">
        <f aca="false">SUMIF($AC$9:$AC$48,$B55,L$9:L$48)</f>
        <v>0</v>
      </c>
      <c r="M55" s="53" t="n">
        <f aca="false">SUMIF($AC$9:$AC$48,$B55,M$9:M$48)</f>
        <v>0</v>
      </c>
      <c r="N55" s="53" t="n">
        <f aca="false">SUMIF($AC$9:$AC$48,$B55,N$9:N$48)</f>
        <v>1800</v>
      </c>
      <c r="O55" s="53" t="n">
        <f aca="false">SUMIF($AC$9:$AC$48,$B55,O$9:O$48)</f>
        <v>0</v>
      </c>
      <c r="P55" s="53" t="n">
        <f aca="false">SUMIF($AC$9:$AC$48,$B55,P$9:P$48)</f>
        <v>0</v>
      </c>
      <c r="Q55" s="53" t="n">
        <f aca="false">SUMIF($AC$9:$AC$48,$B55,Q$9:Q$48)</f>
        <v>0</v>
      </c>
      <c r="R55" s="53" t="n">
        <f aca="false">SUMIF($AC$9:$AC$48,$B55,R$9:R$48)</f>
        <v>0</v>
      </c>
      <c r="S55" s="53" t="n">
        <f aca="false">SUMIF($AC$9:$AC$48,$B55,S$9:S$48)</f>
        <v>1800</v>
      </c>
      <c r="T55" s="53" t="n">
        <f aca="false">SUMIF($AC$9:$AC$48,$B55,T$9:T$48)</f>
        <v>0</v>
      </c>
      <c r="U55" s="53" t="n">
        <f aca="false">SUMIF($AC$9:$AC$48,$B55,U$9:U$48)</f>
        <v>0</v>
      </c>
      <c r="V55" s="53" t="n">
        <f aca="false">SUMIF($AC$9:$AC$48,$B55,V$9:V$48)</f>
        <v>0</v>
      </c>
      <c r="W55" s="53" t="n">
        <f aca="false">SUMIF($AC$9:$AC$48,$B55,W$9:W$48)</f>
        <v>5400</v>
      </c>
      <c r="X55" s="2"/>
      <c r="Y55" s="2"/>
      <c r="Z55" s="2"/>
      <c r="AA55" s="2"/>
      <c r="AB55" s="2"/>
      <c r="AC55" s="2"/>
    </row>
    <row r="56" customFormat="false" ht="15" hidden="false" customHeight="false" outlineLevel="0" collapsed="false">
      <c r="A56" s="2"/>
      <c r="B56" s="9" t="str">
        <f aca="false">Lists!$D$6</f>
        <v>Telephone &amp; internet</v>
      </c>
      <c r="C56" s="2"/>
      <c r="D56" s="2"/>
      <c r="E56" s="2"/>
      <c r="F56" s="2"/>
      <c r="G56" s="2"/>
      <c r="H56" s="2"/>
      <c r="I56" s="2"/>
      <c r="J56" s="53" t="n">
        <f aca="false">SUMIF($AC$9:$AC$48,$B56,J$9:J$48)</f>
        <v>0</v>
      </c>
      <c r="K56" s="53" t="n">
        <f aca="false">SUMIF($AC$9:$AC$48,$B56,K$9:K$48)</f>
        <v>720</v>
      </c>
      <c r="L56" s="53" t="n">
        <f aca="false">SUMIF($AC$9:$AC$48,$B56,L$9:L$48)</f>
        <v>0</v>
      </c>
      <c r="M56" s="53" t="n">
        <f aca="false">SUMIF($AC$9:$AC$48,$B56,M$9:M$48)</f>
        <v>0</v>
      </c>
      <c r="N56" s="53" t="n">
        <f aca="false">SUMIF($AC$9:$AC$48,$B56,N$9:N$48)</f>
        <v>0</v>
      </c>
      <c r="O56" s="53" t="n">
        <f aca="false">SUMIF($AC$9:$AC$48,$B56,O$9:O$48)</f>
        <v>720</v>
      </c>
      <c r="P56" s="53" t="n">
        <f aca="false">SUMIF($AC$9:$AC$48,$B56,P$9:P$48)</f>
        <v>0</v>
      </c>
      <c r="Q56" s="53" t="n">
        <f aca="false">SUMIF($AC$9:$AC$48,$B56,Q$9:Q$48)</f>
        <v>0</v>
      </c>
      <c r="R56" s="53" t="n">
        <f aca="false">SUMIF($AC$9:$AC$48,$B56,R$9:R$48)</f>
        <v>0</v>
      </c>
      <c r="S56" s="53" t="n">
        <f aca="false">SUMIF($AC$9:$AC$48,$B56,S$9:S$48)</f>
        <v>0</v>
      </c>
      <c r="T56" s="53" t="n">
        <f aca="false">SUMIF($AC$9:$AC$48,$B56,T$9:T$48)</f>
        <v>720</v>
      </c>
      <c r="U56" s="53" t="n">
        <f aca="false">SUMIF($AC$9:$AC$48,$B56,U$9:U$48)</f>
        <v>0</v>
      </c>
      <c r="V56" s="53" t="n">
        <f aca="false">SUMIF($AC$9:$AC$48,$B56,V$9:V$48)</f>
        <v>0</v>
      </c>
      <c r="W56" s="53" t="n">
        <f aca="false">SUMIF($AC$9:$AC$48,$B56,W$9:W$48)</f>
        <v>2160</v>
      </c>
      <c r="X56" s="2"/>
      <c r="Y56" s="2"/>
      <c r="Z56" s="2"/>
      <c r="AA56" s="2"/>
      <c r="AB56" s="2"/>
      <c r="AC56" s="2"/>
    </row>
    <row r="57" customFormat="false" ht="15" hidden="false" customHeight="false" outlineLevel="0" collapsed="false">
      <c r="A57" s="2"/>
      <c r="B57" s="9" t="str">
        <f aca="false">Lists!$D$7</f>
        <v>Marketing &amp; advertising</v>
      </c>
      <c r="C57" s="2"/>
      <c r="D57" s="2"/>
      <c r="E57" s="2"/>
      <c r="F57" s="2"/>
      <c r="G57" s="2"/>
      <c r="H57" s="2"/>
      <c r="I57" s="2"/>
      <c r="J57" s="53" t="n">
        <f aca="false">SUMIF($AC$9:$AC$48,$B57,J$9:J$48)</f>
        <v>0</v>
      </c>
      <c r="K57" s="53" t="n">
        <f aca="false">SUMIF($AC$9:$AC$48,$B57,K$9:K$48)</f>
        <v>0</v>
      </c>
      <c r="L57" s="53" t="n">
        <f aca="false">SUMIF($AC$9:$AC$48,$B57,L$9:L$48)</f>
        <v>0</v>
      </c>
      <c r="M57" s="53" t="n">
        <f aca="false">SUMIF($AC$9:$AC$48,$B57,M$9:M$48)</f>
        <v>1800</v>
      </c>
      <c r="N57" s="53" t="n">
        <f aca="false">SUMIF($AC$9:$AC$48,$B57,N$9:N$48)</f>
        <v>0</v>
      </c>
      <c r="O57" s="53" t="n">
        <f aca="false">SUMIF($AC$9:$AC$48,$B57,O$9:O$48)</f>
        <v>0</v>
      </c>
      <c r="P57" s="53" t="n">
        <f aca="false">SUMIF($AC$9:$AC$48,$B57,P$9:P$48)</f>
        <v>0</v>
      </c>
      <c r="Q57" s="53" t="n">
        <f aca="false">SUMIF($AC$9:$AC$48,$B57,Q$9:Q$48)</f>
        <v>1800</v>
      </c>
      <c r="R57" s="53" t="n">
        <f aca="false">SUMIF($AC$9:$AC$48,$B57,R$9:R$48)</f>
        <v>0</v>
      </c>
      <c r="S57" s="53" t="n">
        <f aca="false">SUMIF($AC$9:$AC$48,$B57,S$9:S$48)</f>
        <v>0</v>
      </c>
      <c r="T57" s="53" t="n">
        <f aca="false">SUMIF($AC$9:$AC$48,$B57,T$9:T$48)</f>
        <v>0</v>
      </c>
      <c r="U57" s="53" t="n">
        <f aca="false">SUMIF($AC$9:$AC$48,$B57,U$9:U$48)</f>
        <v>0</v>
      </c>
      <c r="V57" s="53" t="n">
        <f aca="false">SUMIF($AC$9:$AC$48,$B57,V$9:V$48)</f>
        <v>1800</v>
      </c>
      <c r="W57" s="53" t="n">
        <f aca="false">SUMIF($AC$9:$AC$48,$B57,W$9:W$48)</f>
        <v>5400</v>
      </c>
      <c r="X57" s="2"/>
      <c r="Y57" s="2"/>
      <c r="Z57" s="2"/>
      <c r="AA57" s="2"/>
      <c r="AB57" s="2"/>
      <c r="AC57" s="2"/>
    </row>
    <row r="58" customFormat="false" ht="15" hidden="false" customHeight="false" outlineLevel="0" collapsed="false">
      <c r="A58" s="2"/>
      <c r="B58" s="9" t="str">
        <f aca="false">Lists!$D$8</f>
        <v>Professional fees</v>
      </c>
      <c r="C58" s="2"/>
      <c r="D58" s="2"/>
      <c r="E58" s="2"/>
      <c r="F58" s="2"/>
      <c r="G58" s="2"/>
      <c r="H58" s="2"/>
      <c r="I58" s="2"/>
      <c r="J58" s="53" t="n">
        <f aca="false">SUMIF($AC$9:$AC$48,$B58,J$9:J$48)</f>
        <v>0</v>
      </c>
      <c r="K58" s="53" t="n">
        <f aca="false">SUMIF($AC$9:$AC$48,$B58,K$9:K$48)</f>
        <v>0</v>
      </c>
      <c r="L58" s="53" t="n">
        <f aca="false">SUMIF($AC$9:$AC$48,$B58,L$9:L$48)</f>
        <v>0</v>
      </c>
      <c r="M58" s="53" t="n">
        <f aca="false">SUMIF($AC$9:$AC$48,$B58,M$9:M$48)</f>
        <v>2400</v>
      </c>
      <c r="N58" s="53" t="n">
        <f aca="false">SUMIF($AC$9:$AC$48,$B58,N$9:N$48)</f>
        <v>0</v>
      </c>
      <c r="O58" s="53" t="n">
        <f aca="false">SUMIF($AC$9:$AC$48,$B58,O$9:O$48)</f>
        <v>0</v>
      </c>
      <c r="P58" s="53" t="n">
        <f aca="false">SUMIF($AC$9:$AC$48,$B58,P$9:P$48)</f>
        <v>0</v>
      </c>
      <c r="Q58" s="53" t="n">
        <f aca="false">SUMIF($AC$9:$AC$48,$B58,Q$9:Q$48)</f>
        <v>2400</v>
      </c>
      <c r="R58" s="53" t="n">
        <f aca="false">SUMIF($AC$9:$AC$48,$B58,R$9:R$48)</f>
        <v>0</v>
      </c>
      <c r="S58" s="53" t="n">
        <f aca="false">SUMIF($AC$9:$AC$48,$B58,S$9:S$48)</f>
        <v>0</v>
      </c>
      <c r="T58" s="53" t="n">
        <f aca="false">SUMIF($AC$9:$AC$48,$B58,T$9:T$48)</f>
        <v>0</v>
      </c>
      <c r="U58" s="53" t="n">
        <f aca="false">SUMIF($AC$9:$AC$48,$B58,U$9:U$48)</f>
        <v>2400</v>
      </c>
      <c r="V58" s="53" t="n">
        <f aca="false">SUMIF($AC$9:$AC$48,$B58,V$9:V$48)</f>
        <v>0</v>
      </c>
      <c r="W58" s="53" t="n">
        <f aca="false">SUMIF($AC$9:$AC$48,$B58,W$9:W$48)</f>
        <v>7200</v>
      </c>
      <c r="X58" s="2"/>
      <c r="Y58" s="2"/>
      <c r="Z58" s="2"/>
      <c r="AA58" s="2"/>
      <c r="AB58" s="2"/>
      <c r="AC58" s="2"/>
    </row>
    <row r="59" customFormat="false" ht="15" hidden="false" customHeight="false" outlineLevel="0" collapsed="false">
      <c r="A59" s="2"/>
      <c r="B59" s="9" t="str">
        <f aca="false">Lists!$D$9</f>
        <v>Motor &amp; travel</v>
      </c>
      <c r="C59" s="2"/>
      <c r="D59" s="2"/>
      <c r="E59" s="2"/>
      <c r="F59" s="2"/>
      <c r="G59" s="2"/>
      <c r="H59" s="2"/>
      <c r="I59" s="2"/>
      <c r="J59" s="53" t="n">
        <f aca="false">SUMIF($AC$9:$AC$48,$B59,J$9:J$48)</f>
        <v>2160</v>
      </c>
      <c r="K59" s="53" t="n">
        <f aca="false">SUMIF($AC$9:$AC$48,$B59,K$9:K$48)</f>
        <v>0</v>
      </c>
      <c r="L59" s="53" t="n">
        <f aca="false">SUMIF($AC$9:$AC$48,$B59,L$9:L$48)</f>
        <v>0</v>
      </c>
      <c r="M59" s="53" t="n">
        <f aca="false">SUMIF($AC$9:$AC$48,$B59,M$9:M$48)</f>
        <v>0</v>
      </c>
      <c r="N59" s="53" t="n">
        <f aca="false">SUMIF($AC$9:$AC$48,$B59,N$9:N$48)</f>
        <v>0</v>
      </c>
      <c r="O59" s="53" t="n">
        <f aca="false">SUMIF($AC$9:$AC$48,$B59,O$9:O$48)</f>
        <v>2160</v>
      </c>
      <c r="P59" s="53" t="n">
        <f aca="false">SUMIF($AC$9:$AC$48,$B59,P$9:P$48)</f>
        <v>0</v>
      </c>
      <c r="Q59" s="53" t="n">
        <f aca="false">SUMIF($AC$9:$AC$48,$B59,Q$9:Q$48)</f>
        <v>0</v>
      </c>
      <c r="R59" s="53" t="n">
        <f aca="false">SUMIF($AC$9:$AC$48,$B59,R$9:R$48)</f>
        <v>0</v>
      </c>
      <c r="S59" s="53" t="n">
        <f aca="false">SUMIF($AC$9:$AC$48,$B59,S$9:S$48)</f>
        <v>2160</v>
      </c>
      <c r="T59" s="53" t="n">
        <f aca="false">SUMIF($AC$9:$AC$48,$B59,T$9:T$48)</f>
        <v>0</v>
      </c>
      <c r="U59" s="53" t="n">
        <f aca="false">SUMIF($AC$9:$AC$48,$B59,U$9:U$48)</f>
        <v>0</v>
      </c>
      <c r="V59" s="53" t="n">
        <f aca="false">SUMIF($AC$9:$AC$48,$B59,V$9:V$48)</f>
        <v>0</v>
      </c>
      <c r="W59" s="53" t="n">
        <f aca="false">SUMIF($AC$9:$AC$48,$B59,W$9:W$48)</f>
        <v>6480</v>
      </c>
      <c r="X59" s="2"/>
      <c r="Y59" s="2"/>
      <c r="Z59" s="2"/>
      <c r="AA59" s="2"/>
      <c r="AB59" s="2"/>
      <c r="AC59" s="2"/>
    </row>
    <row r="60" customFormat="false" ht="15" hidden="false" customHeight="false" outlineLevel="0" collapsed="false">
      <c r="A60" s="2"/>
      <c r="B60" s="9" t="str">
        <f aca="false">Lists!$D$10</f>
        <v>Bank charges &amp; interest</v>
      </c>
      <c r="C60" s="2"/>
      <c r="D60" s="2"/>
      <c r="E60" s="2"/>
      <c r="F60" s="2"/>
      <c r="G60" s="2"/>
      <c r="H60" s="2"/>
      <c r="I60" s="2"/>
      <c r="J60" s="53" t="n">
        <f aca="false">SUMIF($AC$9:$AC$48,$B60,J$9:J$48)</f>
        <v>0</v>
      </c>
      <c r="K60" s="53" t="n">
        <f aca="false">SUMIF($AC$9:$AC$48,$B60,K$9:K$48)</f>
        <v>0</v>
      </c>
      <c r="L60" s="53" t="n">
        <f aca="false">SUMIF($AC$9:$AC$48,$B60,L$9:L$48)</f>
        <v>0</v>
      </c>
      <c r="M60" s="53" t="n">
        <f aca="false">SUMIF($AC$9:$AC$48,$B60,M$9:M$48)</f>
        <v>400</v>
      </c>
      <c r="N60" s="53" t="n">
        <f aca="false">SUMIF($AC$9:$AC$48,$B60,N$9:N$48)</f>
        <v>0</v>
      </c>
      <c r="O60" s="53" t="n">
        <f aca="false">SUMIF($AC$9:$AC$48,$B60,O$9:O$48)</f>
        <v>0</v>
      </c>
      <c r="P60" s="53" t="n">
        <f aca="false">SUMIF($AC$9:$AC$48,$B60,P$9:P$48)</f>
        <v>0</v>
      </c>
      <c r="Q60" s="53" t="n">
        <f aca="false">SUMIF($AC$9:$AC$48,$B60,Q$9:Q$48)</f>
        <v>0</v>
      </c>
      <c r="R60" s="53" t="n">
        <f aca="false">SUMIF($AC$9:$AC$48,$B60,R$9:R$48)</f>
        <v>400</v>
      </c>
      <c r="S60" s="53" t="n">
        <f aca="false">SUMIF($AC$9:$AC$48,$B60,S$9:S$48)</f>
        <v>0</v>
      </c>
      <c r="T60" s="53" t="n">
        <f aca="false">SUMIF($AC$9:$AC$48,$B60,T$9:T$48)</f>
        <v>0</v>
      </c>
      <c r="U60" s="53" t="n">
        <f aca="false">SUMIF($AC$9:$AC$48,$B60,U$9:U$48)</f>
        <v>0</v>
      </c>
      <c r="V60" s="53" t="n">
        <f aca="false">SUMIF($AC$9:$AC$48,$B60,V$9:V$48)</f>
        <v>400</v>
      </c>
      <c r="W60" s="53" t="n">
        <f aca="false">SUMIF($AC$9:$AC$48,$B60,W$9:W$48)</f>
        <v>1200</v>
      </c>
      <c r="X60" s="2"/>
      <c r="Y60" s="2"/>
      <c r="Z60" s="2"/>
      <c r="AA60" s="2"/>
      <c r="AB60" s="2"/>
      <c r="AC60" s="2"/>
    </row>
    <row r="61" customFormat="false" ht="15" hidden="false" customHeight="false" outlineLevel="0" collapsed="false">
      <c r="A61" s="2"/>
      <c r="B61" s="9" t="str">
        <f aca="false">Lists!$D$11</f>
        <v>Other overheads</v>
      </c>
      <c r="C61" s="2"/>
      <c r="D61" s="2"/>
      <c r="E61" s="2"/>
      <c r="F61" s="2"/>
      <c r="G61" s="2"/>
      <c r="H61" s="2"/>
      <c r="I61" s="2"/>
      <c r="J61" s="53" t="n">
        <f aca="false">SUMIF($AC$9:$AC$48,$B61,J$9:J$48)</f>
        <v>0</v>
      </c>
      <c r="K61" s="53" t="n">
        <f aca="false">SUMIF($AC$9:$AC$48,$B61,K$9:K$48)</f>
        <v>0</v>
      </c>
      <c r="L61" s="53" t="n">
        <f aca="false">SUMIF($AC$9:$AC$48,$B61,L$9:L$48)</f>
        <v>3600</v>
      </c>
      <c r="M61" s="53" t="n">
        <f aca="false">SUMIF($AC$9:$AC$48,$B61,M$9:M$48)</f>
        <v>0</v>
      </c>
      <c r="N61" s="53" t="n">
        <f aca="false">SUMIF($AC$9:$AC$48,$B61,N$9:N$48)</f>
        <v>0</v>
      </c>
      <c r="O61" s="53" t="n">
        <f aca="false">SUMIF($AC$9:$AC$48,$B61,O$9:O$48)</f>
        <v>0</v>
      </c>
      <c r="P61" s="53" t="n">
        <f aca="false">SUMIF($AC$9:$AC$48,$B61,P$9:P$48)</f>
        <v>3600</v>
      </c>
      <c r="Q61" s="53" t="n">
        <f aca="false">SUMIF($AC$9:$AC$48,$B61,Q$9:Q$48)</f>
        <v>0</v>
      </c>
      <c r="R61" s="53" t="n">
        <f aca="false">SUMIF($AC$9:$AC$48,$B61,R$9:R$48)</f>
        <v>0</v>
      </c>
      <c r="S61" s="53" t="n">
        <f aca="false">SUMIF($AC$9:$AC$48,$B61,S$9:S$48)</f>
        <v>0</v>
      </c>
      <c r="T61" s="53" t="n">
        <f aca="false">SUMIF($AC$9:$AC$48,$B61,T$9:T$48)</f>
        <v>0</v>
      </c>
      <c r="U61" s="53" t="n">
        <f aca="false">SUMIF($AC$9:$AC$48,$B61,U$9:U$48)</f>
        <v>3600</v>
      </c>
      <c r="V61" s="53" t="n">
        <f aca="false">SUMIF($AC$9:$AC$48,$B61,V$9:V$48)</f>
        <v>0</v>
      </c>
      <c r="W61" s="53" t="n">
        <f aca="false">SUMIF($AC$9:$AC$48,$B61,W$9:W$48)</f>
        <v>10800</v>
      </c>
      <c r="X61" s="2"/>
      <c r="Y61" s="2"/>
      <c r="Z61" s="2"/>
      <c r="AA61" s="2"/>
      <c r="AB61" s="2"/>
      <c r="AC61" s="2"/>
    </row>
    <row r="62" customFormat="false" ht="15" hidden="false" customHeight="false" outlineLevel="0" collapsed="false">
      <c r="A62" s="2"/>
      <c r="B62" s="15" t="s">
        <v>254</v>
      </c>
      <c r="C62" s="2"/>
      <c r="D62" s="2"/>
      <c r="E62" s="2"/>
      <c r="F62" s="2"/>
      <c r="G62" s="2"/>
      <c r="H62" s="2"/>
      <c r="I62" s="2"/>
      <c r="J62" s="48" t="n">
        <f aca="false">SUM(J52:J61)</f>
        <v>3960</v>
      </c>
      <c r="K62" s="48" t="n">
        <f aca="false">SUM(K52:K61)</f>
        <v>11420</v>
      </c>
      <c r="L62" s="48" t="n">
        <f aca="false">SUM(L52:L61)</f>
        <v>3600</v>
      </c>
      <c r="M62" s="48" t="n">
        <f aca="false">SUM(M52:M61)</f>
        <v>7100</v>
      </c>
      <c r="N62" s="48" t="n">
        <f aca="false">SUM(N52:N61)</f>
        <v>1800</v>
      </c>
      <c r="O62" s="48" t="n">
        <f aca="false">SUM(O52:O61)</f>
        <v>6380</v>
      </c>
      <c r="P62" s="48" t="n">
        <f aca="false">SUM(P52:P61)</f>
        <v>46800</v>
      </c>
      <c r="Q62" s="48" t="n">
        <f aca="false">SUM(Q52:Q61)</f>
        <v>6700</v>
      </c>
      <c r="R62" s="48" t="n">
        <f aca="false">SUM(R52:R61)</f>
        <v>400</v>
      </c>
      <c r="S62" s="48" t="n">
        <f aca="false">SUM(S52:S61)</f>
        <v>7460</v>
      </c>
      <c r="T62" s="48" t="n">
        <f aca="false">SUM(T52:T61)</f>
        <v>7920</v>
      </c>
      <c r="U62" s="48" t="n">
        <f aca="false">SUM(U52:U61)</f>
        <v>6000</v>
      </c>
      <c r="V62" s="48" t="n">
        <f aca="false">SUM(V52:V61)</f>
        <v>4700</v>
      </c>
      <c r="W62" s="48" t="n">
        <f aca="false">SUM(W52:W61)</f>
        <v>114240</v>
      </c>
      <c r="X62" s="2"/>
      <c r="Y62" s="2"/>
      <c r="Z62" s="2"/>
      <c r="AA62" s="2"/>
      <c r="AB62" s="2"/>
      <c r="AC62" s="2"/>
    </row>
    <row r="63" customFormat="false" ht="15" hidden="false" customHeight="false" outlineLevel="0" collapsed="false">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customFormat="false" ht="15" hidden="false" customHeight="false" outlineLevel="0" collapsed="false">
      <c r="A64" s="5" t="s">
        <v>518</v>
      </c>
      <c r="B64" s="6"/>
      <c r="C64" s="6"/>
      <c r="D64" s="6"/>
      <c r="E64" s="6"/>
      <c r="F64" s="6"/>
      <c r="G64" s="6"/>
      <c r="H64" s="6"/>
      <c r="I64" s="6"/>
      <c r="J64" s="6"/>
      <c r="K64" s="6"/>
      <c r="L64" s="6"/>
      <c r="M64" s="6"/>
      <c r="N64" s="6"/>
      <c r="O64" s="6"/>
      <c r="P64" s="6"/>
      <c r="Q64" s="6"/>
      <c r="R64" s="6"/>
      <c r="S64" s="6"/>
      <c r="T64" s="6"/>
      <c r="U64" s="6"/>
      <c r="V64" s="6"/>
      <c r="W64" s="6"/>
      <c r="X64" s="6"/>
      <c r="Y64" s="2"/>
      <c r="Z64" s="2"/>
      <c r="AA64" s="2"/>
      <c r="AB64" s="2"/>
      <c r="AC64" s="2"/>
    </row>
    <row r="65" customFormat="false" ht="15" hidden="false" customHeight="false" outlineLevel="0" collapsed="false">
      <c r="A65" s="2"/>
      <c r="B65" s="9" t="str">
        <f aca="false">Lists!$D$2</f>
        <v>Premises (rent, rates, service charge)</v>
      </c>
      <c r="C65" s="2"/>
      <c r="D65" s="2"/>
      <c r="E65" s="2"/>
      <c r="F65" s="2"/>
      <c r="G65" s="2"/>
      <c r="H65" s="2"/>
      <c r="I65" s="2"/>
      <c r="J65" s="53" t="n">
        <f aca="false">SUMPRODUCT(($AC$9:$AC$48=$B65)*J$9:J$48/$Y$9:$Y$48)</f>
        <v>0</v>
      </c>
      <c r="K65" s="53" t="n">
        <f aca="false">SUMPRODUCT(($AC$9:$AC$48=$B65)*K$9:K$48/$Y$9:$Y$48)</f>
        <v>3500</v>
      </c>
      <c r="L65" s="53" t="n">
        <f aca="false">SUMPRODUCT(($AC$9:$AC$48=$B65)*L$9:L$48/$Y$9:$Y$48)</f>
        <v>0</v>
      </c>
      <c r="M65" s="53" t="n">
        <f aca="false">SUMPRODUCT(($AC$9:$AC$48=$B65)*M$9:M$48/$Y$9:$Y$48)</f>
        <v>0</v>
      </c>
      <c r="N65" s="53" t="n">
        <f aca="false">SUMPRODUCT(($AC$9:$AC$48=$B65)*N$9:N$48/$Y$9:$Y$48)</f>
        <v>0</v>
      </c>
      <c r="O65" s="53" t="n">
        <f aca="false">SUMPRODUCT(($AC$9:$AC$48=$B65)*O$9:O$48/$Y$9:$Y$48)</f>
        <v>3500</v>
      </c>
      <c r="P65" s="53" t="n">
        <f aca="false">SUMPRODUCT(($AC$9:$AC$48=$B65)*P$9:P$48/$Y$9:$Y$48)</f>
        <v>30000</v>
      </c>
      <c r="Q65" s="53" t="n">
        <f aca="false">SUMPRODUCT(($AC$9:$AC$48=$B65)*Q$9:Q$48/$Y$9:$Y$48)</f>
        <v>0</v>
      </c>
      <c r="R65" s="53" t="n">
        <f aca="false">SUMPRODUCT(($AC$9:$AC$48=$B65)*R$9:R$48/$Y$9:$Y$48)</f>
        <v>0</v>
      </c>
      <c r="S65" s="53" t="n">
        <f aca="false">SUMPRODUCT(($AC$9:$AC$48=$B65)*S$9:S$48/$Y$9:$Y$48)</f>
        <v>3500</v>
      </c>
      <c r="T65" s="53" t="n">
        <f aca="false">SUMPRODUCT(($AC$9:$AC$48=$B65)*T$9:T$48/$Y$9:$Y$48)</f>
        <v>0</v>
      </c>
      <c r="U65" s="53" t="n">
        <f aca="false">SUMPRODUCT(($AC$9:$AC$48=$B65)*U$9:U$48/$Y$9:$Y$48)</f>
        <v>0</v>
      </c>
      <c r="V65" s="53" t="n">
        <f aca="false">SUMPRODUCT(($AC$9:$AC$48=$B65)*V$9:V$48/$Y$9:$Y$48)</f>
        <v>0</v>
      </c>
      <c r="W65" s="53" t="n">
        <f aca="false">SUMPRODUCT(($AC$9:$AC$48=$B65)*W$9:W$48/$Y$9:$Y$48)</f>
        <v>40500</v>
      </c>
      <c r="X65" s="2"/>
      <c r="Y65" s="2"/>
      <c r="Z65" s="2"/>
      <c r="AA65" s="2"/>
      <c r="AB65" s="2"/>
      <c r="AC65" s="2"/>
    </row>
    <row r="66" customFormat="false" ht="15" hidden="false" customHeight="false" outlineLevel="0" collapsed="false">
      <c r="A66" s="2"/>
      <c r="B66" s="9" t="str">
        <f aca="false">Lists!$D$3</f>
        <v>Utilities (gas, electric, water)</v>
      </c>
      <c r="C66" s="2"/>
      <c r="D66" s="2"/>
      <c r="E66" s="2"/>
      <c r="F66" s="2"/>
      <c r="G66" s="2"/>
      <c r="H66" s="2"/>
      <c r="I66" s="2"/>
      <c r="J66" s="53" t="n">
        <f aca="false">SUMPRODUCT(($AC$9:$AC$48=$B66)*J$9:J$48/$Y$9:$Y$48)</f>
        <v>0</v>
      </c>
      <c r="K66" s="53" t="n">
        <f aca="false">SUMPRODUCT(($AC$9:$AC$48=$B66)*K$9:K$48/$Y$9:$Y$48)</f>
        <v>6000</v>
      </c>
      <c r="L66" s="53" t="n">
        <f aca="false">SUMPRODUCT(($AC$9:$AC$48=$B66)*L$9:L$48/$Y$9:$Y$48)</f>
        <v>0</v>
      </c>
      <c r="M66" s="53" t="n">
        <f aca="false">SUMPRODUCT(($AC$9:$AC$48=$B66)*M$9:M$48/$Y$9:$Y$48)</f>
        <v>0</v>
      </c>
      <c r="N66" s="53" t="n">
        <f aca="false">SUMPRODUCT(($AC$9:$AC$48=$B66)*N$9:N$48/$Y$9:$Y$48)</f>
        <v>0</v>
      </c>
      <c r="O66" s="53" t="n">
        <f aca="false">SUMPRODUCT(($AC$9:$AC$48=$B66)*O$9:O$48/$Y$9:$Y$48)</f>
        <v>0</v>
      </c>
      <c r="P66" s="53" t="n">
        <f aca="false">SUMPRODUCT(($AC$9:$AC$48=$B66)*P$9:P$48/$Y$9:$Y$48)</f>
        <v>6000</v>
      </c>
      <c r="Q66" s="53" t="n">
        <f aca="false">SUMPRODUCT(($AC$9:$AC$48=$B66)*Q$9:Q$48/$Y$9:$Y$48)</f>
        <v>0</v>
      </c>
      <c r="R66" s="53" t="n">
        <f aca="false">SUMPRODUCT(($AC$9:$AC$48=$B66)*R$9:R$48/$Y$9:$Y$48)</f>
        <v>0</v>
      </c>
      <c r="S66" s="53" t="n">
        <f aca="false">SUMPRODUCT(($AC$9:$AC$48=$B66)*S$9:S$48/$Y$9:$Y$48)</f>
        <v>0</v>
      </c>
      <c r="T66" s="53" t="n">
        <f aca="false">SUMPRODUCT(($AC$9:$AC$48=$B66)*T$9:T$48/$Y$9:$Y$48)</f>
        <v>6000</v>
      </c>
      <c r="U66" s="53" t="n">
        <f aca="false">SUMPRODUCT(($AC$9:$AC$48=$B66)*U$9:U$48/$Y$9:$Y$48)</f>
        <v>0</v>
      </c>
      <c r="V66" s="53" t="n">
        <f aca="false">SUMPRODUCT(($AC$9:$AC$48=$B66)*V$9:V$48/$Y$9:$Y$48)</f>
        <v>0</v>
      </c>
      <c r="W66" s="53" t="n">
        <f aca="false">SUMPRODUCT(($AC$9:$AC$48=$B66)*W$9:W$48/$Y$9:$Y$48)</f>
        <v>18000</v>
      </c>
      <c r="X66" s="2"/>
      <c r="Y66" s="2"/>
      <c r="Z66" s="2"/>
      <c r="AA66" s="2"/>
      <c r="AB66" s="2"/>
      <c r="AC66" s="2"/>
    </row>
    <row r="67" customFormat="false" ht="15" hidden="false" customHeight="false" outlineLevel="0" collapsed="false">
      <c r="A67" s="2"/>
      <c r="B67" s="9" t="str">
        <f aca="false">Lists!$D$4</f>
        <v>Insurance</v>
      </c>
      <c r="C67" s="2"/>
      <c r="D67" s="2"/>
      <c r="E67" s="2"/>
      <c r="F67" s="2"/>
      <c r="G67" s="2"/>
      <c r="H67" s="2"/>
      <c r="I67" s="2"/>
      <c r="J67" s="53" t="n">
        <f aca="false">SUMPRODUCT(($AC$9:$AC$48=$B67)*J$9:J$48/$Y$9:$Y$48)</f>
        <v>0</v>
      </c>
      <c r="K67" s="53" t="n">
        <f aca="false">SUMPRODUCT(($AC$9:$AC$48=$B67)*K$9:K$48/$Y$9:$Y$48)</f>
        <v>0</v>
      </c>
      <c r="L67" s="53" t="n">
        <f aca="false">SUMPRODUCT(($AC$9:$AC$48=$B67)*L$9:L$48/$Y$9:$Y$48)</f>
        <v>0</v>
      </c>
      <c r="M67" s="53" t="n">
        <f aca="false">SUMPRODUCT(($AC$9:$AC$48=$B67)*M$9:M$48/$Y$9:$Y$48)</f>
        <v>2500</v>
      </c>
      <c r="N67" s="53" t="n">
        <f aca="false">SUMPRODUCT(($AC$9:$AC$48=$B67)*N$9:N$48/$Y$9:$Y$48)</f>
        <v>0</v>
      </c>
      <c r="O67" s="53" t="n">
        <f aca="false">SUMPRODUCT(($AC$9:$AC$48=$B67)*O$9:O$48/$Y$9:$Y$48)</f>
        <v>0</v>
      </c>
      <c r="P67" s="53" t="n">
        <f aca="false">SUMPRODUCT(($AC$9:$AC$48=$B67)*P$9:P$48/$Y$9:$Y$48)</f>
        <v>0</v>
      </c>
      <c r="Q67" s="53" t="n">
        <f aca="false">SUMPRODUCT(($AC$9:$AC$48=$B67)*Q$9:Q$48/$Y$9:$Y$48)</f>
        <v>2500</v>
      </c>
      <c r="R67" s="53" t="n">
        <f aca="false">SUMPRODUCT(($AC$9:$AC$48=$B67)*R$9:R$48/$Y$9:$Y$48)</f>
        <v>0</v>
      </c>
      <c r="S67" s="53" t="n">
        <f aca="false">SUMPRODUCT(($AC$9:$AC$48=$B67)*S$9:S$48/$Y$9:$Y$48)</f>
        <v>0</v>
      </c>
      <c r="T67" s="53" t="n">
        <f aca="false">SUMPRODUCT(($AC$9:$AC$48=$B67)*T$9:T$48/$Y$9:$Y$48)</f>
        <v>0</v>
      </c>
      <c r="U67" s="53" t="n">
        <f aca="false">SUMPRODUCT(($AC$9:$AC$48=$B67)*U$9:U$48/$Y$9:$Y$48)</f>
        <v>0</v>
      </c>
      <c r="V67" s="53" t="n">
        <f aca="false">SUMPRODUCT(($AC$9:$AC$48=$B67)*V$9:V$48/$Y$9:$Y$48)</f>
        <v>2500</v>
      </c>
      <c r="W67" s="53" t="n">
        <f aca="false">SUMPRODUCT(($AC$9:$AC$48=$B67)*W$9:W$48/$Y$9:$Y$48)</f>
        <v>7500</v>
      </c>
      <c r="X67" s="2"/>
      <c r="Y67" s="2"/>
      <c r="Z67" s="2"/>
      <c r="AA67" s="2"/>
      <c r="AB67" s="2"/>
      <c r="AC67" s="2"/>
    </row>
    <row r="68" customFormat="false" ht="15" hidden="false" customHeight="false" outlineLevel="0" collapsed="false">
      <c r="A68" s="2"/>
      <c r="B68" s="9" t="str">
        <f aca="false">Lists!$D$5</f>
        <v>IT &amp; software</v>
      </c>
      <c r="C68" s="2"/>
      <c r="D68" s="2"/>
      <c r="E68" s="2"/>
      <c r="F68" s="2"/>
      <c r="G68" s="2"/>
      <c r="H68" s="2"/>
      <c r="I68" s="2"/>
      <c r="J68" s="53" t="n">
        <f aca="false">SUMPRODUCT(($AC$9:$AC$48=$B68)*J$9:J$48/$Y$9:$Y$48)</f>
        <v>1500</v>
      </c>
      <c r="K68" s="53" t="n">
        <f aca="false">SUMPRODUCT(($AC$9:$AC$48=$B68)*K$9:K$48/$Y$9:$Y$48)</f>
        <v>0</v>
      </c>
      <c r="L68" s="53" t="n">
        <f aca="false">SUMPRODUCT(($AC$9:$AC$48=$B68)*L$9:L$48/$Y$9:$Y$48)</f>
        <v>0</v>
      </c>
      <c r="M68" s="53" t="n">
        <f aca="false">SUMPRODUCT(($AC$9:$AC$48=$B68)*M$9:M$48/$Y$9:$Y$48)</f>
        <v>0</v>
      </c>
      <c r="N68" s="53" t="n">
        <f aca="false">SUMPRODUCT(($AC$9:$AC$48=$B68)*N$9:N$48/$Y$9:$Y$48)</f>
        <v>1500</v>
      </c>
      <c r="O68" s="53" t="n">
        <f aca="false">SUMPRODUCT(($AC$9:$AC$48=$B68)*O$9:O$48/$Y$9:$Y$48)</f>
        <v>0</v>
      </c>
      <c r="P68" s="53" t="n">
        <f aca="false">SUMPRODUCT(($AC$9:$AC$48=$B68)*P$9:P$48/$Y$9:$Y$48)</f>
        <v>0</v>
      </c>
      <c r="Q68" s="53" t="n">
        <f aca="false">SUMPRODUCT(($AC$9:$AC$48=$B68)*Q$9:Q$48/$Y$9:$Y$48)</f>
        <v>0</v>
      </c>
      <c r="R68" s="53" t="n">
        <f aca="false">SUMPRODUCT(($AC$9:$AC$48=$B68)*R$9:R$48/$Y$9:$Y$48)</f>
        <v>0</v>
      </c>
      <c r="S68" s="53" t="n">
        <f aca="false">SUMPRODUCT(($AC$9:$AC$48=$B68)*S$9:S$48/$Y$9:$Y$48)</f>
        <v>1500</v>
      </c>
      <c r="T68" s="53" t="n">
        <f aca="false">SUMPRODUCT(($AC$9:$AC$48=$B68)*T$9:T$48/$Y$9:$Y$48)</f>
        <v>0</v>
      </c>
      <c r="U68" s="53" t="n">
        <f aca="false">SUMPRODUCT(($AC$9:$AC$48=$B68)*U$9:U$48/$Y$9:$Y$48)</f>
        <v>0</v>
      </c>
      <c r="V68" s="53" t="n">
        <f aca="false">SUMPRODUCT(($AC$9:$AC$48=$B68)*V$9:V$48/$Y$9:$Y$48)</f>
        <v>0</v>
      </c>
      <c r="W68" s="53" t="n">
        <f aca="false">SUMPRODUCT(($AC$9:$AC$48=$B68)*W$9:W$48/$Y$9:$Y$48)</f>
        <v>4500</v>
      </c>
      <c r="X68" s="2"/>
      <c r="Y68" s="2"/>
      <c r="Z68" s="2"/>
      <c r="AA68" s="2"/>
      <c r="AB68" s="2"/>
      <c r="AC68" s="2"/>
    </row>
    <row r="69" customFormat="false" ht="15" hidden="false" customHeight="false" outlineLevel="0" collapsed="false">
      <c r="A69" s="2"/>
      <c r="B69" s="9" t="str">
        <f aca="false">Lists!$D$6</f>
        <v>Telephone &amp; internet</v>
      </c>
      <c r="C69" s="2"/>
      <c r="D69" s="2"/>
      <c r="E69" s="2"/>
      <c r="F69" s="2"/>
      <c r="G69" s="2"/>
      <c r="H69" s="2"/>
      <c r="I69" s="2"/>
      <c r="J69" s="53" t="n">
        <f aca="false">SUMPRODUCT(($AC$9:$AC$48=$B69)*J$9:J$48/$Y$9:$Y$48)</f>
        <v>0</v>
      </c>
      <c r="K69" s="53" t="n">
        <f aca="false">SUMPRODUCT(($AC$9:$AC$48=$B69)*K$9:K$48/$Y$9:$Y$48)</f>
        <v>600</v>
      </c>
      <c r="L69" s="53" t="n">
        <f aca="false">SUMPRODUCT(($AC$9:$AC$48=$B69)*L$9:L$48/$Y$9:$Y$48)</f>
        <v>0</v>
      </c>
      <c r="M69" s="53" t="n">
        <f aca="false">SUMPRODUCT(($AC$9:$AC$48=$B69)*M$9:M$48/$Y$9:$Y$48)</f>
        <v>0</v>
      </c>
      <c r="N69" s="53" t="n">
        <f aca="false">SUMPRODUCT(($AC$9:$AC$48=$B69)*N$9:N$48/$Y$9:$Y$48)</f>
        <v>0</v>
      </c>
      <c r="O69" s="53" t="n">
        <f aca="false">SUMPRODUCT(($AC$9:$AC$48=$B69)*O$9:O$48/$Y$9:$Y$48)</f>
        <v>600</v>
      </c>
      <c r="P69" s="53" t="n">
        <f aca="false">SUMPRODUCT(($AC$9:$AC$48=$B69)*P$9:P$48/$Y$9:$Y$48)</f>
        <v>0</v>
      </c>
      <c r="Q69" s="53" t="n">
        <f aca="false">SUMPRODUCT(($AC$9:$AC$48=$B69)*Q$9:Q$48/$Y$9:$Y$48)</f>
        <v>0</v>
      </c>
      <c r="R69" s="53" t="n">
        <f aca="false">SUMPRODUCT(($AC$9:$AC$48=$B69)*R$9:R$48/$Y$9:$Y$48)</f>
        <v>0</v>
      </c>
      <c r="S69" s="53" t="n">
        <f aca="false">SUMPRODUCT(($AC$9:$AC$48=$B69)*S$9:S$48/$Y$9:$Y$48)</f>
        <v>0</v>
      </c>
      <c r="T69" s="53" t="n">
        <f aca="false">SUMPRODUCT(($AC$9:$AC$48=$B69)*T$9:T$48/$Y$9:$Y$48)</f>
        <v>600</v>
      </c>
      <c r="U69" s="53" t="n">
        <f aca="false">SUMPRODUCT(($AC$9:$AC$48=$B69)*U$9:U$48/$Y$9:$Y$48)</f>
        <v>0</v>
      </c>
      <c r="V69" s="53" t="n">
        <f aca="false">SUMPRODUCT(($AC$9:$AC$48=$B69)*V$9:V$48/$Y$9:$Y$48)</f>
        <v>0</v>
      </c>
      <c r="W69" s="53" t="n">
        <f aca="false">SUMPRODUCT(($AC$9:$AC$48=$B69)*W$9:W$48/$Y$9:$Y$48)</f>
        <v>1800</v>
      </c>
      <c r="X69" s="2"/>
      <c r="Y69" s="2"/>
      <c r="Z69" s="2"/>
      <c r="AA69" s="2"/>
      <c r="AB69" s="2"/>
      <c r="AC69" s="2"/>
    </row>
    <row r="70" customFormat="false" ht="15" hidden="false" customHeight="false" outlineLevel="0" collapsed="false">
      <c r="A70" s="2"/>
      <c r="B70" s="9" t="str">
        <f aca="false">Lists!$D$7</f>
        <v>Marketing &amp; advertising</v>
      </c>
      <c r="C70" s="2"/>
      <c r="D70" s="2"/>
      <c r="E70" s="2"/>
      <c r="F70" s="2"/>
      <c r="G70" s="2"/>
      <c r="H70" s="2"/>
      <c r="I70" s="2"/>
      <c r="J70" s="53" t="n">
        <f aca="false">SUMPRODUCT(($AC$9:$AC$48=$B70)*J$9:J$48/$Y$9:$Y$48)</f>
        <v>0</v>
      </c>
      <c r="K70" s="53" t="n">
        <f aca="false">SUMPRODUCT(($AC$9:$AC$48=$B70)*K$9:K$48/$Y$9:$Y$48)</f>
        <v>0</v>
      </c>
      <c r="L70" s="53" t="n">
        <f aca="false">SUMPRODUCT(($AC$9:$AC$48=$B70)*L$9:L$48/$Y$9:$Y$48)</f>
        <v>0</v>
      </c>
      <c r="M70" s="53" t="n">
        <f aca="false">SUMPRODUCT(($AC$9:$AC$48=$B70)*M$9:M$48/$Y$9:$Y$48)</f>
        <v>1500</v>
      </c>
      <c r="N70" s="53" t="n">
        <f aca="false">SUMPRODUCT(($AC$9:$AC$48=$B70)*N$9:N$48/$Y$9:$Y$48)</f>
        <v>0</v>
      </c>
      <c r="O70" s="53" t="n">
        <f aca="false">SUMPRODUCT(($AC$9:$AC$48=$B70)*O$9:O$48/$Y$9:$Y$48)</f>
        <v>0</v>
      </c>
      <c r="P70" s="53" t="n">
        <f aca="false">SUMPRODUCT(($AC$9:$AC$48=$B70)*P$9:P$48/$Y$9:$Y$48)</f>
        <v>0</v>
      </c>
      <c r="Q70" s="53" t="n">
        <f aca="false">SUMPRODUCT(($AC$9:$AC$48=$B70)*Q$9:Q$48/$Y$9:$Y$48)</f>
        <v>1500</v>
      </c>
      <c r="R70" s="53" t="n">
        <f aca="false">SUMPRODUCT(($AC$9:$AC$48=$B70)*R$9:R$48/$Y$9:$Y$48)</f>
        <v>0</v>
      </c>
      <c r="S70" s="53" t="n">
        <f aca="false">SUMPRODUCT(($AC$9:$AC$48=$B70)*S$9:S$48/$Y$9:$Y$48)</f>
        <v>0</v>
      </c>
      <c r="T70" s="53" t="n">
        <f aca="false">SUMPRODUCT(($AC$9:$AC$48=$B70)*T$9:T$48/$Y$9:$Y$48)</f>
        <v>0</v>
      </c>
      <c r="U70" s="53" t="n">
        <f aca="false">SUMPRODUCT(($AC$9:$AC$48=$B70)*U$9:U$48/$Y$9:$Y$48)</f>
        <v>0</v>
      </c>
      <c r="V70" s="53" t="n">
        <f aca="false">SUMPRODUCT(($AC$9:$AC$48=$B70)*V$9:V$48/$Y$9:$Y$48)</f>
        <v>1500</v>
      </c>
      <c r="W70" s="53" t="n">
        <f aca="false">SUMPRODUCT(($AC$9:$AC$48=$B70)*W$9:W$48/$Y$9:$Y$48)</f>
        <v>4500</v>
      </c>
      <c r="X70" s="2"/>
      <c r="Y70" s="2"/>
      <c r="Z70" s="2"/>
      <c r="AA70" s="2"/>
      <c r="AB70" s="2"/>
      <c r="AC70" s="2"/>
    </row>
    <row r="71" customFormat="false" ht="15" hidden="false" customHeight="false" outlineLevel="0" collapsed="false">
      <c r="A71" s="2"/>
      <c r="B71" s="9" t="str">
        <f aca="false">Lists!$D$8</f>
        <v>Professional fees</v>
      </c>
      <c r="C71" s="2"/>
      <c r="D71" s="2"/>
      <c r="E71" s="2"/>
      <c r="F71" s="2"/>
      <c r="G71" s="2"/>
      <c r="H71" s="2"/>
      <c r="I71" s="2"/>
      <c r="J71" s="53" t="n">
        <f aca="false">SUMPRODUCT(($AC$9:$AC$48=$B71)*J$9:J$48/$Y$9:$Y$48)</f>
        <v>0</v>
      </c>
      <c r="K71" s="53" t="n">
        <f aca="false">SUMPRODUCT(($AC$9:$AC$48=$B71)*K$9:K$48/$Y$9:$Y$48)</f>
        <v>0</v>
      </c>
      <c r="L71" s="53" t="n">
        <f aca="false">SUMPRODUCT(($AC$9:$AC$48=$B71)*L$9:L$48/$Y$9:$Y$48)</f>
        <v>0</v>
      </c>
      <c r="M71" s="53" t="n">
        <f aca="false">SUMPRODUCT(($AC$9:$AC$48=$B71)*M$9:M$48/$Y$9:$Y$48)</f>
        <v>2000</v>
      </c>
      <c r="N71" s="53" t="n">
        <f aca="false">SUMPRODUCT(($AC$9:$AC$48=$B71)*N$9:N$48/$Y$9:$Y$48)</f>
        <v>0</v>
      </c>
      <c r="O71" s="53" t="n">
        <f aca="false">SUMPRODUCT(($AC$9:$AC$48=$B71)*O$9:O$48/$Y$9:$Y$48)</f>
        <v>0</v>
      </c>
      <c r="P71" s="53" t="n">
        <f aca="false">SUMPRODUCT(($AC$9:$AC$48=$B71)*P$9:P$48/$Y$9:$Y$48)</f>
        <v>0</v>
      </c>
      <c r="Q71" s="53" t="n">
        <f aca="false">SUMPRODUCT(($AC$9:$AC$48=$B71)*Q$9:Q$48/$Y$9:$Y$48)</f>
        <v>2000</v>
      </c>
      <c r="R71" s="53" t="n">
        <f aca="false">SUMPRODUCT(($AC$9:$AC$48=$B71)*R$9:R$48/$Y$9:$Y$48)</f>
        <v>0</v>
      </c>
      <c r="S71" s="53" t="n">
        <f aca="false">SUMPRODUCT(($AC$9:$AC$48=$B71)*S$9:S$48/$Y$9:$Y$48)</f>
        <v>0</v>
      </c>
      <c r="T71" s="53" t="n">
        <f aca="false">SUMPRODUCT(($AC$9:$AC$48=$B71)*T$9:T$48/$Y$9:$Y$48)</f>
        <v>0</v>
      </c>
      <c r="U71" s="53" t="n">
        <f aca="false">SUMPRODUCT(($AC$9:$AC$48=$B71)*U$9:U$48/$Y$9:$Y$48)</f>
        <v>2000</v>
      </c>
      <c r="V71" s="53" t="n">
        <f aca="false">SUMPRODUCT(($AC$9:$AC$48=$B71)*V$9:V$48/$Y$9:$Y$48)</f>
        <v>0</v>
      </c>
      <c r="W71" s="53" t="n">
        <f aca="false">SUMPRODUCT(($AC$9:$AC$48=$B71)*W$9:W$48/$Y$9:$Y$48)</f>
        <v>6000</v>
      </c>
      <c r="X71" s="2"/>
      <c r="Y71" s="2"/>
      <c r="Z71" s="2"/>
      <c r="AA71" s="2"/>
      <c r="AB71" s="2"/>
      <c r="AC71" s="2"/>
    </row>
    <row r="72" customFormat="false" ht="15" hidden="false" customHeight="false" outlineLevel="0" collapsed="false">
      <c r="A72" s="2"/>
      <c r="B72" s="9" t="str">
        <f aca="false">Lists!$D$9</f>
        <v>Motor &amp; travel</v>
      </c>
      <c r="C72" s="2"/>
      <c r="D72" s="2"/>
      <c r="E72" s="2"/>
      <c r="F72" s="2"/>
      <c r="G72" s="2"/>
      <c r="H72" s="2"/>
      <c r="I72" s="2"/>
      <c r="J72" s="53" t="n">
        <f aca="false">SUMPRODUCT(($AC$9:$AC$48=$B72)*J$9:J$48/$Y$9:$Y$48)</f>
        <v>1800</v>
      </c>
      <c r="K72" s="53" t="n">
        <f aca="false">SUMPRODUCT(($AC$9:$AC$48=$B72)*K$9:K$48/$Y$9:$Y$48)</f>
        <v>0</v>
      </c>
      <c r="L72" s="53" t="n">
        <f aca="false">SUMPRODUCT(($AC$9:$AC$48=$B72)*L$9:L$48/$Y$9:$Y$48)</f>
        <v>0</v>
      </c>
      <c r="M72" s="53" t="n">
        <f aca="false">SUMPRODUCT(($AC$9:$AC$48=$B72)*M$9:M$48/$Y$9:$Y$48)</f>
        <v>0</v>
      </c>
      <c r="N72" s="53" t="n">
        <f aca="false">SUMPRODUCT(($AC$9:$AC$48=$B72)*N$9:N$48/$Y$9:$Y$48)</f>
        <v>0</v>
      </c>
      <c r="O72" s="53" t="n">
        <f aca="false">SUMPRODUCT(($AC$9:$AC$48=$B72)*O$9:O$48/$Y$9:$Y$48)</f>
        <v>1800</v>
      </c>
      <c r="P72" s="53" t="n">
        <f aca="false">SUMPRODUCT(($AC$9:$AC$48=$B72)*P$9:P$48/$Y$9:$Y$48)</f>
        <v>0</v>
      </c>
      <c r="Q72" s="53" t="n">
        <f aca="false">SUMPRODUCT(($AC$9:$AC$48=$B72)*Q$9:Q$48/$Y$9:$Y$48)</f>
        <v>0</v>
      </c>
      <c r="R72" s="53" t="n">
        <f aca="false">SUMPRODUCT(($AC$9:$AC$48=$B72)*R$9:R$48/$Y$9:$Y$48)</f>
        <v>0</v>
      </c>
      <c r="S72" s="53" t="n">
        <f aca="false">SUMPRODUCT(($AC$9:$AC$48=$B72)*S$9:S$48/$Y$9:$Y$48)</f>
        <v>1800</v>
      </c>
      <c r="T72" s="53" t="n">
        <f aca="false">SUMPRODUCT(($AC$9:$AC$48=$B72)*T$9:T$48/$Y$9:$Y$48)</f>
        <v>0</v>
      </c>
      <c r="U72" s="53" t="n">
        <f aca="false">SUMPRODUCT(($AC$9:$AC$48=$B72)*U$9:U$48/$Y$9:$Y$48)</f>
        <v>0</v>
      </c>
      <c r="V72" s="53" t="n">
        <f aca="false">SUMPRODUCT(($AC$9:$AC$48=$B72)*V$9:V$48/$Y$9:$Y$48)</f>
        <v>0</v>
      </c>
      <c r="W72" s="53" t="n">
        <f aca="false">SUMPRODUCT(($AC$9:$AC$48=$B72)*W$9:W$48/$Y$9:$Y$48)</f>
        <v>5400</v>
      </c>
      <c r="X72" s="2"/>
      <c r="Y72" s="2"/>
      <c r="Z72" s="2"/>
      <c r="AA72" s="2"/>
      <c r="AB72" s="2"/>
      <c r="AC72" s="2"/>
    </row>
    <row r="73" customFormat="false" ht="15" hidden="false" customHeight="false" outlineLevel="0" collapsed="false">
      <c r="A73" s="2"/>
      <c r="B73" s="9" t="str">
        <f aca="false">Lists!$D$10</f>
        <v>Bank charges &amp; interest</v>
      </c>
      <c r="C73" s="2"/>
      <c r="D73" s="2"/>
      <c r="E73" s="2"/>
      <c r="F73" s="2"/>
      <c r="G73" s="2"/>
      <c r="H73" s="2"/>
      <c r="I73" s="2"/>
      <c r="J73" s="53" t="n">
        <f aca="false">SUMPRODUCT(($AC$9:$AC$48=$B73)*J$9:J$48/$Y$9:$Y$48)</f>
        <v>0</v>
      </c>
      <c r="K73" s="53" t="n">
        <f aca="false">SUMPRODUCT(($AC$9:$AC$48=$B73)*K$9:K$48/$Y$9:$Y$48)</f>
        <v>0</v>
      </c>
      <c r="L73" s="53" t="n">
        <f aca="false">SUMPRODUCT(($AC$9:$AC$48=$B73)*L$9:L$48/$Y$9:$Y$48)</f>
        <v>0</v>
      </c>
      <c r="M73" s="53" t="n">
        <f aca="false">SUMPRODUCT(($AC$9:$AC$48=$B73)*M$9:M$48/$Y$9:$Y$48)</f>
        <v>400</v>
      </c>
      <c r="N73" s="53" t="n">
        <f aca="false">SUMPRODUCT(($AC$9:$AC$48=$B73)*N$9:N$48/$Y$9:$Y$48)</f>
        <v>0</v>
      </c>
      <c r="O73" s="53" t="n">
        <f aca="false">SUMPRODUCT(($AC$9:$AC$48=$B73)*O$9:O$48/$Y$9:$Y$48)</f>
        <v>0</v>
      </c>
      <c r="P73" s="53" t="n">
        <f aca="false">SUMPRODUCT(($AC$9:$AC$48=$B73)*P$9:P$48/$Y$9:$Y$48)</f>
        <v>0</v>
      </c>
      <c r="Q73" s="53" t="n">
        <f aca="false">SUMPRODUCT(($AC$9:$AC$48=$B73)*Q$9:Q$48/$Y$9:$Y$48)</f>
        <v>0</v>
      </c>
      <c r="R73" s="53" t="n">
        <f aca="false">SUMPRODUCT(($AC$9:$AC$48=$B73)*R$9:R$48/$Y$9:$Y$48)</f>
        <v>400</v>
      </c>
      <c r="S73" s="53" t="n">
        <f aca="false">SUMPRODUCT(($AC$9:$AC$48=$B73)*S$9:S$48/$Y$9:$Y$48)</f>
        <v>0</v>
      </c>
      <c r="T73" s="53" t="n">
        <f aca="false">SUMPRODUCT(($AC$9:$AC$48=$B73)*T$9:T$48/$Y$9:$Y$48)</f>
        <v>0</v>
      </c>
      <c r="U73" s="53" t="n">
        <f aca="false">SUMPRODUCT(($AC$9:$AC$48=$B73)*U$9:U$48/$Y$9:$Y$48)</f>
        <v>0</v>
      </c>
      <c r="V73" s="53" t="n">
        <f aca="false">SUMPRODUCT(($AC$9:$AC$48=$B73)*V$9:V$48/$Y$9:$Y$48)</f>
        <v>400</v>
      </c>
      <c r="W73" s="53" t="n">
        <f aca="false">SUMPRODUCT(($AC$9:$AC$48=$B73)*W$9:W$48/$Y$9:$Y$48)</f>
        <v>1200</v>
      </c>
      <c r="X73" s="2"/>
      <c r="Y73" s="2"/>
      <c r="Z73" s="2"/>
      <c r="AA73" s="2"/>
      <c r="AB73" s="2"/>
      <c r="AC73" s="2"/>
    </row>
    <row r="74" customFormat="false" ht="15" hidden="false" customHeight="false" outlineLevel="0" collapsed="false">
      <c r="A74" s="2"/>
      <c r="B74" s="9" t="str">
        <f aca="false">Lists!$D$11</f>
        <v>Other overheads</v>
      </c>
      <c r="C74" s="2"/>
      <c r="D74" s="2"/>
      <c r="E74" s="2"/>
      <c r="F74" s="2"/>
      <c r="G74" s="2"/>
      <c r="H74" s="2"/>
      <c r="I74" s="2"/>
      <c r="J74" s="53" t="n">
        <f aca="false">SUMPRODUCT(($AC$9:$AC$48=$B74)*J$9:J$48/$Y$9:$Y$48)</f>
        <v>0</v>
      </c>
      <c r="K74" s="53" t="n">
        <f aca="false">SUMPRODUCT(($AC$9:$AC$48=$B74)*K$9:K$48/$Y$9:$Y$48)</f>
        <v>0</v>
      </c>
      <c r="L74" s="53" t="n">
        <f aca="false">SUMPRODUCT(($AC$9:$AC$48=$B74)*L$9:L$48/$Y$9:$Y$48)</f>
        <v>3000</v>
      </c>
      <c r="M74" s="53" t="n">
        <f aca="false">SUMPRODUCT(($AC$9:$AC$48=$B74)*M$9:M$48/$Y$9:$Y$48)</f>
        <v>0</v>
      </c>
      <c r="N74" s="53" t="n">
        <f aca="false">SUMPRODUCT(($AC$9:$AC$48=$B74)*N$9:N$48/$Y$9:$Y$48)</f>
        <v>0</v>
      </c>
      <c r="O74" s="53" t="n">
        <f aca="false">SUMPRODUCT(($AC$9:$AC$48=$B74)*O$9:O$48/$Y$9:$Y$48)</f>
        <v>0</v>
      </c>
      <c r="P74" s="53" t="n">
        <f aca="false">SUMPRODUCT(($AC$9:$AC$48=$B74)*P$9:P$48/$Y$9:$Y$48)</f>
        <v>3000</v>
      </c>
      <c r="Q74" s="53" t="n">
        <f aca="false">SUMPRODUCT(($AC$9:$AC$48=$B74)*Q$9:Q$48/$Y$9:$Y$48)</f>
        <v>0</v>
      </c>
      <c r="R74" s="53" t="n">
        <f aca="false">SUMPRODUCT(($AC$9:$AC$48=$B74)*R$9:R$48/$Y$9:$Y$48)</f>
        <v>0</v>
      </c>
      <c r="S74" s="53" t="n">
        <f aca="false">SUMPRODUCT(($AC$9:$AC$48=$B74)*S$9:S$48/$Y$9:$Y$48)</f>
        <v>0</v>
      </c>
      <c r="T74" s="53" t="n">
        <f aca="false">SUMPRODUCT(($AC$9:$AC$48=$B74)*T$9:T$48/$Y$9:$Y$48)</f>
        <v>0</v>
      </c>
      <c r="U74" s="53" t="n">
        <f aca="false">SUMPRODUCT(($AC$9:$AC$48=$B74)*U$9:U$48/$Y$9:$Y$48)</f>
        <v>3000</v>
      </c>
      <c r="V74" s="53" t="n">
        <f aca="false">SUMPRODUCT(($AC$9:$AC$48=$B74)*V$9:V$48/$Y$9:$Y$48)</f>
        <v>0</v>
      </c>
      <c r="W74" s="53" t="n">
        <f aca="false">SUMPRODUCT(($AC$9:$AC$48=$B74)*W$9:W$48/$Y$9:$Y$48)</f>
        <v>9000</v>
      </c>
      <c r="X74" s="2"/>
      <c r="Y74" s="2"/>
      <c r="Z74" s="2"/>
      <c r="AA74" s="2"/>
      <c r="AB74" s="2"/>
      <c r="AC74" s="2"/>
    </row>
    <row r="75" customFormat="false" ht="15" hidden="false" customHeight="false" outlineLevel="0" collapsed="false">
      <c r="A75" s="2"/>
      <c r="B75" s="15" t="s">
        <v>254</v>
      </c>
      <c r="C75" s="2"/>
      <c r="D75" s="2"/>
      <c r="E75" s="2"/>
      <c r="F75" s="2"/>
      <c r="G75" s="2"/>
      <c r="H75" s="2"/>
      <c r="I75" s="2"/>
      <c r="J75" s="48" t="n">
        <f aca="false">SUM(J65:J74)</f>
        <v>3300</v>
      </c>
      <c r="K75" s="48" t="n">
        <f aca="false">SUM(K65:K74)</f>
        <v>10100</v>
      </c>
      <c r="L75" s="48" t="n">
        <f aca="false">SUM(L65:L74)</f>
        <v>3000</v>
      </c>
      <c r="M75" s="48" t="n">
        <f aca="false">SUM(M65:M74)</f>
        <v>6400</v>
      </c>
      <c r="N75" s="48" t="n">
        <f aca="false">SUM(N65:N74)</f>
        <v>1500</v>
      </c>
      <c r="O75" s="48" t="n">
        <f aca="false">SUM(O65:O74)</f>
        <v>5900</v>
      </c>
      <c r="P75" s="48" t="n">
        <f aca="false">SUM(P65:P74)</f>
        <v>39000</v>
      </c>
      <c r="Q75" s="48" t="n">
        <f aca="false">SUM(Q65:Q74)</f>
        <v>6000</v>
      </c>
      <c r="R75" s="48" t="n">
        <f aca="false">SUM(R65:R74)</f>
        <v>400</v>
      </c>
      <c r="S75" s="48" t="n">
        <f aca="false">SUM(S65:S74)</f>
        <v>6800</v>
      </c>
      <c r="T75" s="48" t="n">
        <f aca="false">SUM(T65:T74)</f>
        <v>6600</v>
      </c>
      <c r="U75" s="48" t="n">
        <f aca="false">SUM(U65:U74)</f>
        <v>5000</v>
      </c>
      <c r="V75" s="48" t="n">
        <f aca="false">SUM(V65:V74)</f>
        <v>4400</v>
      </c>
      <c r="W75" s="48" t="n">
        <f aca="false">SUM(W65:W74)</f>
        <v>98400</v>
      </c>
      <c r="X75" s="2"/>
      <c r="Y75" s="2"/>
      <c r="Z75" s="2"/>
      <c r="AA75" s="2"/>
      <c r="AB75" s="2"/>
      <c r="AC75" s="2"/>
    </row>
  </sheetData>
  <sheetProtection sheet="true" formatCells="false" formatColumns="false" formatRows="false"/>
  <dataValidations count="4">
    <dataValidation allowBlank="true" error="Please enter a date, e.g. 15/11/2026" errorStyle="stop" errorTitle="Date needed" operator="greaterThan" showDropDown="false" showErrorMessage="false" showInputMessage="false" sqref="G9:H48" type="date">
      <formula1>36526</formula1>
      <formula2>0</formula2>
    </dataValidation>
    <dataValidation allowBlank="true" error="Please pick from the list." errorStyle="stop" errorTitle="Choose from the list" operator="between" showDropDown="false" showErrorMessage="false" showInputMessage="false" sqref="F9:F48" type="list">
      <formula1>Lists!$C$2:$C$6</formula1>
      <formula2>0</formula2>
    </dataValidation>
    <dataValidation allowBlank="true" error="Please pick from the list." errorStyle="stop" errorTitle="Choose from the list" operator="between" showDropDown="false" showErrorMessage="false" showInputMessage="false" sqref="D9:D48" type="list">
      <formula1>Lists!$A$2:$A$3</formula1>
      <formula2>0</formula2>
    </dataValidation>
    <dataValidation allowBlank="true" error="Please pick from the list." errorStyle="stop" errorTitle="Choose from the list" operator="between" showDropDown="false" showErrorMessage="false" showInputMessage="false" sqref="C9:C48" type="list">
      <formula1>Lists!$D$2:$D$11</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C5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2"/>
    <col collapsed="false" customWidth="true" hidden="false" outlineLevel="0" max="3" min="3" style="1" width="22"/>
    <col collapsed="false" customWidth="true" hidden="true" outlineLevel="0" max="4" min="4" style="1" width="2"/>
    <col collapsed="false" customWidth="true" hidden="false" outlineLevel="0" max="5" min="5" style="1" width="12"/>
    <col collapsed="false" customWidth="true" hidden="false" outlineLevel="0" max="6" min="6" style="1" width="11"/>
    <col collapsed="false" customWidth="true" hidden="false" outlineLevel="0" max="9" min="7" style="1" width="12"/>
    <col collapsed="false" customWidth="true" hidden="false" outlineLevel="0" max="22" min="10" style="1" width="11"/>
    <col collapsed="false" customWidth="true" hidden="false" outlineLevel="0" max="23" min="23" style="1" width="13"/>
    <col collapsed="false" customWidth="true" hidden="true" outlineLevel="0" max="24" min="24" style="1" width="3"/>
    <col collapsed="false" customWidth="true" hidden="true" outlineLevel="0" max="28" min="25" style="1" width="10"/>
    <col collapsed="false" customWidth="true" hidden="true" outlineLevel="0" max="29" min="29" style="1" width="28"/>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c r="Y1" s="2"/>
      <c r="Z1" s="2"/>
      <c r="AA1" s="2"/>
      <c r="AB1" s="2"/>
      <c r="AC1" s="2"/>
    </row>
    <row r="2" customFormat="false" ht="15" hidden="false" customHeight="false" outlineLevel="0" collapsed="false">
      <c r="A2" s="4" t="s">
        <v>519</v>
      </c>
      <c r="B2" s="2"/>
      <c r="C2" s="2"/>
      <c r="D2" s="2"/>
      <c r="E2" s="2"/>
      <c r="F2" s="2"/>
      <c r="G2" s="2"/>
      <c r="H2" s="2"/>
      <c r="I2" s="2"/>
      <c r="J2" s="2"/>
      <c r="K2" s="2"/>
      <c r="L2" s="2"/>
      <c r="M2" s="2"/>
      <c r="N2" s="2"/>
      <c r="O2" s="2"/>
      <c r="P2" s="2"/>
      <c r="Q2" s="2"/>
      <c r="R2" s="2"/>
      <c r="S2" s="2"/>
      <c r="T2" s="2"/>
      <c r="U2" s="2"/>
      <c r="V2" s="2"/>
      <c r="W2" s="2"/>
      <c r="X2" s="2"/>
      <c r="Y2" s="2"/>
      <c r="Z2" s="2"/>
      <c r="AA2" s="2"/>
      <c r="AB2" s="2"/>
      <c r="AC2" s="2"/>
    </row>
    <row r="3" customFormat="false" ht="15" hidden="false" customHeight="false" outlineLevel="0" collapsed="false">
      <c r="A3" s="21" t="s">
        <v>520</v>
      </c>
      <c r="B3" s="2"/>
      <c r="C3" s="2"/>
      <c r="D3" s="2"/>
      <c r="E3" s="2"/>
      <c r="F3" s="2"/>
      <c r="G3" s="2"/>
      <c r="H3" s="2"/>
      <c r="I3" s="2"/>
      <c r="J3" s="2"/>
      <c r="K3" s="2"/>
      <c r="L3" s="2"/>
      <c r="M3" s="2"/>
      <c r="N3" s="2"/>
      <c r="O3" s="2"/>
      <c r="P3" s="2"/>
      <c r="Q3" s="2"/>
      <c r="R3" s="2"/>
      <c r="S3" s="2"/>
      <c r="T3" s="2"/>
      <c r="U3" s="2"/>
      <c r="V3" s="2"/>
      <c r="W3" s="2"/>
      <c r="X3" s="2"/>
      <c r="Y3" s="2"/>
      <c r="Z3" s="2"/>
      <c r="AA3" s="2"/>
      <c r="AB3" s="2"/>
      <c r="AC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c r="Y4" s="2"/>
      <c r="Z4" s="2"/>
      <c r="AA4" s="2"/>
      <c r="AB4" s="2"/>
      <c r="AC4" s="2"/>
    </row>
    <row r="5" customFormat="false" ht="15" hidden="false" customHeight="false" outlineLevel="0" collapsed="false">
      <c r="A5" s="2"/>
      <c r="B5" s="2"/>
      <c r="C5" s="2"/>
      <c r="D5" s="2"/>
      <c r="E5" s="2"/>
      <c r="F5" s="2"/>
      <c r="G5" s="2"/>
      <c r="H5" s="2"/>
      <c r="I5" s="2"/>
      <c r="J5" s="42" t="str">
        <f aca="false">"Week "&amp;Lists!C$20</f>
        <v>Week 1</v>
      </c>
      <c r="K5" s="42" t="str">
        <f aca="false">"Week "&amp;Lists!D$20</f>
        <v>Week 2</v>
      </c>
      <c r="L5" s="42" t="str">
        <f aca="false">"Week "&amp;Lists!E$20</f>
        <v>Week 3</v>
      </c>
      <c r="M5" s="42" t="str">
        <f aca="false">"Week "&amp;Lists!F$20</f>
        <v>Week 4</v>
      </c>
      <c r="N5" s="42" t="str">
        <f aca="false">"Week "&amp;Lists!G$20</f>
        <v>Week 5</v>
      </c>
      <c r="O5" s="42" t="str">
        <f aca="false">"Week "&amp;Lists!H$20</f>
        <v>Week 6</v>
      </c>
      <c r="P5" s="42" t="str">
        <f aca="false">"Week "&amp;Lists!I$20</f>
        <v>Week 7</v>
      </c>
      <c r="Q5" s="42" t="str">
        <f aca="false">"Week "&amp;Lists!J$20</f>
        <v>Week 8</v>
      </c>
      <c r="R5" s="42" t="str">
        <f aca="false">"Week "&amp;Lists!K$20</f>
        <v>Week 9</v>
      </c>
      <c r="S5" s="42" t="str">
        <f aca="false">"Week "&amp;Lists!L$20</f>
        <v>Week 10</v>
      </c>
      <c r="T5" s="42" t="str">
        <f aca="false">"Week "&amp;Lists!M$20</f>
        <v>Week 11</v>
      </c>
      <c r="U5" s="42" t="str">
        <f aca="false">"Week "&amp;Lists!N$20</f>
        <v>Week 12</v>
      </c>
      <c r="V5" s="42" t="str">
        <f aca="false">"Week "&amp;Lists!O$20</f>
        <v>Week 13</v>
      </c>
      <c r="W5" s="42" t="s">
        <v>253</v>
      </c>
      <c r="X5" s="2"/>
      <c r="Y5" s="2"/>
      <c r="Z5" s="2"/>
      <c r="AA5" s="2"/>
      <c r="AB5" s="2"/>
      <c r="AC5" s="2"/>
    </row>
    <row r="6" customFormat="false" ht="15" hidden="false" customHeight="false" outlineLevel="0" collapsed="false">
      <c r="A6" s="2"/>
      <c r="B6" s="2"/>
      <c r="C6" s="2"/>
      <c r="D6" s="2"/>
      <c r="E6" s="2"/>
      <c r="F6" s="2"/>
      <c r="G6" s="2"/>
      <c r="H6" s="2"/>
      <c r="I6" s="2"/>
      <c r="J6" s="45" t="n">
        <f aca="false">Lists!C$21</f>
        <v>46339</v>
      </c>
      <c r="K6" s="45" t="n">
        <f aca="false">Lists!D$21</f>
        <v>46346</v>
      </c>
      <c r="L6" s="45" t="n">
        <f aca="false">Lists!E$21</f>
        <v>46353</v>
      </c>
      <c r="M6" s="45" t="n">
        <f aca="false">Lists!F$21</f>
        <v>46360</v>
      </c>
      <c r="N6" s="45" t="n">
        <f aca="false">Lists!G$21</f>
        <v>46367</v>
      </c>
      <c r="O6" s="45" t="n">
        <f aca="false">Lists!H$21</f>
        <v>46374</v>
      </c>
      <c r="P6" s="45" t="n">
        <f aca="false">Lists!I$21</f>
        <v>46381</v>
      </c>
      <c r="Q6" s="45" t="n">
        <f aca="false">Lists!J$21</f>
        <v>46388</v>
      </c>
      <c r="R6" s="45" t="n">
        <f aca="false">Lists!K$21</f>
        <v>46395</v>
      </c>
      <c r="S6" s="45" t="n">
        <f aca="false">Lists!L$21</f>
        <v>46402</v>
      </c>
      <c r="T6" s="45" t="n">
        <f aca="false">Lists!M$21</f>
        <v>46409</v>
      </c>
      <c r="U6" s="45" t="n">
        <f aca="false">Lists!N$21</f>
        <v>46416</v>
      </c>
      <c r="V6" s="45" t="n">
        <f aca="false">Lists!O$21</f>
        <v>46423</v>
      </c>
      <c r="W6" s="42" t="s">
        <v>254</v>
      </c>
      <c r="X6" s="2"/>
      <c r="Y6" s="2"/>
      <c r="Z6" s="2"/>
      <c r="AA6" s="2"/>
      <c r="AB6" s="2"/>
      <c r="AC6" s="2"/>
    </row>
    <row r="7" customFormat="false" ht="15" hidden="false" customHeight="false" outlineLevel="0" collapsed="false">
      <c r="A7" s="5" t="s">
        <v>521</v>
      </c>
      <c r="B7" s="6"/>
      <c r="C7" s="6"/>
      <c r="D7" s="6"/>
      <c r="E7" s="6"/>
      <c r="F7" s="6"/>
      <c r="G7" s="6"/>
      <c r="H7" s="6"/>
      <c r="I7" s="6"/>
      <c r="J7" s="6"/>
      <c r="K7" s="6"/>
      <c r="L7" s="6"/>
      <c r="M7" s="6"/>
      <c r="N7" s="6"/>
      <c r="O7" s="6"/>
      <c r="P7" s="6"/>
      <c r="Q7" s="6"/>
      <c r="R7" s="6"/>
      <c r="S7" s="6"/>
      <c r="T7" s="6"/>
      <c r="U7" s="6"/>
      <c r="V7" s="6"/>
      <c r="W7" s="6"/>
      <c r="X7" s="6"/>
      <c r="Y7" s="63" t="s">
        <v>376</v>
      </c>
      <c r="Z7" s="2"/>
      <c r="AA7" s="2"/>
      <c r="AB7" s="2"/>
      <c r="AC7" s="2"/>
    </row>
    <row r="8" customFormat="false" ht="42" hidden="false" customHeight="true" outlineLevel="0" collapsed="false">
      <c r="A8" s="56" t="s">
        <v>377</v>
      </c>
      <c r="B8" s="56" t="s">
        <v>480</v>
      </c>
      <c r="C8" s="56" t="s">
        <v>522</v>
      </c>
      <c r="D8" s="56"/>
      <c r="E8" s="56" t="s">
        <v>523</v>
      </c>
      <c r="F8" s="56" t="s">
        <v>483</v>
      </c>
      <c r="G8" s="56" t="s">
        <v>484</v>
      </c>
      <c r="H8" s="56" t="s">
        <v>485</v>
      </c>
      <c r="I8" s="56" t="s">
        <v>524</v>
      </c>
      <c r="J8" s="56" t="s">
        <v>487</v>
      </c>
      <c r="K8" s="56" t="s">
        <v>487</v>
      </c>
      <c r="L8" s="56" t="s">
        <v>487</v>
      </c>
      <c r="M8" s="56" t="s">
        <v>487</v>
      </c>
      <c r="N8" s="56" t="s">
        <v>487</v>
      </c>
      <c r="O8" s="56" t="s">
        <v>487</v>
      </c>
      <c r="P8" s="56" t="s">
        <v>487</v>
      </c>
      <c r="Q8" s="56" t="s">
        <v>487</v>
      </c>
      <c r="R8" s="56" t="s">
        <v>487</v>
      </c>
      <c r="S8" s="56" t="s">
        <v>487</v>
      </c>
      <c r="T8" s="56" t="s">
        <v>487</v>
      </c>
      <c r="U8" s="56" t="s">
        <v>487</v>
      </c>
      <c r="V8" s="56" t="s">
        <v>487</v>
      </c>
      <c r="W8" s="56" t="s">
        <v>488</v>
      </c>
      <c r="X8" s="2"/>
      <c r="Y8" s="56" t="s">
        <v>443</v>
      </c>
      <c r="Z8" s="56" t="s">
        <v>489</v>
      </c>
      <c r="AA8" s="56" t="s">
        <v>490</v>
      </c>
      <c r="AB8" s="56" t="s">
        <v>491</v>
      </c>
      <c r="AC8" s="56" t="s">
        <v>492</v>
      </c>
    </row>
    <row r="9" customFormat="false" ht="15" hidden="false" customHeight="false" outlineLevel="0" collapsed="false">
      <c r="A9" s="87" t="n">
        <v>1</v>
      </c>
      <c r="B9" s="55" t="s">
        <v>525</v>
      </c>
      <c r="C9" s="55" t="s">
        <v>526</v>
      </c>
      <c r="D9" s="2"/>
      <c r="E9" s="88" t="n">
        <v>47000</v>
      </c>
      <c r="F9" s="58" t="s">
        <v>498</v>
      </c>
      <c r="G9" s="90" t="n">
        <v>46353</v>
      </c>
      <c r="H9" s="90" t="n">
        <v>46353</v>
      </c>
      <c r="I9" s="92" t="n">
        <f aca="false">N(E9)*Y9</f>
        <v>47000</v>
      </c>
      <c r="J9" s="53" t="n">
        <f aca="false">IF(OR(N($E9)=0,$G9=""),0,$I9*IF($F9="Weekly",((Lists!C$21-MOD(Lists!C$21-$G9,7))&gt;=$G9)*((Lists!C$21-MOD(Lists!C$21-$G9,7))&lt;=$AB9),IF($F9="One-off",($G9&gt;Lists!C$23)*($G9&lt;=Lists!C$21),IF($F9="",0,(((Lists!C$24-$AA9)-MOD((Lists!C$24-$AA9),$Z9))&gt;=0)*(EDATE($G9,((Lists!C$24-$AA9)-MOD((Lists!C$24-$AA9),$Z9)))&gt;Lists!C$23)*(EDATE($G9,((Lists!C$24-$AA9)-MOD((Lists!C$24-$AA9),$Z9)))&lt;=Lists!C$21)*(EDATE($G9,((Lists!C$24-$AA9)-MOD((Lists!C$24-$AA9),$Z9)))&lt;=$AB9)+((((Lists!C$24-$AA9)-MOD((Lists!C$24-$AA9),$Z9))-$Z9)&gt;=0)*(EDATE($G9,(((Lists!C$24-$AA9)-MOD((Lists!C$24-$AA9),$Z9))-$Z9))&gt;Lists!C$23)*(EDATE($G9,(((Lists!C$24-$AA9)-MOD((Lists!C$24-$AA9),$Z9))-$Z9))&lt;=Lists!C$21)*(EDATE($G9,(((Lists!C$24-$AA9)-MOD((Lists!C$24-$AA9),$Z9))-$Z9))&lt;=$AB9)))))</f>
        <v>0</v>
      </c>
      <c r="K9" s="53" t="n">
        <f aca="false">IF(OR(N($E9)=0,$G9=""),0,$I9*IF($F9="Weekly",((Lists!D$21-MOD(Lists!D$21-$G9,7))&gt;=$G9)*((Lists!D$21-MOD(Lists!D$21-$G9,7))&lt;=$AB9),IF($F9="One-off",($G9&gt;Lists!D$23)*($G9&lt;=Lists!D$21),IF($F9="",0,(((Lists!D$24-$AA9)-MOD((Lists!D$24-$AA9),$Z9))&gt;=0)*(EDATE($G9,((Lists!D$24-$AA9)-MOD((Lists!D$24-$AA9),$Z9)))&gt;Lists!D$23)*(EDATE($G9,((Lists!D$24-$AA9)-MOD((Lists!D$24-$AA9),$Z9)))&lt;=Lists!D$21)*(EDATE($G9,((Lists!D$24-$AA9)-MOD((Lists!D$24-$AA9),$Z9)))&lt;=$AB9)+((((Lists!D$24-$AA9)-MOD((Lists!D$24-$AA9),$Z9))-$Z9)&gt;=0)*(EDATE($G9,(((Lists!D$24-$AA9)-MOD((Lists!D$24-$AA9),$Z9))-$Z9))&gt;Lists!D$23)*(EDATE($G9,(((Lists!D$24-$AA9)-MOD((Lists!D$24-$AA9),$Z9))-$Z9))&lt;=Lists!D$21)*(EDATE($G9,(((Lists!D$24-$AA9)-MOD((Lists!D$24-$AA9),$Z9))-$Z9))&lt;=$AB9)))))</f>
        <v>0</v>
      </c>
      <c r="L9" s="53" t="n">
        <f aca="false">IF(OR(N($E9)=0,$G9=""),0,$I9*IF($F9="Weekly",((Lists!E$21-MOD(Lists!E$21-$G9,7))&gt;=$G9)*((Lists!E$21-MOD(Lists!E$21-$G9,7))&lt;=$AB9),IF($F9="One-off",($G9&gt;Lists!E$23)*($G9&lt;=Lists!E$21),IF($F9="",0,(((Lists!E$24-$AA9)-MOD((Lists!E$24-$AA9),$Z9))&gt;=0)*(EDATE($G9,((Lists!E$24-$AA9)-MOD((Lists!E$24-$AA9),$Z9)))&gt;Lists!E$23)*(EDATE($G9,((Lists!E$24-$AA9)-MOD((Lists!E$24-$AA9),$Z9)))&lt;=Lists!E$21)*(EDATE($G9,((Lists!E$24-$AA9)-MOD((Lists!E$24-$AA9),$Z9)))&lt;=$AB9)+((((Lists!E$24-$AA9)-MOD((Lists!E$24-$AA9),$Z9))-$Z9)&gt;=0)*(EDATE($G9,(((Lists!E$24-$AA9)-MOD((Lists!E$24-$AA9),$Z9))-$Z9))&gt;Lists!E$23)*(EDATE($G9,(((Lists!E$24-$AA9)-MOD((Lists!E$24-$AA9),$Z9))-$Z9))&lt;=Lists!E$21)*(EDATE($G9,(((Lists!E$24-$AA9)-MOD((Lists!E$24-$AA9),$Z9))-$Z9))&lt;=$AB9)))))</f>
        <v>47000</v>
      </c>
      <c r="M9" s="53" t="n">
        <f aca="false">IF(OR(N($E9)=0,$G9=""),0,$I9*IF($F9="Weekly",((Lists!F$21-MOD(Lists!F$21-$G9,7))&gt;=$G9)*((Lists!F$21-MOD(Lists!F$21-$G9,7))&lt;=$AB9),IF($F9="One-off",($G9&gt;Lists!F$23)*($G9&lt;=Lists!F$21),IF($F9="",0,(((Lists!F$24-$AA9)-MOD((Lists!F$24-$AA9),$Z9))&gt;=0)*(EDATE($G9,((Lists!F$24-$AA9)-MOD((Lists!F$24-$AA9),$Z9)))&gt;Lists!F$23)*(EDATE($G9,((Lists!F$24-$AA9)-MOD((Lists!F$24-$AA9),$Z9)))&lt;=Lists!F$21)*(EDATE($G9,((Lists!F$24-$AA9)-MOD((Lists!F$24-$AA9),$Z9)))&lt;=$AB9)+((((Lists!F$24-$AA9)-MOD((Lists!F$24-$AA9),$Z9))-$Z9)&gt;=0)*(EDATE($G9,(((Lists!F$24-$AA9)-MOD((Lists!F$24-$AA9),$Z9))-$Z9))&gt;Lists!F$23)*(EDATE($G9,(((Lists!F$24-$AA9)-MOD((Lists!F$24-$AA9),$Z9))-$Z9))&lt;=Lists!F$21)*(EDATE($G9,(((Lists!F$24-$AA9)-MOD((Lists!F$24-$AA9),$Z9))-$Z9))&lt;=$AB9)))))</f>
        <v>0</v>
      </c>
      <c r="N9" s="53" t="n">
        <f aca="false">IF(OR(N($E9)=0,$G9=""),0,$I9*IF($F9="Weekly",((Lists!G$21-MOD(Lists!G$21-$G9,7))&gt;=$G9)*((Lists!G$21-MOD(Lists!G$21-$G9,7))&lt;=$AB9),IF($F9="One-off",($G9&gt;Lists!G$23)*($G9&lt;=Lists!G$21),IF($F9="",0,(((Lists!G$24-$AA9)-MOD((Lists!G$24-$AA9),$Z9))&gt;=0)*(EDATE($G9,((Lists!G$24-$AA9)-MOD((Lists!G$24-$AA9),$Z9)))&gt;Lists!G$23)*(EDATE($G9,((Lists!G$24-$AA9)-MOD((Lists!G$24-$AA9),$Z9)))&lt;=Lists!G$21)*(EDATE($G9,((Lists!G$24-$AA9)-MOD((Lists!G$24-$AA9),$Z9)))&lt;=$AB9)+((((Lists!G$24-$AA9)-MOD((Lists!G$24-$AA9),$Z9))-$Z9)&gt;=0)*(EDATE($G9,(((Lists!G$24-$AA9)-MOD((Lists!G$24-$AA9),$Z9))-$Z9))&gt;Lists!G$23)*(EDATE($G9,(((Lists!G$24-$AA9)-MOD((Lists!G$24-$AA9),$Z9))-$Z9))&lt;=Lists!G$21)*(EDATE($G9,(((Lists!G$24-$AA9)-MOD((Lists!G$24-$AA9),$Z9))-$Z9))&lt;=$AB9)))))</f>
        <v>0</v>
      </c>
      <c r="O9" s="53" t="n">
        <f aca="false">IF(OR(N($E9)=0,$G9=""),0,$I9*IF($F9="Weekly",((Lists!H$21-MOD(Lists!H$21-$G9,7))&gt;=$G9)*((Lists!H$21-MOD(Lists!H$21-$G9,7))&lt;=$AB9),IF($F9="One-off",($G9&gt;Lists!H$23)*($G9&lt;=Lists!H$21),IF($F9="",0,(((Lists!H$24-$AA9)-MOD((Lists!H$24-$AA9),$Z9))&gt;=0)*(EDATE($G9,((Lists!H$24-$AA9)-MOD((Lists!H$24-$AA9),$Z9)))&gt;Lists!H$23)*(EDATE($G9,((Lists!H$24-$AA9)-MOD((Lists!H$24-$AA9),$Z9)))&lt;=Lists!H$21)*(EDATE($G9,((Lists!H$24-$AA9)-MOD((Lists!H$24-$AA9),$Z9)))&lt;=$AB9)+((((Lists!H$24-$AA9)-MOD((Lists!H$24-$AA9),$Z9))-$Z9)&gt;=0)*(EDATE($G9,(((Lists!H$24-$AA9)-MOD((Lists!H$24-$AA9),$Z9))-$Z9))&gt;Lists!H$23)*(EDATE($G9,(((Lists!H$24-$AA9)-MOD((Lists!H$24-$AA9),$Z9))-$Z9))&lt;=Lists!H$21)*(EDATE($G9,(((Lists!H$24-$AA9)-MOD((Lists!H$24-$AA9),$Z9))-$Z9))&lt;=$AB9)))))</f>
        <v>0</v>
      </c>
      <c r="P9" s="53" t="n">
        <f aca="false">IF(OR(N($E9)=0,$G9=""),0,$I9*IF($F9="Weekly",((Lists!I$21-MOD(Lists!I$21-$G9,7))&gt;=$G9)*((Lists!I$21-MOD(Lists!I$21-$G9,7))&lt;=$AB9),IF($F9="One-off",($G9&gt;Lists!I$23)*($G9&lt;=Lists!I$21),IF($F9="",0,(((Lists!I$24-$AA9)-MOD((Lists!I$24-$AA9),$Z9))&gt;=0)*(EDATE($G9,((Lists!I$24-$AA9)-MOD((Lists!I$24-$AA9),$Z9)))&gt;Lists!I$23)*(EDATE($G9,((Lists!I$24-$AA9)-MOD((Lists!I$24-$AA9),$Z9)))&lt;=Lists!I$21)*(EDATE($G9,((Lists!I$24-$AA9)-MOD((Lists!I$24-$AA9),$Z9)))&lt;=$AB9)+((((Lists!I$24-$AA9)-MOD((Lists!I$24-$AA9),$Z9))-$Z9)&gt;=0)*(EDATE($G9,(((Lists!I$24-$AA9)-MOD((Lists!I$24-$AA9),$Z9))-$Z9))&gt;Lists!I$23)*(EDATE($G9,(((Lists!I$24-$AA9)-MOD((Lists!I$24-$AA9),$Z9))-$Z9))&lt;=Lists!I$21)*(EDATE($G9,(((Lists!I$24-$AA9)-MOD((Lists!I$24-$AA9),$Z9))-$Z9))&lt;=$AB9)))))</f>
        <v>0</v>
      </c>
      <c r="Q9" s="53" t="n">
        <f aca="false">IF(OR(N($E9)=0,$G9=""),0,$I9*IF($F9="Weekly",((Lists!J$21-MOD(Lists!J$21-$G9,7))&gt;=$G9)*((Lists!J$21-MOD(Lists!J$21-$G9,7))&lt;=$AB9),IF($F9="One-off",($G9&gt;Lists!J$23)*($G9&lt;=Lists!J$21),IF($F9="",0,(((Lists!J$24-$AA9)-MOD((Lists!J$24-$AA9),$Z9))&gt;=0)*(EDATE($G9,((Lists!J$24-$AA9)-MOD((Lists!J$24-$AA9),$Z9)))&gt;Lists!J$23)*(EDATE($G9,((Lists!J$24-$AA9)-MOD((Lists!J$24-$AA9),$Z9)))&lt;=Lists!J$21)*(EDATE($G9,((Lists!J$24-$AA9)-MOD((Lists!J$24-$AA9),$Z9)))&lt;=$AB9)+((((Lists!J$24-$AA9)-MOD((Lists!J$24-$AA9),$Z9))-$Z9)&gt;=0)*(EDATE($G9,(((Lists!J$24-$AA9)-MOD((Lists!J$24-$AA9),$Z9))-$Z9))&gt;Lists!J$23)*(EDATE($G9,(((Lists!J$24-$AA9)-MOD((Lists!J$24-$AA9),$Z9))-$Z9))&lt;=Lists!J$21)*(EDATE($G9,(((Lists!J$24-$AA9)-MOD((Lists!J$24-$AA9),$Z9))-$Z9))&lt;=$AB9)))))</f>
        <v>0</v>
      </c>
      <c r="R9" s="53" t="n">
        <f aca="false">IF(OR(N($E9)=0,$G9=""),0,$I9*IF($F9="Weekly",((Lists!K$21-MOD(Lists!K$21-$G9,7))&gt;=$G9)*((Lists!K$21-MOD(Lists!K$21-$G9,7))&lt;=$AB9),IF($F9="One-off",($G9&gt;Lists!K$23)*($G9&lt;=Lists!K$21),IF($F9="",0,(((Lists!K$24-$AA9)-MOD((Lists!K$24-$AA9),$Z9))&gt;=0)*(EDATE($G9,((Lists!K$24-$AA9)-MOD((Lists!K$24-$AA9),$Z9)))&gt;Lists!K$23)*(EDATE($G9,((Lists!K$24-$AA9)-MOD((Lists!K$24-$AA9),$Z9)))&lt;=Lists!K$21)*(EDATE($G9,((Lists!K$24-$AA9)-MOD((Lists!K$24-$AA9),$Z9)))&lt;=$AB9)+((((Lists!K$24-$AA9)-MOD((Lists!K$24-$AA9),$Z9))-$Z9)&gt;=0)*(EDATE($G9,(((Lists!K$24-$AA9)-MOD((Lists!K$24-$AA9),$Z9))-$Z9))&gt;Lists!K$23)*(EDATE($G9,(((Lists!K$24-$AA9)-MOD((Lists!K$24-$AA9),$Z9))-$Z9))&lt;=Lists!K$21)*(EDATE($G9,(((Lists!K$24-$AA9)-MOD((Lists!K$24-$AA9),$Z9))-$Z9))&lt;=$AB9)))))</f>
        <v>0</v>
      </c>
      <c r="S9" s="53" t="n">
        <f aca="false">IF(OR(N($E9)=0,$G9=""),0,$I9*IF($F9="Weekly",((Lists!L$21-MOD(Lists!L$21-$G9,7))&gt;=$G9)*((Lists!L$21-MOD(Lists!L$21-$G9,7))&lt;=$AB9),IF($F9="One-off",($G9&gt;Lists!L$23)*($G9&lt;=Lists!L$21),IF($F9="",0,(((Lists!L$24-$AA9)-MOD((Lists!L$24-$AA9),$Z9))&gt;=0)*(EDATE($G9,((Lists!L$24-$AA9)-MOD((Lists!L$24-$AA9),$Z9)))&gt;Lists!L$23)*(EDATE($G9,((Lists!L$24-$AA9)-MOD((Lists!L$24-$AA9),$Z9)))&lt;=Lists!L$21)*(EDATE($G9,((Lists!L$24-$AA9)-MOD((Lists!L$24-$AA9),$Z9)))&lt;=$AB9)+((((Lists!L$24-$AA9)-MOD((Lists!L$24-$AA9),$Z9))-$Z9)&gt;=0)*(EDATE($G9,(((Lists!L$24-$AA9)-MOD((Lists!L$24-$AA9),$Z9))-$Z9))&gt;Lists!L$23)*(EDATE($G9,(((Lists!L$24-$AA9)-MOD((Lists!L$24-$AA9),$Z9))-$Z9))&lt;=Lists!L$21)*(EDATE($G9,(((Lists!L$24-$AA9)-MOD((Lists!L$24-$AA9),$Z9))-$Z9))&lt;=$AB9)))))</f>
        <v>0</v>
      </c>
      <c r="T9" s="53" t="n">
        <f aca="false">IF(OR(N($E9)=0,$G9=""),0,$I9*IF($F9="Weekly",((Lists!M$21-MOD(Lists!M$21-$G9,7))&gt;=$G9)*((Lists!M$21-MOD(Lists!M$21-$G9,7))&lt;=$AB9),IF($F9="One-off",($G9&gt;Lists!M$23)*($G9&lt;=Lists!M$21),IF($F9="",0,(((Lists!M$24-$AA9)-MOD((Lists!M$24-$AA9),$Z9))&gt;=0)*(EDATE($G9,((Lists!M$24-$AA9)-MOD((Lists!M$24-$AA9),$Z9)))&gt;Lists!M$23)*(EDATE($G9,((Lists!M$24-$AA9)-MOD((Lists!M$24-$AA9),$Z9)))&lt;=Lists!M$21)*(EDATE($G9,((Lists!M$24-$AA9)-MOD((Lists!M$24-$AA9),$Z9)))&lt;=$AB9)+((((Lists!M$24-$AA9)-MOD((Lists!M$24-$AA9),$Z9))-$Z9)&gt;=0)*(EDATE($G9,(((Lists!M$24-$AA9)-MOD((Lists!M$24-$AA9),$Z9))-$Z9))&gt;Lists!M$23)*(EDATE($G9,(((Lists!M$24-$AA9)-MOD((Lists!M$24-$AA9),$Z9))-$Z9))&lt;=Lists!M$21)*(EDATE($G9,(((Lists!M$24-$AA9)-MOD((Lists!M$24-$AA9),$Z9))-$Z9))&lt;=$AB9)))))</f>
        <v>0</v>
      </c>
      <c r="U9" s="53" t="n">
        <f aca="false">IF(OR(N($E9)=0,$G9=""),0,$I9*IF($F9="Weekly",((Lists!N$21-MOD(Lists!N$21-$G9,7))&gt;=$G9)*((Lists!N$21-MOD(Lists!N$21-$G9,7))&lt;=$AB9),IF($F9="One-off",($G9&gt;Lists!N$23)*($G9&lt;=Lists!N$21),IF($F9="",0,(((Lists!N$24-$AA9)-MOD((Lists!N$24-$AA9),$Z9))&gt;=0)*(EDATE($G9,((Lists!N$24-$AA9)-MOD((Lists!N$24-$AA9),$Z9)))&gt;Lists!N$23)*(EDATE($G9,((Lists!N$24-$AA9)-MOD((Lists!N$24-$AA9),$Z9)))&lt;=Lists!N$21)*(EDATE($G9,((Lists!N$24-$AA9)-MOD((Lists!N$24-$AA9),$Z9)))&lt;=$AB9)+((((Lists!N$24-$AA9)-MOD((Lists!N$24-$AA9),$Z9))-$Z9)&gt;=0)*(EDATE($G9,(((Lists!N$24-$AA9)-MOD((Lists!N$24-$AA9),$Z9))-$Z9))&gt;Lists!N$23)*(EDATE($G9,(((Lists!N$24-$AA9)-MOD((Lists!N$24-$AA9),$Z9))-$Z9))&lt;=Lists!N$21)*(EDATE($G9,(((Lists!N$24-$AA9)-MOD((Lists!N$24-$AA9),$Z9))-$Z9))&lt;=$AB9)))))</f>
        <v>0</v>
      </c>
      <c r="V9" s="53" t="n">
        <f aca="false">IF(OR(N($E9)=0,$G9=""),0,$I9*IF($F9="Weekly",((Lists!O$21-MOD(Lists!O$21-$G9,7))&gt;=$G9)*((Lists!O$21-MOD(Lists!O$21-$G9,7))&lt;=$AB9),IF($F9="One-off",($G9&gt;Lists!O$23)*($G9&lt;=Lists!O$21),IF($F9="",0,(((Lists!O$24-$AA9)-MOD((Lists!O$24-$AA9),$Z9))&gt;=0)*(EDATE($G9,((Lists!O$24-$AA9)-MOD((Lists!O$24-$AA9),$Z9)))&gt;Lists!O$23)*(EDATE($G9,((Lists!O$24-$AA9)-MOD((Lists!O$24-$AA9),$Z9)))&lt;=Lists!O$21)*(EDATE($G9,((Lists!O$24-$AA9)-MOD((Lists!O$24-$AA9),$Z9)))&lt;=$AB9)+((((Lists!O$24-$AA9)-MOD((Lists!O$24-$AA9),$Z9))-$Z9)&gt;=0)*(EDATE($G9,(((Lists!O$24-$AA9)-MOD((Lists!O$24-$AA9),$Z9))-$Z9))&gt;Lists!O$23)*(EDATE($G9,(((Lists!O$24-$AA9)-MOD((Lists!O$24-$AA9),$Z9))-$Z9))&lt;=Lists!O$21)*(EDATE($G9,(((Lists!O$24-$AA9)-MOD((Lists!O$24-$AA9),$Z9))-$Z9))&lt;=$AB9)))))</f>
        <v>0</v>
      </c>
      <c r="W9" s="46" t="n">
        <f aca="false">SUM(J9:V9)</f>
        <v>47000</v>
      </c>
      <c r="X9" s="2"/>
      <c r="Y9" s="104" t="n">
        <f aca="false">1</f>
        <v>1</v>
      </c>
      <c r="Z9" s="94" t="n">
        <f aca="false">IF(F9="Quarterly",3,IF(F9="Annually",12,1))</f>
        <v>1</v>
      </c>
      <c r="AA9" s="94" t="n">
        <f aca="false">IF(G9="",0,YEAR(G9)*12+MONTH(G9))</f>
        <v>24323</v>
      </c>
      <c r="AB9" s="93" t="n">
        <f aca="false">IF(H9="",2958465,H9)</f>
        <v>46353</v>
      </c>
      <c r="AC9" s="95" t="str">
        <f aca="false">IF(C9="","Other tax",C9)</f>
        <v>Wages (net pay)</v>
      </c>
    </row>
    <row r="10" customFormat="false" ht="15" hidden="false" customHeight="false" outlineLevel="0" collapsed="false">
      <c r="A10" s="87" t="n">
        <v>2</v>
      </c>
      <c r="B10" s="55" t="s">
        <v>527</v>
      </c>
      <c r="C10" s="55" t="s">
        <v>526</v>
      </c>
      <c r="D10" s="2"/>
      <c r="E10" s="88" t="n">
        <v>47000</v>
      </c>
      <c r="F10" s="58" t="s">
        <v>528</v>
      </c>
      <c r="G10" s="90" t="n">
        <v>46374</v>
      </c>
      <c r="H10" s="90"/>
      <c r="I10" s="92" t="n">
        <f aca="false">N(E10)*Y10</f>
        <v>47000</v>
      </c>
      <c r="J10" s="53" t="n">
        <f aca="false">IF(OR(N($E10)=0,$G10=""),0,$I10*IF($F10="Weekly",((Lists!C$21-MOD(Lists!C$21-$G10,7))&gt;=$G10)*((Lists!C$21-MOD(Lists!C$21-$G10,7))&lt;=$AB10),IF($F10="One-off",($G10&gt;Lists!C$23)*($G10&lt;=Lists!C$21),IF($F10="",0,(((Lists!C$24-$AA10)-MOD((Lists!C$24-$AA10),$Z10))&gt;=0)*(EDATE($G10,((Lists!C$24-$AA10)-MOD((Lists!C$24-$AA10),$Z10)))&gt;Lists!C$23)*(EDATE($G10,((Lists!C$24-$AA10)-MOD((Lists!C$24-$AA10),$Z10)))&lt;=Lists!C$21)*(EDATE($G10,((Lists!C$24-$AA10)-MOD((Lists!C$24-$AA10),$Z10)))&lt;=$AB10)+((((Lists!C$24-$AA10)-MOD((Lists!C$24-$AA10),$Z10))-$Z10)&gt;=0)*(EDATE($G10,(((Lists!C$24-$AA10)-MOD((Lists!C$24-$AA10),$Z10))-$Z10))&gt;Lists!C$23)*(EDATE($G10,(((Lists!C$24-$AA10)-MOD((Lists!C$24-$AA10),$Z10))-$Z10))&lt;=Lists!C$21)*(EDATE($G10,(((Lists!C$24-$AA10)-MOD((Lists!C$24-$AA10),$Z10))-$Z10))&lt;=$AB10)))))</f>
        <v>0</v>
      </c>
      <c r="K10" s="53" t="n">
        <f aca="false">IF(OR(N($E10)=0,$G10=""),0,$I10*IF($F10="Weekly",((Lists!D$21-MOD(Lists!D$21-$G10,7))&gt;=$G10)*((Lists!D$21-MOD(Lists!D$21-$G10,7))&lt;=$AB10),IF($F10="One-off",($G10&gt;Lists!D$23)*($G10&lt;=Lists!D$21),IF($F10="",0,(((Lists!D$24-$AA10)-MOD((Lists!D$24-$AA10),$Z10))&gt;=0)*(EDATE($G10,((Lists!D$24-$AA10)-MOD((Lists!D$24-$AA10),$Z10)))&gt;Lists!D$23)*(EDATE($G10,((Lists!D$24-$AA10)-MOD((Lists!D$24-$AA10),$Z10)))&lt;=Lists!D$21)*(EDATE($G10,((Lists!D$24-$AA10)-MOD((Lists!D$24-$AA10),$Z10)))&lt;=$AB10)+((((Lists!D$24-$AA10)-MOD((Lists!D$24-$AA10),$Z10))-$Z10)&gt;=0)*(EDATE($G10,(((Lists!D$24-$AA10)-MOD((Lists!D$24-$AA10),$Z10))-$Z10))&gt;Lists!D$23)*(EDATE($G10,(((Lists!D$24-$AA10)-MOD((Lists!D$24-$AA10),$Z10))-$Z10))&lt;=Lists!D$21)*(EDATE($G10,(((Lists!D$24-$AA10)-MOD((Lists!D$24-$AA10),$Z10))-$Z10))&lt;=$AB10)))))</f>
        <v>0</v>
      </c>
      <c r="L10" s="53" t="n">
        <f aca="false">IF(OR(N($E10)=0,$G10=""),0,$I10*IF($F10="Weekly",((Lists!E$21-MOD(Lists!E$21-$G10,7))&gt;=$G10)*((Lists!E$21-MOD(Lists!E$21-$G10,7))&lt;=$AB10),IF($F10="One-off",($G10&gt;Lists!E$23)*($G10&lt;=Lists!E$21),IF($F10="",0,(((Lists!E$24-$AA10)-MOD((Lists!E$24-$AA10),$Z10))&gt;=0)*(EDATE($G10,((Lists!E$24-$AA10)-MOD((Lists!E$24-$AA10),$Z10)))&gt;Lists!E$23)*(EDATE($G10,((Lists!E$24-$AA10)-MOD((Lists!E$24-$AA10),$Z10)))&lt;=Lists!E$21)*(EDATE($G10,((Lists!E$24-$AA10)-MOD((Lists!E$24-$AA10),$Z10)))&lt;=$AB10)+((((Lists!E$24-$AA10)-MOD((Lists!E$24-$AA10),$Z10))-$Z10)&gt;=0)*(EDATE($G10,(((Lists!E$24-$AA10)-MOD((Lists!E$24-$AA10),$Z10))-$Z10))&gt;Lists!E$23)*(EDATE($G10,(((Lists!E$24-$AA10)-MOD((Lists!E$24-$AA10),$Z10))-$Z10))&lt;=Lists!E$21)*(EDATE($G10,(((Lists!E$24-$AA10)-MOD((Lists!E$24-$AA10),$Z10))-$Z10))&lt;=$AB10)))))</f>
        <v>0</v>
      </c>
      <c r="M10" s="53" t="n">
        <f aca="false">IF(OR(N($E10)=0,$G10=""),0,$I10*IF($F10="Weekly",((Lists!F$21-MOD(Lists!F$21-$G10,7))&gt;=$G10)*((Lists!F$21-MOD(Lists!F$21-$G10,7))&lt;=$AB10),IF($F10="One-off",($G10&gt;Lists!F$23)*($G10&lt;=Lists!F$21),IF($F10="",0,(((Lists!F$24-$AA10)-MOD((Lists!F$24-$AA10),$Z10))&gt;=0)*(EDATE($G10,((Lists!F$24-$AA10)-MOD((Lists!F$24-$AA10),$Z10)))&gt;Lists!F$23)*(EDATE($G10,((Lists!F$24-$AA10)-MOD((Lists!F$24-$AA10),$Z10)))&lt;=Lists!F$21)*(EDATE($G10,((Lists!F$24-$AA10)-MOD((Lists!F$24-$AA10),$Z10)))&lt;=$AB10)+((((Lists!F$24-$AA10)-MOD((Lists!F$24-$AA10),$Z10))-$Z10)&gt;=0)*(EDATE($G10,(((Lists!F$24-$AA10)-MOD((Lists!F$24-$AA10),$Z10))-$Z10))&gt;Lists!F$23)*(EDATE($G10,(((Lists!F$24-$AA10)-MOD((Lists!F$24-$AA10),$Z10))-$Z10))&lt;=Lists!F$21)*(EDATE($G10,(((Lists!F$24-$AA10)-MOD((Lists!F$24-$AA10),$Z10))-$Z10))&lt;=$AB10)))))</f>
        <v>0</v>
      </c>
      <c r="N10" s="53" t="n">
        <f aca="false">IF(OR(N($E10)=0,$G10=""),0,$I10*IF($F10="Weekly",((Lists!G$21-MOD(Lists!G$21-$G10,7))&gt;=$G10)*((Lists!G$21-MOD(Lists!G$21-$G10,7))&lt;=$AB10),IF($F10="One-off",($G10&gt;Lists!G$23)*($G10&lt;=Lists!G$21),IF($F10="",0,(((Lists!G$24-$AA10)-MOD((Lists!G$24-$AA10),$Z10))&gt;=0)*(EDATE($G10,((Lists!G$24-$AA10)-MOD((Lists!G$24-$AA10),$Z10)))&gt;Lists!G$23)*(EDATE($G10,((Lists!G$24-$AA10)-MOD((Lists!G$24-$AA10),$Z10)))&lt;=Lists!G$21)*(EDATE($G10,((Lists!G$24-$AA10)-MOD((Lists!G$24-$AA10),$Z10)))&lt;=$AB10)+((((Lists!G$24-$AA10)-MOD((Lists!G$24-$AA10),$Z10))-$Z10)&gt;=0)*(EDATE($G10,(((Lists!G$24-$AA10)-MOD((Lists!G$24-$AA10),$Z10))-$Z10))&gt;Lists!G$23)*(EDATE($G10,(((Lists!G$24-$AA10)-MOD((Lists!G$24-$AA10),$Z10))-$Z10))&lt;=Lists!G$21)*(EDATE($G10,(((Lists!G$24-$AA10)-MOD((Lists!G$24-$AA10),$Z10))-$Z10))&lt;=$AB10)))))</f>
        <v>0</v>
      </c>
      <c r="O10" s="53" t="n">
        <f aca="false">IF(OR(N($E10)=0,$G10=""),0,$I10*IF($F10="Weekly",((Lists!H$21-MOD(Lists!H$21-$G10,7))&gt;=$G10)*((Lists!H$21-MOD(Lists!H$21-$G10,7))&lt;=$AB10),IF($F10="One-off",($G10&gt;Lists!H$23)*($G10&lt;=Lists!H$21),IF($F10="",0,(((Lists!H$24-$AA10)-MOD((Lists!H$24-$AA10),$Z10))&gt;=0)*(EDATE($G10,((Lists!H$24-$AA10)-MOD((Lists!H$24-$AA10),$Z10)))&gt;Lists!H$23)*(EDATE($G10,((Lists!H$24-$AA10)-MOD((Lists!H$24-$AA10),$Z10)))&lt;=Lists!H$21)*(EDATE($G10,((Lists!H$24-$AA10)-MOD((Lists!H$24-$AA10),$Z10)))&lt;=$AB10)+((((Lists!H$24-$AA10)-MOD((Lists!H$24-$AA10),$Z10))-$Z10)&gt;=0)*(EDATE($G10,(((Lists!H$24-$AA10)-MOD((Lists!H$24-$AA10),$Z10))-$Z10))&gt;Lists!H$23)*(EDATE($G10,(((Lists!H$24-$AA10)-MOD((Lists!H$24-$AA10),$Z10))-$Z10))&lt;=Lists!H$21)*(EDATE($G10,(((Lists!H$24-$AA10)-MOD((Lists!H$24-$AA10),$Z10))-$Z10))&lt;=$AB10)))))</f>
        <v>47000</v>
      </c>
      <c r="P10" s="53" t="n">
        <f aca="false">IF(OR(N($E10)=0,$G10=""),0,$I10*IF($F10="Weekly",((Lists!I$21-MOD(Lists!I$21-$G10,7))&gt;=$G10)*((Lists!I$21-MOD(Lists!I$21-$G10,7))&lt;=$AB10),IF($F10="One-off",($G10&gt;Lists!I$23)*($G10&lt;=Lists!I$21),IF($F10="",0,(((Lists!I$24-$AA10)-MOD((Lists!I$24-$AA10),$Z10))&gt;=0)*(EDATE($G10,((Lists!I$24-$AA10)-MOD((Lists!I$24-$AA10),$Z10)))&gt;Lists!I$23)*(EDATE($G10,((Lists!I$24-$AA10)-MOD((Lists!I$24-$AA10),$Z10)))&lt;=Lists!I$21)*(EDATE($G10,((Lists!I$24-$AA10)-MOD((Lists!I$24-$AA10),$Z10)))&lt;=$AB10)+((((Lists!I$24-$AA10)-MOD((Lists!I$24-$AA10),$Z10))-$Z10)&gt;=0)*(EDATE($G10,(((Lists!I$24-$AA10)-MOD((Lists!I$24-$AA10),$Z10))-$Z10))&gt;Lists!I$23)*(EDATE($G10,(((Lists!I$24-$AA10)-MOD((Lists!I$24-$AA10),$Z10))-$Z10))&lt;=Lists!I$21)*(EDATE($G10,(((Lists!I$24-$AA10)-MOD((Lists!I$24-$AA10),$Z10))-$Z10))&lt;=$AB10)))))</f>
        <v>0</v>
      </c>
      <c r="Q10" s="53" t="n">
        <f aca="false">IF(OR(N($E10)=0,$G10=""),0,$I10*IF($F10="Weekly",((Lists!J$21-MOD(Lists!J$21-$G10,7))&gt;=$G10)*((Lists!J$21-MOD(Lists!J$21-$G10,7))&lt;=$AB10),IF($F10="One-off",($G10&gt;Lists!J$23)*($G10&lt;=Lists!J$21),IF($F10="",0,(((Lists!J$24-$AA10)-MOD((Lists!J$24-$AA10),$Z10))&gt;=0)*(EDATE($G10,((Lists!J$24-$AA10)-MOD((Lists!J$24-$AA10),$Z10)))&gt;Lists!J$23)*(EDATE($G10,((Lists!J$24-$AA10)-MOD((Lists!J$24-$AA10),$Z10)))&lt;=Lists!J$21)*(EDATE($G10,((Lists!J$24-$AA10)-MOD((Lists!J$24-$AA10),$Z10)))&lt;=$AB10)+((((Lists!J$24-$AA10)-MOD((Lists!J$24-$AA10),$Z10))-$Z10)&gt;=0)*(EDATE($G10,(((Lists!J$24-$AA10)-MOD((Lists!J$24-$AA10),$Z10))-$Z10))&gt;Lists!J$23)*(EDATE($G10,(((Lists!J$24-$AA10)-MOD((Lists!J$24-$AA10),$Z10))-$Z10))&lt;=Lists!J$21)*(EDATE($G10,(((Lists!J$24-$AA10)-MOD((Lists!J$24-$AA10),$Z10))-$Z10))&lt;=$AB10)))))</f>
        <v>0</v>
      </c>
      <c r="R10" s="53" t="n">
        <f aca="false">IF(OR(N($E10)=0,$G10=""),0,$I10*IF($F10="Weekly",((Lists!K$21-MOD(Lists!K$21-$G10,7))&gt;=$G10)*((Lists!K$21-MOD(Lists!K$21-$G10,7))&lt;=$AB10),IF($F10="One-off",($G10&gt;Lists!K$23)*($G10&lt;=Lists!K$21),IF($F10="",0,(((Lists!K$24-$AA10)-MOD((Lists!K$24-$AA10),$Z10))&gt;=0)*(EDATE($G10,((Lists!K$24-$AA10)-MOD((Lists!K$24-$AA10),$Z10)))&gt;Lists!K$23)*(EDATE($G10,((Lists!K$24-$AA10)-MOD((Lists!K$24-$AA10),$Z10)))&lt;=Lists!K$21)*(EDATE($G10,((Lists!K$24-$AA10)-MOD((Lists!K$24-$AA10),$Z10)))&lt;=$AB10)+((((Lists!K$24-$AA10)-MOD((Lists!K$24-$AA10),$Z10))-$Z10)&gt;=0)*(EDATE($G10,(((Lists!K$24-$AA10)-MOD((Lists!K$24-$AA10),$Z10))-$Z10))&gt;Lists!K$23)*(EDATE($G10,(((Lists!K$24-$AA10)-MOD((Lists!K$24-$AA10),$Z10))-$Z10))&lt;=Lists!K$21)*(EDATE($G10,(((Lists!K$24-$AA10)-MOD((Lists!K$24-$AA10),$Z10))-$Z10))&lt;=$AB10)))))</f>
        <v>0</v>
      </c>
      <c r="S10" s="53" t="n">
        <f aca="false">IF(OR(N($E10)=0,$G10=""),0,$I10*IF($F10="Weekly",((Lists!L$21-MOD(Lists!L$21-$G10,7))&gt;=$G10)*((Lists!L$21-MOD(Lists!L$21-$G10,7))&lt;=$AB10),IF($F10="One-off",($G10&gt;Lists!L$23)*($G10&lt;=Lists!L$21),IF($F10="",0,(((Lists!L$24-$AA10)-MOD((Lists!L$24-$AA10),$Z10))&gt;=0)*(EDATE($G10,((Lists!L$24-$AA10)-MOD((Lists!L$24-$AA10),$Z10)))&gt;Lists!L$23)*(EDATE($G10,((Lists!L$24-$AA10)-MOD((Lists!L$24-$AA10),$Z10)))&lt;=Lists!L$21)*(EDATE($G10,((Lists!L$24-$AA10)-MOD((Lists!L$24-$AA10),$Z10)))&lt;=$AB10)+((((Lists!L$24-$AA10)-MOD((Lists!L$24-$AA10),$Z10))-$Z10)&gt;=0)*(EDATE($G10,(((Lists!L$24-$AA10)-MOD((Lists!L$24-$AA10),$Z10))-$Z10))&gt;Lists!L$23)*(EDATE($G10,(((Lists!L$24-$AA10)-MOD((Lists!L$24-$AA10),$Z10))-$Z10))&lt;=Lists!L$21)*(EDATE($G10,(((Lists!L$24-$AA10)-MOD((Lists!L$24-$AA10),$Z10))-$Z10))&lt;=$AB10)))))</f>
        <v>0</v>
      </c>
      <c r="T10" s="53" t="n">
        <f aca="false">IF(OR(N($E10)=0,$G10=""),0,$I10*IF($F10="Weekly",((Lists!M$21-MOD(Lists!M$21-$G10,7))&gt;=$G10)*((Lists!M$21-MOD(Lists!M$21-$G10,7))&lt;=$AB10),IF($F10="One-off",($G10&gt;Lists!M$23)*($G10&lt;=Lists!M$21),IF($F10="",0,(((Lists!M$24-$AA10)-MOD((Lists!M$24-$AA10),$Z10))&gt;=0)*(EDATE($G10,((Lists!M$24-$AA10)-MOD((Lists!M$24-$AA10),$Z10)))&gt;Lists!M$23)*(EDATE($G10,((Lists!M$24-$AA10)-MOD((Lists!M$24-$AA10),$Z10)))&lt;=Lists!M$21)*(EDATE($G10,((Lists!M$24-$AA10)-MOD((Lists!M$24-$AA10),$Z10)))&lt;=$AB10)+((((Lists!M$24-$AA10)-MOD((Lists!M$24-$AA10),$Z10))-$Z10)&gt;=0)*(EDATE($G10,(((Lists!M$24-$AA10)-MOD((Lists!M$24-$AA10),$Z10))-$Z10))&gt;Lists!M$23)*(EDATE($G10,(((Lists!M$24-$AA10)-MOD((Lists!M$24-$AA10),$Z10))-$Z10))&lt;=Lists!M$21)*(EDATE($G10,(((Lists!M$24-$AA10)-MOD((Lists!M$24-$AA10),$Z10))-$Z10))&lt;=$AB10)))))</f>
        <v>0</v>
      </c>
      <c r="U10" s="53" t="n">
        <f aca="false">IF(OR(N($E10)=0,$G10=""),0,$I10*IF($F10="Weekly",((Lists!N$21-MOD(Lists!N$21-$G10,7))&gt;=$G10)*((Lists!N$21-MOD(Lists!N$21-$G10,7))&lt;=$AB10),IF($F10="One-off",($G10&gt;Lists!N$23)*($G10&lt;=Lists!N$21),IF($F10="",0,(((Lists!N$24-$AA10)-MOD((Lists!N$24-$AA10),$Z10))&gt;=0)*(EDATE($G10,((Lists!N$24-$AA10)-MOD((Lists!N$24-$AA10),$Z10)))&gt;Lists!N$23)*(EDATE($G10,((Lists!N$24-$AA10)-MOD((Lists!N$24-$AA10),$Z10)))&lt;=Lists!N$21)*(EDATE($G10,((Lists!N$24-$AA10)-MOD((Lists!N$24-$AA10),$Z10)))&lt;=$AB10)+((((Lists!N$24-$AA10)-MOD((Lists!N$24-$AA10),$Z10))-$Z10)&gt;=0)*(EDATE($G10,(((Lists!N$24-$AA10)-MOD((Lists!N$24-$AA10),$Z10))-$Z10))&gt;Lists!N$23)*(EDATE($G10,(((Lists!N$24-$AA10)-MOD((Lists!N$24-$AA10),$Z10))-$Z10))&lt;=Lists!N$21)*(EDATE($G10,(((Lists!N$24-$AA10)-MOD((Lists!N$24-$AA10),$Z10))-$Z10))&lt;=$AB10)))))</f>
        <v>0</v>
      </c>
      <c r="V10" s="53" t="n">
        <f aca="false">IF(OR(N($E10)=0,$G10=""),0,$I10*IF($F10="Weekly",((Lists!O$21-MOD(Lists!O$21-$G10,7))&gt;=$G10)*((Lists!O$21-MOD(Lists!O$21-$G10,7))&lt;=$AB10),IF($F10="One-off",($G10&gt;Lists!O$23)*($G10&lt;=Lists!O$21),IF($F10="",0,(((Lists!O$24-$AA10)-MOD((Lists!O$24-$AA10),$Z10))&gt;=0)*(EDATE($G10,((Lists!O$24-$AA10)-MOD((Lists!O$24-$AA10),$Z10)))&gt;Lists!O$23)*(EDATE($G10,((Lists!O$24-$AA10)-MOD((Lists!O$24-$AA10),$Z10)))&lt;=Lists!O$21)*(EDATE($G10,((Lists!O$24-$AA10)-MOD((Lists!O$24-$AA10),$Z10)))&lt;=$AB10)+((((Lists!O$24-$AA10)-MOD((Lists!O$24-$AA10),$Z10))-$Z10)&gt;=0)*(EDATE($G10,(((Lists!O$24-$AA10)-MOD((Lists!O$24-$AA10),$Z10))-$Z10))&gt;Lists!O$23)*(EDATE($G10,(((Lists!O$24-$AA10)-MOD((Lists!O$24-$AA10),$Z10))-$Z10))&lt;=Lists!O$21)*(EDATE($G10,(((Lists!O$24-$AA10)-MOD((Lists!O$24-$AA10),$Z10))-$Z10))&lt;=$AB10)))))</f>
        <v>0</v>
      </c>
      <c r="W10" s="46" t="n">
        <f aca="false">SUM(J10:V10)</f>
        <v>47000</v>
      </c>
      <c r="X10" s="2"/>
      <c r="Y10" s="104" t="n">
        <f aca="false">1</f>
        <v>1</v>
      </c>
      <c r="Z10" s="94" t="n">
        <f aca="false">IF(F10="Quarterly",3,IF(F10="Annually",12,1))</f>
        <v>1</v>
      </c>
      <c r="AA10" s="94" t="n">
        <f aca="false">IF(G10="",0,YEAR(G10)*12+MONTH(G10))</f>
        <v>24324</v>
      </c>
      <c r="AB10" s="93" t="n">
        <f aca="false">IF(H10="",2958465,H10)</f>
        <v>2958465</v>
      </c>
      <c r="AC10" s="95" t="str">
        <f aca="false">IF(C10="","Other tax",C10)</f>
        <v>Wages (net pay)</v>
      </c>
    </row>
    <row r="11" customFormat="false" ht="15" hidden="false" customHeight="false" outlineLevel="0" collapsed="false">
      <c r="A11" s="87" t="n">
        <v>3</v>
      </c>
      <c r="B11" s="55" t="s">
        <v>529</v>
      </c>
      <c r="C11" s="55" t="s">
        <v>146</v>
      </c>
      <c r="D11" s="2"/>
      <c r="E11" s="88" t="n">
        <v>19000</v>
      </c>
      <c r="F11" s="58" t="s">
        <v>498</v>
      </c>
      <c r="G11" s="90" t="n">
        <v>46348</v>
      </c>
      <c r="H11" s="90"/>
      <c r="I11" s="92" t="n">
        <f aca="false">N(E11)*Y11</f>
        <v>19000</v>
      </c>
      <c r="J11" s="53" t="n">
        <f aca="false">IF(OR(N($E11)=0,$G11=""),0,$I11*IF($F11="Weekly",((Lists!C$21-MOD(Lists!C$21-$G11,7))&gt;=$G11)*((Lists!C$21-MOD(Lists!C$21-$G11,7))&lt;=$AB11),IF($F11="One-off",($G11&gt;Lists!C$23)*($G11&lt;=Lists!C$21),IF($F11="",0,(((Lists!C$24-$AA11)-MOD((Lists!C$24-$AA11),$Z11))&gt;=0)*(EDATE($G11,((Lists!C$24-$AA11)-MOD((Lists!C$24-$AA11),$Z11)))&gt;Lists!C$23)*(EDATE($G11,((Lists!C$24-$AA11)-MOD((Lists!C$24-$AA11),$Z11)))&lt;=Lists!C$21)*(EDATE($G11,((Lists!C$24-$AA11)-MOD((Lists!C$24-$AA11),$Z11)))&lt;=$AB11)+((((Lists!C$24-$AA11)-MOD((Lists!C$24-$AA11),$Z11))-$Z11)&gt;=0)*(EDATE($G11,(((Lists!C$24-$AA11)-MOD((Lists!C$24-$AA11),$Z11))-$Z11))&gt;Lists!C$23)*(EDATE($G11,(((Lists!C$24-$AA11)-MOD((Lists!C$24-$AA11),$Z11))-$Z11))&lt;=Lists!C$21)*(EDATE($G11,(((Lists!C$24-$AA11)-MOD((Lists!C$24-$AA11),$Z11))-$Z11))&lt;=$AB11)))))</f>
        <v>0</v>
      </c>
      <c r="K11" s="53" t="n">
        <f aca="false">IF(OR(N($E11)=0,$G11=""),0,$I11*IF($F11="Weekly",((Lists!D$21-MOD(Lists!D$21-$G11,7))&gt;=$G11)*((Lists!D$21-MOD(Lists!D$21-$G11,7))&lt;=$AB11),IF($F11="One-off",($G11&gt;Lists!D$23)*($G11&lt;=Lists!D$21),IF($F11="",0,(((Lists!D$24-$AA11)-MOD((Lists!D$24-$AA11),$Z11))&gt;=0)*(EDATE($G11,((Lists!D$24-$AA11)-MOD((Lists!D$24-$AA11),$Z11)))&gt;Lists!D$23)*(EDATE($G11,((Lists!D$24-$AA11)-MOD((Lists!D$24-$AA11),$Z11)))&lt;=Lists!D$21)*(EDATE($G11,((Lists!D$24-$AA11)-MOD((Lists!D$24-$AA11),$Z11)))&lt;=$AB11)+((((Lists!D$24-$AA11)-MOD((Lists!D$24-$AA11),$Z11))-$Z11)&gt;=0)*(EDATE($G11,(((Lists!D$24-$AA11)-MOD((Lists!D$24-$AA11),$Z11))-$Z11))&gt;Lists!D$23)*(EDATE($G11,(((Lists!D$24-$AA11)-MOD((Lists!D$24-$AA11),$Z11))-$Z11))&lt;=Lists!D$21)*(EDATE($G11,(((Lists!D$24-$AA11)-MOD((Lists!D$24-$AA11),$Z11))-$Z11))&lt;=$AB11)))))</f>
        <v>0</v>
      </c>
      <c r="L11" s="53" t="n">
        <f aca="false">IF(OR(N($E11)=0,$G11=""),0,$I11*IF($F11="Weekly",((Lists!E$21-MOD(Lists!E$21-$G11,7))&gt;=$G11)*((Lists!E$21-MOD(Lists!E$21-$G11,7))&lt;=$AB11),IF($F11="One-off",($G11&gt;Lists!E$23)*($G11&lt;=Lists!E$21),IF($F11="",0,(((Lists!E$24-$AA11)-MOD((Lists!E$24-$AA11),$Z11))&gt;=0)*(EDATE($G11,((Lists!E$24-$AA11)-MOD((Lists!E$24-$AA11),$Z11)))&gt;Lists!E$23)*(EDATE($G11,((Lists!E$24-$AA11)-MOD((Lists!E$24-$AA11),$Z11)))&lt;=Lists!E$21)*(EDATE($G11,((Lists!E$24-$AA11)-MOD((Lists!E$24-$AA11),$Z11)))&lt;=$AB11)+((((Lists!E$24-$AA11)-MOD((Lists!E$24-$AA11),$Z11))-$Z11)&gt;=0)*(EDATE($G11,(((Lists!E$24-$AA11)-MOD((Lists!E$24-$AA11),$Z11))-$Z11))&gt;Lists!E$23)*(EDATE($G11,(((Lists!E$24-$AA11)-MOD((Lists!E$24-$AA11),$Z11))-$Z11))&lt;=Lists!E$21)*(EDATE($G11,(((Lists!E$24-$AA11)-MOD((Lists!E$24-$AA11),$Z11))-$Z11))&lt;=$AB11)))))</f>
        <v>19000</v>
      </c>
      <c r="M11" s="53" t="n">
        <f aca="false">IF(OR(N($E11)=0,$G11=""),0,$I11*IF($F11="Weekly",((Lists!F$21-MOD(Lists!F$21-$G11,7))&gt;=$G11)*((Lists!F$21-MOD(Lists!F$21-$G11,7))&lt;=$AB11),IF($F11="One-off",($G11&gt;Lists!F$23)*($G11&lt;=Lists!F$21),IF($F11="",0,(((Lists!F$24-$AA11)-MOD((Lists!F$24-$AA11),$Z11))&gt;=0)*(EDATE($G11,((Lists!F$24-$AA11)-MOD((Lists!F$24-$AA11),$Z11)))&gt;Lists!F$23)*(EDATE($G11,((Lists!F$24-$AA11)-MOD((Lists!F$24-$AA11),$Z11)))&lt;=Lists!F$21)*(EDATE($G11,((Lists!F$24-$AA11)-MOD((Lists!F$24-$AA11),$Z11)))&lt;=$AB11)+((((Lists!F$24-$AA11)-MOD((Lists!F$24-$AA11),$Z11))-$Z11)&gt;=0)*(EDATE($G11,(((Lists!F$24-$AA11)-MOD((Lists!F$24-$AA11),$Z11))-$Z11))&gt;Lists!F$23)*(EDATE($G11,(((Lists!F$24-$AA11)-MOD((Lists!F$24-$AA11),$Z11))-$Z11))&lt;=Lists!F$21)*(EDATE($G11,(((Lists!F$24-$AA11)-MOD((Lists!F$24-$AA11),$Z11))-$Z11))&lt;=$AB11)))))</f>
        <v>0</v>
      </c>
      <c r="N11" s="53" t="n">
        <f aca="false">IF(OR(N($E11)=0,$G11=""),0,$I11*IF($F11="Weekly",((Lists!G$21-MOD(Lists!G$21-$G11,7))&gt;=$G11)*((Lists!G$21-MOD(Lists!G$21-$G11,7))&lt;=$AB11),IF($F11="One-off",($G11&gt;Lists!G$23)*($G11&lt;=Lists!G$21),IF($F11="",0,(((Lists!G$24-$AA11)-MOD((Lists!G$24-$AA11),$Z11))&gt;=0)*(EDATE($G11,((Lists!G$24-$AA11)-MOD((Lists!G$24-$AA11),$Z11)))&gt;Lists!G$23)*(EDATE($G11,((Lists!G$24-$AA11)-MOD((Lists!G$24-$AA11),$Z11)))&lt;=Lists!G$21)*(EDATE($G11,((Lists!G$24-$AA11)-MOD((Lists!G$24-$AA11),$Z11)))&lt;=$AB11)+((((Lists!G$24-$AA11)-MOD((Lists!G$24-$AA11),$Z11))-$Z11)&gt;=0)*(EDATE($G11,(((Lists!G$24-$AA11)-MOD((Lists!G$24-$AA11),$Z11))-$Z11))&gt;Lists!G$23)*(EDATE($G11,(((Lists!G$24-$AA11)-MOD((Lists!G$24-$AA11),$Z11))-$Z11))&lt;=Lists!G$21)*(EDATE($G11,(((Lists!G$24-$AA11)-MOD((Lists!G$24-$AA11),$Z11))-$Z11))&lt;=$AB11)))))</f>
        <v>0</v>
      </c>
      <c r="O11" s="53" t="n">
        <f aca="false">IF(OR(N($E11)=0,$G11=""),0,$I11*IF($F11="Weekly",((Lists!H$21-MOD(Lists!H$21-$G11,7))&gt;=$G11)*((Lists!H$21-MOD(Lists!H$21-$G11,7))&lt;=$AB11),IF($F11="One-off",($G11&gt;Lists!H$23)*($G11&lt;=Lists!H$21),IF($F11="",0,(((Lists!H$24-$AA11)-MOD((Lists!H$24-$AA11),$Z11))&gt;=0)*(EDATE($G11,((Lists!H$24-$AA11)-MOD((Lists!H$24-$AA11),$Z11)))&gt;Lists!H$23)*(EDATE($G11,((Lists!H$24-$AA11)-MOD((Lists!H$24-$AA11),$Z11)))&lt;=Lists!H$21)*(EDATE($G11,((Lists!H$24-$AA11)-MOD((Lists!H$24-$AA11),$Z11)))&lt;=$AB11)+((((Lists!H$24-$AA11)-MOD((Lists!H$24-$AA11),$Z11))-$Z11)&gt;=0)*(EDATE($G11,(((Lists!H$24-$AA11)-MOD((Lists!H$24-$AA11),$Z11))-$Z11))&gt;Lists!H$23)*(EDATE($G11,(((Lists!H$24-$AA11)-MOD((Lists!H$24-$AA11),$Z11))-$Z11))&lt;=Lists!H$21)*(EDATE($G11,(((Lists!H$24-$AA11)-MOD((Lists!H$24-$AA11),$Z11))-$Z11))&lt;=$AB11)))))</f>
        <v>0</v>
      </c>
      <c r="P11" s="53" t="n">
        <f aca="false">IF(OR(N($E11)=0,$G11=""),0,$I11*IF($F11="Weekly",((Lists!I$21-MOD(Lists!I$21-$G11,7))&gt;=$G11)*((Lists!I$21-MOD(Lists!I$21-$G11,7))&lt;=$AB11),IF($F11="One-off",($G11&gt;Lists!I$23)*($G11&lt;=Lists!I$21),IF($F11="",0,(((Lists!I$24-$AA11)-MOD((Lists!I$24-$AA11),$Z11))&gt;=0)*(EDATE($G11,((Lists!I$24-$AA11)-MOD((Lists!I$24-$AA11),$Z11)))&gt;Lists!I$23)*(EDATE($G11,((Lists!I$24-$AA11)-MOD((Lists!I$24-$AA11),$Z11)))&lt;=Lists!I$21)*(EDATE($G11,((Lists!I$24-$AA11)-MOD((Lists!I$24-$AA11),$Z11)))&lt;=$AB11)+((((Lists!I$24-$AA11)-MOD((Lists!I$24-$AA11),$Z11))-$Z11)&gt;=0)*(EDATE($G11,(((Lists!I$24-$AA11)-MOD((Lists!I$24-$AA11),$Z11))-$Z11))&gt;Lists!I$23)*(EDATE($G11,(((Lists!I$24-$AA11)-MOD((Lists!I$24-$AA11),$Z11))-$Z11))&lt;=Lists!I$21)*(EDATE($G11,(((Lists!I$24-$AA11)-MOD((Lists!I$24-$AA11),$Z11))-$Z11))&lt;=$AB11)))))</f>
        <v>19000</v>
      </c>
      <c r="Q11" s="53" t="n">
        <f aca="false">IF(OR(N($E11)=0,$G11=""),0,$I11*IF($F11="Weekly",((Lists!J$21-MOD(Lists!J$21-$G11,7))&gt;=$G11)*((Lists!J$21-MOD(Lists!J$21-$G11,7))&lt;=$AB11),IF($F11="One-off",($G11&gt;Lists!J$23)*($G11&lt;=Lists!J$21),IF($F11="",0,(((Lists!J$24-$AA11)-MOD((Lists!J$24-$AA11),$Z11))&gt;=0)*(EDATE($G11,((Lists!J$24-$AA11)-MOD((Lists!J$24-$AA11),$Z11)))&gt;Lists!J$23)*(EDATE($G11,((Lists!J$24-$AA11)-MOD((Lists!J$24-$AA11),$Z11)))&lt;=Lists!J$21)*(EDATE($G11,((Lists!J$24-$AA11)-MOD((Lists!J$24-$AA11),$Z11)))&lt;=$AB11)+((((Lists!J$24-$AA11)-MOD((Lists!J$24-$AA11),$Z11))-$Z11)&gt;=0)*(EDATE($G11,(((Lists!J$24-$AA11)-MOD((Lists!J$24-$AA11),$Z11))-$Z11))&gt;Lists!J$23)*(EDATE($G11,(((Lists!J$24-$AA11)-MOD((Lists!J$24-$AA11),$Z11))-$Z11))&lt;=Lists!J$21)*(EDATE($G11,(((Lists!J$24-$AA11)-MOD((Lists!J$24-$AA11),$Z11))-$Z11))&lt;=$AB11)))))</f>
        <v>0</v>
      </c>
      <c r="R11" s="53" t="n">
        <f aca="false">IF(OR(N($E11)=0,$G11=""),0,$I11*IF($F11="Weekly",((Lists!K$21-MOD(Lists!K$21-$G11,7))&gt;=$G11)*((Lists!K$21-MOD(Lists!K$21-$G11,7))&lt;=$AB11),IF($F11="One-off",($G11&gt;Lists!K$23)*($G11&lt;=Lists!K$21),IF($F11="",0,(((Lists!K$24-$AA11)-MOD((Lists!K$24-$AA11),$Z11))&gt;=0)*(EDATE($G11,((Lists!K$24-$AA11)-MOD((Lists!K$24-$AA11),$Z11)))&gt;Lists!K$23)*(EDATE($G11,((Lists!K$24-$AA11)-MOD((Lists!K$24-$AA11),$Z11)))&lt;=Lists!K$21)*(EDATE($G11,((Lists!K$24-$AA11)-MOD((Lists!K$24-$AA11),$Z11)))&lt;=$AB11)+((((Lists!K$24-$AA11)-MOD((Lists!K$24-$AA11),$Z11))-$Z11)&gt;=0)*(EDATE($G11,(((Lists!K$24-$AA11)-MOD((Lists!K$24-$AA11),$Z11))-$Z11))&gt;Lists!K$23)*(EDATE($G11,(((Lists!K$24-$AA11)-MOD((Lists!K$24-$AA11),$Z11))-$Z11))&lt;=Lists!K$21)*(EDATE($G11,(((Lists!K$24-$AA11)-MOD((Lists!K$24-$AA11),$Z11))-$Z11))&lt;=$AB11)))))</f>
        <v>0</v>
      </c>
      <c r="S11" s="53" t="n">
        <f aca="false">IF(OR(N($E11)=0,$G11=""),0,$I11*IF($F11="Weekly",((Lists!L$21-MOD(Lists!L$21-$G11,7))&gt;=$G11)*((Lists!L$21-MOD(Lists!L$21-$G11,7))&lt;=$AB11),IF($F11="One-off",($G11&gt;Lists!L$23)*($G11&lt;=Lists!L$21),IF($F11="",0,(((Lists!L$24-$AA11)-MOD((Lists!L$24-$AA11),$Z11))&gt;=0)*(EDATE($G11,((Lists!L$24-$AA11)-MOD((Lists!L$24-$AA11),$Z11)))&gt;Lists!L$23)*(EDATE($G11,((Lists!L$24-$AA11)-MOD((Lists!L$24-$AA11),$Z11)))&lt;=Lists!L$21)*(EDATE($G11,((Lists!L$24-$AA11)-MOD((Lists!L$24-$AA11),$Z11)))&lt;=$AB11)+((((Lists!L$24-$AA11)-MOD((Lists!L$24-$AA11),$Z11))-$Z11)&gt;=0)*(EDATE($G11,(((Lists!L$24-$AA11)-MOD((Lists!L$24-$AA11),$Z11))-$Z11))&gt;Lists!L$23)*(EDATE($G11,(((Lists!L$24-$AA11)-MOD((Lists!L$24-$AA11),$Z11))-$Z11))&lt;=Lists!L$21)*(EDATE($G11,(((Lists!L$24-$AA11)-MOD((Lists!L$24-$AA11),$Z11))-$Z11))&lt;=$AB11)))))</f>
        <v>0</v>
      </c>
      <c r="T11" s="53" t="n">
        <f aca="false">IF(OR(N($E11)=0,$G11=""),0,$I11*IF($F11="Weekly",((Lists!M$21-MOD(Lists!M$21-$G11,7))&gt;=$G11)*((Lists!M$21-MOD(Lists!M$21-$G11,7))&lt;=$AB11),IF($F11="One-off",($G11&gt;Lists!M$23)*($G11&lt;=Lists!M$21),IF($F11="",0,(((Lists!M$24-$AA11)-MOD((Lists!M$24-$AA11),$Z11))&gt;=0)*(EDATE($G11,((Lists!M$24-$AA11)-MOD((Lists!M$24-$AA11),$Z11)))&gt;Lists!M$23)*(EDATE($G11,((Lists!M$24-$AA11)-MOD((Lists!M$24-$AA11),$Z11)))&lt;=Lists!M$21)*(EDATE($G11,((Lists!M$24-$AA11)-MOD((Lists!M$24-$AA11),$Z11)))&lt;=$AB11)+((((Lists!M$24-$AA11)-MOD((Lists!M$24-$AA11),$Z11))-$Z11)&gt;=0)*(EDATE($G11,(((Lists!M$24-$AA11)-MOD((Lists!M$24-$AA11),$Z11))-$Z11))&gt;Lists!M$23)*(EDATE($G11,(((Lists!M$24-$AA11)-MOD((Lists!M$24-$AA11),$Z11))-$Z11))&lt;=Lists!M$21)*(EDATE($G11,(((Lists!M$24-$AA11)-MOD((Lists!M$24-$AA11),$Z11))-$Z11))&lt;=$AB11)))))</f>
        <v>19000</v>
      </c>
      <c r="U11" s="53" t="n">
        <f aca="false">IF(OR(N($E11)=0,$G11=""),0,$I11*IF($F11="Weekly",((Lists!N$21-MOD(Lists!N$21-$G11,7))&gt;=$G11)*((Lists!N$21-MOD(Lists!N$21-$G11,7))&lt;=$AB11),IF($F11="One-off",($G11&gt;Lists!N$23)*($G11&lt;=Lists!N$21),IF($F11="",0,(((Lists!N$24-$AA11)-MOD((Lists!N$24-$AA11),$Z11))&gt;=0)*(EDATE($G11,((Lists!N$24-$AA11)-MOD((Lists!N$24-$AA11),$Z11)))&gt;Lists!N$23)*(EDATE($G11,((Lists!N$24-$AA11)-MOD((Lists!N$24-$AA11),$Z11)))&lt;=Lists!N$21)*(EDATE($G11,((Lists!N$24-$AA11)-MOD((Lists!N$24-$AA11),$Z11)))&lt;=$AB11)+((((Lists!N$24-$AA11)-MOD((Lists!N$24-$AA11),$Z11))-$Z11)&gt;=0)*(EDATE($G11,(((Lists!N$24-$AA11)-MOD((Lists!N$24-$AA11),$Z11))-$Z11))&gt;Lists!N$23)*(EDATE($G11,(((Lists!N$24-$AA11)-MOD((Lists!N$24-$AA11),$Z11))-$Z11))&lt;=Lists!N$21)*(EDATE($G11,(((Lists!N$24-$AA11)-MOD((Lists!N$24-$AA11),$Z11))-$Z11))&lt;=$AB11)))))</f>
        <v>0</v>
      </c>
      <c r="V11" s="53" t="n">
        <f aca="false">IF(OR(N($E11)=0,$G11=""),0,$I11*IF($F11="Weekly",((Lists!O$21-MOD(Lists!O$21-$G11,7))&gt;=$G11)*((Lists!O$21-MOD(Lists!O$21-$G11,7))&lt;=$AB11),IF($F11="One-off",($G11&gt;Lists!O$23)*($G11&lt;=Lists!O$21),IF($F11="",0,(((Lists!O$24-$AA11)-MOD((Lists!O$24-$AA11),$Z11))&gt;=0)*(EDATE($G11,((Lists!O$24-$AA11)-MOD((Lists!O$24-$AA11),$Z11)))&gt;Lists!O$23)*(EDATE($G11,((Lists!O$24-$AA11)-MOD((Lists!O$24-$AA11),$Z11)))&lt;=Lists!O$21)*(EDATE($G11,((Lists!O$24-$AA11)-MOD((Lists!O$24-$AA11),$Z11)))&lt;=$AB11)+((((Lists!O$24-$AA11)-MOD((Lists!O$24-$AA11),$Z11))-$Z11)&gt;=0)*(EDATE($G11,(((Lists!O$24-$AA11)-MOD((Lists!O$24-$AA11),$Z11))-$Z11))&gt;Lists!O$23)*(EDATE($G11,(((Lists!O$24-$AA11)-MOD((Lists!O$24-$AA11),$Z11))-$Z11))&lt;=Lists!O$21)*(EDATE($G11,(((Lists!O$24-$AA11)-MOD((Lists!O$24-$AA11),$Z11))-$Z11))&lt;=$AB11)))))</f>
        <v>0</v>
      </c>
      <c r="W11" s="46" t="n">
        <f aca="false">SUM(J11:V11)</f>
        <v>57000</v>
      </c>
      <c r="X11" s="2"/>
      <c r="Y11" s="104" t="n">
        <f aca="false">1</f>
        <v>1</v>
      </c>
      <c r="Z11" s="94" t="n">
        <f aca="false">IF(F11="Quarterly",3,IF(F11="Annually",12,1))</f>
        <v>1</v>
      </c>
      <c r="AA11" s="94" t="n">
        <f aca="false">IF(G11="",0,YEAR(G11)*12+MONTH(G11))</f>
        <v>24323</v>
      </c>
      <c r="AB11" s="93" t="n">
        <f aca="false">IF(H11="",2958465,H11)</f>
        <v>2958465</v>
      </c>
      <c r="AC11" s="95" t="str">
        <f aca="false">IF(C11="","Other tax",C11)</f>
        <v>PAYE &amp; NI</v>
      </c>
    </row>
    <row r="12" customFormat="false" ht="15" hidden="false" customHeight="false" outlineLevel="0" collapsed="false">
      <c r="A12" s="87" t="n">
        <v>4</v>
      </c>
      <c r="B12" s="55" t="s">
        <v>530</v>
      </c>
      <c r="C12" s="55" t="s">
        <v>531</v>
      </c>
      <c r="D12" s="2"/>
      <c r="E12" s="88" t="n">
        <v>3000</v>
      </c>
      <c r="F12" s="58" t="s">
        <v>498</v>
      </c>
      <c r="G12" s="90" t="n">
        <v>46348</v>
      </c>
      <c r="H12" s="90"/>
      <c r="I12" s="92" t="n">
        <f aca="false">N(E12)*Y12</f>
        <v>3000</v>
      </c>
      <c r="J12" s="53" t="n">
        <f aca="false">IF(OR(N($E12)=0,$G12=""),0,$I12*IF($F12="Weekly",((Lists!C$21-MOD(Lists!C$21-$G12,7))&gt;=$G12)*((Lists!C$21-MOD(Lists!C$21-$G12,7))&lt;=$AB12),IF($F12="One-off",($G12&gt;Lists!C$23)*($G12&lt;=Lists!C$21),IF($F12="",0,(((Lists!C$24-$AA12)-MOD((Lists!C$24-$AA12),$Z12))&gt;=0)*(EDATE($G12,((Lists!C$24-$AA12)-MOD((Lists!C$24-$AA12),$Z12)))&gt;Lists!C$23)*(EDATE($G12,((Lists!C$24-$AA12)-MOD((Lists!C$24-$AA12),$Z12)))&lt;=Lists!C$21)*(EDATE($G12,((Lists!C$24-$AA12)-MOD((Lists!C$24-$AA12),$Z12)))&lt;=$AB12)+((((Lists!C$24-$AA12)-MOD((Lists!C$24-$AA12),$Z12))-$Z12)&gt;=0)*(EDATE($G12,(((Lists!C$24-$AA12)-MOD((Lists!C$24-$AA12),$Z12))-$Z12))&gt;Lists!C$23)*(EDATE($G12,(((Lists!C$24-$AA12)-MOD((Lists!C$24-$AA12),$Z12))-$Z12))&lt;=Lists!C$21)*(EDATE($G12,(((Lists!C$24-$AA12)-MOD((Lists!C$24-$AA12),$Z12))-$Z12))&lt;=$AB12)))))</f>
        <v>0</v>
      </c>
      <c r="K12" s="53" t="n">
        <f aca="false">IF(OR(N($E12)=0,$G12=""),0,$I12*IF($F12="Weekly",((Lists!D$21-MOD(Lists!D$21-$G12,7))&gt;=$G12)*((Lists!D$21-MOD(Lists!D$21-$G12,7))&lt;=$AB12),IF($F12="One-off",($G12&gt;Lists!D$23)*($G12&lt;=Lists!D$21),IF($F12="",0,(((Lists!D$24-$AA12)-MOD((Lists!D$24-$AA12),$Z12))&gt;=0)*(EDATE($G12,((Lists!D$24-$AA12)-MOD((Lists!D$24-$AA12),$Z12)))&gt;Lists!D$23)*(EDATE($G12,((Lists!D$24-$AA12)-MOD((Lists!D$24-$AA12),$Z12)))&lt;=Lists!D$21)*(EDATE($G12,((Lists!D$24-$AA12)-MOD((Lists!D$24-$AA12),$Z12)))&lt;=$AB12)+((((Lists!D$24-$AA12)-MOD((Lists!D$24-$AA12),$Z12))-$Z12)&gt;=0)*(EDATE($G12,(((Lists!D$24-$AA12)-MOD((Lists!D$24-$AA12),$Z12))-$Z12))&gt;Lists!D$23)*(EDATE($G12,(((Lists!D$24-$AA12)-MOD((Lists!D$24-$AA12),$Z12))-$Z12))&lt;=Lists!D$21)*(EDATE($G12,(((Lists!D$24-$AA12)-MOD((Lists!D$24-$AA12),$Z12))-$Z12))&lt;=$AB12)))))</f>
        <v>0</v>
      </c>
      <c r="L12" s="53" t="n">
        <f aca="false">IF(OR(N($E12)=0,$G12=""),0,$I12*IF($F12="Weekly",((Lists!E$21-MOD(Lists!E$21-$G12,7))&gt;=$G12)*((Lists!E$21-MOD(Lists!E$21-$G12,7))&lt;=$AB12),IF($F12="One-off",($G12&gt;Lists!E$23)*($G12&lt;=Lists!E$21),IF($F12="",0,(((Lists!E$24-$AA12)-MOD((Lists!E$24-$AA12),$Z12))&gt;=0)*(EDATE($G12,((Lists!E$24-$AA12)-MOD((Lists!E$24-$AA12),$Z12)))&gt;Lists!E$23)*(EDATE($G12,((Lists!E$24-$AA12)-MOD((Lists!E$24-$AA12),$Z12)))&lt;=Lists!E$21)*(EDATE($G12,((Lists!E$24-$AA12)-MOD((Lists!E$24-$AA12),$Z12)))&lt;=$AB12)+((((Lists!E$24-$AA12)-MOD((Lists!E$24-$AA12),$Z12))-$Z12)&gt;=0)*(EDATE($G12,(((Lists!E$24-$AA12)-MOD((Lists!E$24-$AA12),$Z12))-$Z12))&gt;Lists!E$23)*(EDATE($G12,(((Lists!E$24-$AA12)-MOD((Lists!E$24-$AA12),$Z12))-$Z12))&lt;=Lists!E$21)*(EDATE($G12,(((Lists!E$24-$AA12)-MOD((Lists!E$24-$AA12),$Z12))-$Z12))&lt;=$AB12)))))</f>
        <v>3000</v>
      </c>
      <c r="M12" s="53" t="n">
        <f aca="false">IF(OR(N($E12)=0,$G12=""),0,$I12*IF($F12="Weekly",((Lists!F$21-MOD(Lists!F$21-$G12,7))&gt;=$G12)*((Lists!F$21-MOD(Lists!F$21-$G12,7))&lt;=$AB12),IF($F12="One-off",($G12&gt;Lists!F$23)*($G12&lt;=Lists!F$21),IF($F12="",0,(((Lists!F$24-$AA12)-MOD((Lists!F$24-$AA12),$Z12))&gt;=0)*(EDATE($G12,((Lists!F$24-$AA12)-MOD((Lists!F$24-$AA12),$Z12)))&gt;Lists!F$23)*(EDATE($G12,((Lists!F$24-$AA12)-MOD((Lists!F$24-$AA12),$Z12)))&lt;=Lists!F$21)*(EDATE($G12,((Lists!F$24-$AA12)-MOD((Lists!F$24-$AA12),$Z12)))&lt;=$AB12)+((((Lists!F$24-$AA12)-MOD((Lists!F$24-$AA12),$Z12))-$Z12)&gt;=0)*(EDATE($G12,(((Lists!F$24-$AA12)-MOD((Lists!F$24-$AA12),$Z12))-$Z12))&gt;Lists!F$23)*(EDATE($G12,(((Lists!F$24-$AA12)-MOD((Lists!F$24-$AA12),$Z12))-$Z12))&lt;=Lists!F$21)*(EDATE($G12,(((Lists!F$24-$AA12)-MOD((Lists!F$24-$AA12),$Z12))-$Z12))&lt;=$AB12)))))</f>
        <v>0</v>
      </c>
      <c r="N12" s="53" t="n">
        <f aca="false">IF(OR(N($E12)=0,$G12=""),0,$I12*IF($F12="Weekly",((Lists!G$21-MOD(Lists!G$21-$G12,7))&gt;=$G12)*((Lists!G$21-MOD(Lists!G$21-$G12,7))&lt;=$AB12),IF($F12="One-off",($G12&gt;Lists!G$23)*($G12&lt;=Lists!G$21),IF($F12="",0,(((Lists!G$24-$AA12)-MOD((Lists!G$24-$AA12),$Z12))&gt;=0)*(EDATE($G12,((Lists!G$24-$AA12)-MOD((Lists!G$24-$AA12),$Z12)))&gt;Lists!G$23)*(EDATE($G12,((Lists!G$24-$AA12)-MOD((Lists!G$24-$AA12),$Z12)))&lt;=Lists!G$21)*(EDATE($G12,((Lists!G$24-$AA12)-MOD((Lists!G$24-$AA12),$Z12)))&lt;=$AB12)+((((Lists!G$24-$AA12)-MOD((Lists!G$24-$AA12),$Z12))-$Z12)&gt;=0)*(EDATE($G12,(((Lists!G$24-$AA12)-MOD((Lists!G$24-$AA12),$Z12))-$Z12))&gt;Lists!G$23)*(EDATE($G12,(((Lists!G$24-$AA12)-MOD((Lists!G$24-$AA12),$Z12))-$Z12))&lt;=Lists!G$21)*(EDATE($G12,(((Lists!G$24-$AA12)-MOD((Lists!G$24-$AA12),$Z12))-$Z12))&lt;=$AB12)))))</f>
        <v>0</v>
      </c>
      <c r="O12" s="53" t="n">
        <f aca="false">IF(OR(N($E12)=0,$G12=""),0,$I12*IF($F12="Weekly",((Lists!H$21-MOD(Lists!H$21-$G12,7))&gt;=$G12)*((Lists!H$21-MOD(Lists!H$21-$G12,7))&lt;=$AB12),IF($F12="One-off",($G12&gt;Lists!H$23)*($G12&lt;=Lists!H$21),IF($F12="",0,(((Lists!H$24-$AA12)-MOD((Lists!H$24-$AA12),$Z12))&gt;=0)*(EDATE($G12,((Lists!H$24-$AA12)-MOD((Lists!H$24-$AA12),$Z12)))&gt;Lists!H$23)*(EDATE($G12,((Lists!H$24-$AA12)-MOD((Lists!H$24-$AA12),$Z12)))&lt;=Lists!H$21)*(EDATE($G12,((Lists!H$24-$AA12)-MOD((Lists!H$24-$AA12),$Z12)))&lt;=$AB12)+((((Lists!H$24-$AA12)-MOD((Lists!H$24-$AA12),$Z12))-$Z12)&gt;=0)*(EDATE($G12,(((Lists!H$24-$AA12)-MOD((Lists!H$24-$AA12),$Z12))-$Z12))&gt;Lists!H$23)*(EDATE($G12,(((Lists!H$24-$AA12)-MOD((Lists!H$24-$AA12),$Z12))-$Z12))&lt;=Lists!H$21)*(EDATE($G12,(((Lists!H$24-$AA12)-MOD((Lists!H$24-$AA12),$Z12))-$Z12))&lt;=$AB12)))))</f>
        <v>0</v>
      </c>
      <c r="P12" s="53" t="n">
        <f aca="false">IF(OR(N($E12)=0,$G12=""),0,$I12*IF($F12="Weekly",((Lists!I$21-MOD(Lists!I$21-$G12,7))&gt;=$G12)*((Lists!I$21-MOD(Lists!I$21-$G12,7))&lt;=$AB12),IF($F12="One-off",($G12&gt;Lists!I$23)*($G12&lt;=Lists!I$21),IF($F12="",0,(((Lists!I$24-$AA12)-MOD((Lists!I$24-$AA12),$Z12))&gt;=0)*(EDATE($G12,((Lists!I$24-$AA12)-MOD((Lists!I$24-$AA12),$Z12)))&gt;Lists!I$23)*(EDATE($G12,((Lists!I$24-$AA12)-MOD((Lists!I$24-$AA12),$Z12)))&lt;=Lists!I$21)*(EDATE($G12,((Lists!I$24-$AA12)-MOD((Lists!I$24-$AA12),$Z12)))&lt;=$AB12)+((((Lists!I$24-$AA12)-MOD((Lists!I$24-$AA12),$Z12))-$Z12)&gt;=0)*(EDATE($G12,(((Lists!I$24-$AA12)-MOD((Lists!I$24-$AA12),$Z12))-$Z12))&gt;Lists!I$23)*(EDATE($G12,(((Lists!I$24-$AA12)-MOD((Lists!I$24-$AA12),$Z12))-$Z12))&lt;=Lists!I$21)*(EDATE($G12,(((Lists!I$24-$AA12)-MOD((Lists!I$24-$AA12),$Z12))-$Z12))&lt;=$AB12)))))</f>
        <v>3000</v>
      </c>
      <c r="Q12" s="53" t="n">
        <f aca="false">IF(OR(N($E12)=0,$G12=""),0,$I12*IF($F12="Weekly",((Lists!J$21-MOD(Lists!J$21-$G12,7))&gt;=$G12)*((Lists!J$21-MOD(Lists!J$21-$G12,7))&lt;=$AB12),IF($F12="One-off",($G12&gt;Lists!J$23)*($G12&lt;=Lists!J$21),IF($F12="",0,(((Lists!J$24-$AA12)-MOD((Lists!J$24-$AA12),$Z12))&gt;=0)*(EDATE($G12,((Lists!J$24-$AA12)-MOD((Lists!J$24-$AA12),$Z12)))&gt;Lists!J$23)*(EDATE($G12,((Lists!J$24-$AA12)-MOD((Lists!J$24-$AA12),$Z12)))&lt;=Lists!J$21)*(EDATE($G12,((Lists!J$24-$AA12)-MOD((Lists!J$24-$AA12),$Z12)))&lt;=$AB12)+((((Lists!J$24-$AA12)-MOD((Lists!J$24-$AA12),$Z12))-$Z12)&gt;=0)*(EDATE($G12,(((Lists!J$24-$AA12)-MOD((Lists!J$24-$AA12),$Z12))-$Z12))&gt;Lists!J$23)*(EDATE($G12,(((Lists!J$24-$AA12)-MOD((Lists!J$24-$AA12),$Z12))-$Z12))&lt;=Lists!J$21)*(EDATE($G12,(((Lists!J$24-$AA12)-MOD((Lists!J$24-$AA12),$Z12))-$Z12))&lt;=$AB12)))))</f>
        <v>0</v>
      </c>
      <c r="R12" s="53" t="n">
        <f aca="false">IF(OR(N($E12)=0,$G12=""),0,$I12*IF($F12="Weekly",((Lists!K$21-MOD(Lists!K$21-$G12,7))&gt;=$G12)*((Lists!K$21-MOD(Lists!K$21-$G12,7))&lt;=$AB12),IF($F12="One-off",($G12&gt;Lists!K$23)*($G12&lt;=Lists!K$21),IF($F12="",0,(((Lists!K$24-$AA12)-MOD((Lists!K$24-$AA12),$Z12))&gt;=0)*(EDATE($G12,((Lists!K$24-$AA12)-MOD((Lists!K$24-$AA12),$Z12)))&gt;Lists!K$23)*(EDATE($G12,((Lists!K$24-$AA12)-MOD((Lists!K$24-$AA12),$Z12)))&lt;=Lists!K$21)*(EDATE($G12,((Lists!K$24-$AA12)-MOD((Lists!K$24-$AA12),$Z12)))&lt;=$AB12)+((((Lists!K$24-$AA12)-MOD((Lists!K$24-$AA12),$Z12))-$Z12)&gt;=0)*(EDATE($G12,(((Lists!K$24-$AA12)-MOD((Lists!K$24-$AA12),$Z12))-$Z12))&gt;Lists!K$23)*(EDATE($G12,(((Lists!K$24-$AA12)-MOD((Lists!K$24-$AA12),$Z12))-$Z12))&lt;=Lists!K$21)*(EDATE($G12,(((Lists!K$24-$AA12)-MOD((Lists!K$24-$AA12),$Z12))-$Z12))&lt;=$AB12)))))</f>
        <v>0</v>
      </c>
      <c r="S12" s="53" t="n">
        <f aca="false">IF(OR(N($E12)=0,$G12=""),0,$I12*IF($F12="Weekly",((Lists!L$21-MOD(Lists!L$21-$G12,7))&gt;=$G12)*((Lists!L$21-MOD(Lists!L$21-$G12,7))&lt;=$AB12),IF($F12="One-off",($G12&gt;Lists!L$23)*($G12&lt;=Lists!L$21),IF($F12="",0,(((Lists!L$24-$AA12)-MOD((Lists!L$24-$AA12),$Z12))&gt;=0)*(EDATE($G12,((Lists!L$24-$AA12)-MOD((Lists!L$24-$AA12),$Z12)))&gt;Lists!L$23)*(EDATE($G12,((Lists!L$24-$AA12)-MOD((Lists!L$24-$AA12),$Z12)))&lt;=Lists!L$21)*(EDATE($G12,((Lists!L$24-$AA12)-MOD((Lists!L$24-$AA12),$Z12)))&lt;=$AB12)+((((Lists!L$24-$AA12)-MOD((Lists!L$24-$AA12),$Z12))-$Z12)&gt;=0)*(EDATE($G12,(((Lists!L$24-$AA12)-MOD((Lists!L$24-$AA12),$Z12))-$Z12))&gt;Lists!L$23)*(EDATE($G12,(((Lists!L$24-$AA12)-MOD((Lists!L$24-$AA12),$Z12))-$Z12))&lt;=Lists!L$21)*(EDATE($G12,(((Lists!L$24-$AA12)-MOD((Lists!L$24-$AA12),$Z12))-$Z12))&lt;=$AB12)))))</f>
        <v>0</v>
      </c>
      <c r="T12" s="53" t="n">
        <f aca="false">IF(OR(N($E12)=0,$G12=""),0,$I12*IF($F12="Weekly",((Lists!M$21-MOD(Lists!M$21-$G12,7))&gt;=$G12)*((Lists!M$21-MOD(Lists!M$21-$G12,7))&lt;=$AB12),IF($F12="One-off",($G12&gt;Lists!M$23)*($G12&lt;=Lists!M$21),IF($F12="",0,(((Lists!M$24-$AA12)-MOD((Lists!M$24-$AA12),$Z12))&gt;=0)*(EDATE($G12,((Lists!M$24-$AA12)-MOD((Lists!M$24-$AA12),$Z12)))&gt;Lists!M$23)*(EDATE($G12,((Lists!M$24-$AA12)-MOD((Lists!M$24-$AA12),$Z12)))&lt;=Lists!M$21)*(EDATE($G12,((Lists!M$24-$AA12)-MOD((Lists!M$24-$AA12),$Z12)))&lt;=$AB12)+((((Lists!M$24-$AA12)-MOD((Lists!M$24-$AA12),$Z12))-$Z12)&gt;=0)*(EDATE($G12,(((Lists!M$24-$AA12)-MOD((Lists!M$24-$AA12),$Z12))-$Z12))&gt;Lists!M$23)*(EDATE($G12,(((Lists!M$24-$AA12)-MOD((Lists!M$24-$AA12),$Z12))-$Z12))&lt;=Lists!M$21)*(EDATE($G12,(((Lists!M$24-$AA12)-MOD((Lists!M$24-$AA12),$Z12))-$Z12))&lt;=$AB12)))))</f>
        <v>3000</v>
      </c>
      <c r="U12" s="53" t="n">
        <f aca="false">IF(OR(N($E12)=0,$G12=""),0,$I12*IF($F12="Weekly",((Lists!N$21-MOD(Lists!N$21-$G12,7))&gt;=$G12)*((Lists!N$21-MOD(Lists!N$21-$G12,7))&lt;=$AB12),IF($F12="One-off",($G12&gt;Lists!N$23)*($G12&lt;=Lists!N$21),IF($F12="",0,(((Lists!N$24-$AA12)-MOD((Lists!N$24-$AA12),$Z12))&gt;=0)*(EDATE($G12,((Lists!N$24-$AA12)-MOD((Lists!N$24-$AA12),$Z12)))&gt;Lists!N$23)*(EDATE($G12,((Lists!N$24-$AA12)-MOD((Lists!N$24-$AA12),$Z12)))&lt;=Lists!N$21)*(EDATE($G12,((Lists!N$24-$AA12)-MOD((Lists!N$24-$AA12),$Z12)))&lt;=$AB12)+((((Lists!N$24-$AA12)-MOD((Lists!N$24-$AA12),$Z12))-$Z12)&gt;=0)*(EDATE($G12,(((Lists!N$24-$AA12)-MOD((Lists!N$24-$AA12),$Z12))-$Z12))&gt;Lists!N$23)*(EDATE($G12,(((Lists!N$24-$AA12)-MOD((Lists!N$24-$AA12),$Z12))-$Z12))&lt;=Lists!N$21)*(EDATE($G12,(((Lists!N$24-$AA12)-MOD((Lists!N$24-$AA12),$Z12))-$Z12))&lt;=$AB12)))))</f>
        <v>0</v>
      </c>
      <c r="V12" s="53" t="n">
        <f aca="false">IF(OR(N($E12)=0,$G12=""),0,$I12*IF($F12="Weekly",((Lists!O$21-MOD(Lists!O$21-$G12,7))&gt;=$G12)*((Lists!O$21-MOD(Lists!O$21-$G12,7))&lt;=$AB12),IF($F12="One-off",($G12&gt;Lists!O$23)*($G12&lt;=Lists!O$21),IF($F12="",0,(((Lists!O$24-$AA12)-MOD((Lists!O$24-$AA12),$Z12))&gt;=0)*(EDATE($G12,((Lists!O$24-$AA12)-MOD((Lists!O$24-$AA12),$Z12)))&gt;Lists!O$23)*(EDATE($G12,((Lists!O$24-$AA12)-MOD((Lists!O$24-$AA12),$Z12)))&lt;=Lists!O$21)*(EDATE($G12,((Lists!O$24-$AA12)-MOD((Lists!O$24-$AA12),$Z12)))&lt;=$AB12)+((((Lists!O$24-$AA12)-MOD((Lists!O$24-$AA12),$Z12))-$Z12)&gt;=0)*(EDATE($G12,(((Lists!O$24-$AA12)-MOD((Lists!O$24-$AA12),$Z12))-$Z12))&gt;Lists!O$23)*(EDATE($G12,(((Lists!O$24-$AA12)-MOD((Lists!O$24-$AA12),$Z12))-$Z12))&lt;=Lists!O$21)*(EDATE($G12,(((Lists!O$24-$AA12)-MOD((Lists!O$24-$AA12),$Z12))-$Z12))&lt;=$AB12)))))</f>
        <v>0</v>
      </c>
      <c r="W12" s="46" t="n">
        <f aca="false">SUM(J12:V12)</f>
        <v>9000</v>
      </c>
      <c r="X12" s="2"/>
      <c r="Y12" s="104" t="n">
        <f aca="false">1</f>
        <v>1</v>
      </c>
      <c r="Z12" s="94" t="n">
        <f aca="false">IF(F12="Quarterly",3,IF(F12="Annually",12,1))</f>
        <v>1</v>
      </c>
      <c r="AA12" s="94" t="n">
        <f aca="false">IF(G12="",0,YEAR(G12)*12+MONTH(G12))</f>
        <v>24323</v>
      </c>
      <c r="AB12" s="93" t="n">
        <f aca="false">IF(H12="",2958465,H12)</f>
        <v>2958465</v>
      </c>
      <c r="AC12" s="95" t="str">
        <f aca="false">IF(C12="","Other tax",C12)</f>
        <v>Pension</v>
      </c>
    </row>
    <row r="13" customFormat="false" ht="15" hidden="false" customHeight="false" outlineLevel="0" collapsed="false">
      <c r="A13" s="87" t="n">
        <v>5</v>
      </c>
      <c r="B13" s="55" t="s">
        <v>532</v>
      </c>
      <c r="C13" s="55" t="s">
        <v>118</v>
      </c>
      <c r="D13" s="2"/>
      <c r="E13" s="88" t="n">
        <v>72000</v>
      </c>
      <c r="F13" s="58" t="s">
        <v>528</v>
      </c>
      <c r="G13" s="90" t="n">
        <v>46394</v>
      </c>
      <c r="H13" s="90"/>
      <c r="I13" s="92" t="n">
        <f aca="false">N(E13)*Y13</f>
        <v>72000</v>
      </c>
      <c r="J13" s="53" t="n">
        <f aca="false">IF(OR(N($E13)=0,$G13=""),0,$I13*IF($F13="Weekly",((Lists!C$21-MOD(Lists!C$21-$G13,7))&gt;=$G13)*((Lists!C$21-MOD(Lists!C$21-$G13,7))&lt;=$AB13),IF($F13="One-off",($G13&gt;Lists!C$23)*($G13&lt;=Lists!C$21),IF($F13="",0,(((Lists!C$24-$AA13)-MOD((Lists!C$24-$AA13),$Z13))&gt;=0)*(EDATE($G13,((Lists!C$24-$AA13)-MOD((Lists!C$24-$AA13),$Z13)))&gt;Lists!C$23)*(EDATE($G13,((Lists!C$24-$AA13)-MOD((Lists!C$24-$AA13),$Z13)))&lt;=Lists!C$21)*(EDATE($G13,((Lists!C$24-$AA13)-MOD((Lists!C$24-$AA13),$Z13)))&lt;=$AB13)+((((Lists!C$24-$AA13)-MOD((Lists!C$24-$AA13),$Z13))-$Z13)&gt;=0)*(EDATE($G13,(((Lists!C$24-$AA13)-MOD((Lists!C$24-$AA13),$Z13))-$Z13))&gt;Lists!C$23)*(EDATE($G13,(((Lists!C$24-$AA13)-MOD((Lists!C$24-$AA13),$Z13))-$Z13))&lt;=Lists!C$21)*(EDATE($G13,(((Lists!C$24-$AA13)-MOD((Lists!C$24-$AA13),$Z13))-$Z13))&lt;=$AB13)))))</f>
        <v>0</v>
      </c>
      <c r="K13" s="53" t="n">
        <f aca="false">IF(OR(N($E13)=0,$G13=""),0,$I13*IF($F13="Weekly",((Lists!D$21-MOD(Lists!D$21-$G13,7))&gt;=$G13)*((Lists!D$21-MOD(Lists!D$21-$G13,7))&lt;=$AB13),IF($F13="One-off",($G13&gt;Lists!D$23)*($G13&lt;=Lists!D$21),IF($F13="",0,(((Lists!D$24-$AA13)-MOD((Lists!D$24-$AA13),$Z13))&gt;=0)*(EDATE($G13,((Lists!D$24-$AA13)-MOD((Lists!D$24-$AA13),$Z13)))&gt;Lists!D$23)*(EDATE($G13,((Lists!D$24-$AA13)-MOD((Lists!D$24-$AA13),$Z13)))&lt;=Lists!D$21)*(EDATE($G13,((Lists!D$24-$AA13)-MOD((Lists!D$24-$AA13),$Z13)))&lt;=$AB13)+((((Lists!D$24-$AA13)-MOD((Lists!D$24-$AA13),$Z13))-$Z13)&gt;=0)*(EDATE($G13,(((Lists!D$24-$AA13)-MOD((Lists!D$24-$AA13),$Z13))-$Z13))&gt;Lists!D$23)*(EDATE($G13,(((Lists!D$24-$AA13)-MOD((Lists!D$24-$AA13),$Z13))-$Z13))&lt;=Lists!D$21)*(EDATE($G13,(((Lists!D$24-$AA13)-MOD((Lists!D$24-$AA13),$Z13))-$Z13))&lt;=$AB13)))))</f>
        <v>0</v>
      </c>
      <c r="L13" s="53" t="n">
        <f aca="false">IF(OR(N($E13)=0,$G13=""),0,$I13*IF($F13="Weekly",((Lists!E$21-MOD(Lists!E$21-$G13,7))&gt;=$G13)*((Lists!E$21-MOD(Lists!E$21-$G13,7))&lt;=$AB13),IF($F13="One-off",($G13&gt;Lists!E$23)*($G13&lt;=Lists!E$21),IF($F13="",0,(((Lists!E$24-$AA13)-MOD((Lists!E$24-$AA13),$Z13))&gt;=0)*(EDATE($G13,((Lists!E$24-$AA13)-MOD((Lists!E$24-$AA13),$Z13)))&gt;Lists!E$23)*(EDATE($G13,((Lists!E$24-$AA13)-MOD((Lists!E$24-$AA13),$Z13)))&lt;=Lists!E$21)*(EDATE($G13,((Lists!E$24-$AA13)-MOD((Lists!E$24-$AA13),$Z13)))&lt;=$AB13)+((((Lists!E$24-$AA13)-MOD((Lists!E$24-$AA13),$Z13))-$Z13)&gt;=0)*(EDATE($G13,(((Lists!E$24-$AA13)-MOD((Lists!E$24-$AA13),$Z13))-$Z13))&gt;Lists!E$23)*(EDATE($G13,(((Lists!E$24-$AA13)-MOD((Lists!E$24-$AA13),$Z13))-$Z13))&lt;=Lists!E$21)*(EDATE($G13,(((Lists!E$24-$AA13)-MOD((Lists!E$24-$AA13),$Z13))-$Z13))&lt;=$AB13)))))</f>
        <v>0</v>
      </c>
      <c r="M13" s="53" t="n">
        <f aca="false">IF(OR(N($E13)=0,$G13=""),0,$I13*IF($F13="Weekly",((Lists!F$21-MOD(Lists!F$21-$G13,7))&gt;=$G13)*((Lists!F$21-MOD(Lists!F$21-$G13,7))&lt;=$AB13),IF($F13="One-off",($G13&gt;Lists!F$23)*($G13&lt;=Lists!F$21),IF($F13="",0,(((Lists!F$24-$AA13)-MOD((Lists!F$24-$AA13),$Z13))&gt;=0)*(EDATE($G13,((Lists!F$24-$AA13)-MOD((Lists!F$24-$AA13),$Z13)))&gt;Lists!F$23)*(EDATE($G13,((Lists!F$24-$AA13)-MOD((Lists!F$24-$AA13),$Z13)))&lt;=Lists!F$21)*(EDATE($G13,((Lists!F$24-$AA13)-MOD((Lists!F$24-$AA13),$Z13)))&lt;=$AB13)+((((Lists!F$24-$AA13)-MOD((Lists!F$24-$AA13),$Z13))-$Z13)&gt;=0)*(EDATE($G13,(((Lists!F$24-$AA13)-MOD((Lists!F$24-$AA13),$Z13))-$Z13))&gt;Lists!F$23)*(EDATE($G13,(((Lists!F$24-$AA13)-MOD((Lists!F$24-$AA13),$Z13))-$Z13))&lt;=Lists!F$21)*(EDATE($G13,(((Lists!F$24-$AA13)-MOD((Lists!F$24-$AA13),$Z13))-$Z13))&lt;=$AB13)))))</f>
        <v>0</v>
      </c>
      <c r="N13" s="53" t="n">
        <f aca="false">IF(OR(N($E13)=0,$G13=""),0,$I13*IF($F13="Weekly",((Lists!G$21-MOD(Lists!G$21-$G13,7))&gt;=$G13)*((Lists!G$21-MOD(Lists!G$21-$G13,7))&lt;=$AB13),IF($F13="One-off",($G13&gt;Lists!G$23)*($G13&lt;=Lists!G$21),IF($F13="",0,(((Lists!G$24-$AA13)-MOD((Lists!G$24-$AA13),$Z13))&gt;=0)*(EDATE($G13,((Lists!G$24-$AA13)-MOD((Lists!G$24-$AA13),$Z13)))&gt;Lists!G$23)*(EDATE($G13,((Lists!G$24-$AA13)-MOD((Lists!G$24-$AA13),$Z13)))&lt;=Lists!G$21)*(EDATE($G13,((Lists!G$24-$AA13)-MOD((Lists!G$24-$AA13),$Z13)))&lt;=$AB13)+((((Lists!G$24-$AA13)-MOD((Lists!G$24-$AA13),$Z13))-$Z13)&gt;=0)*(EDATE($G13,(((Lists!G$24-$AA13)-MOD((Lists!G$24-$AA13),$Z13))-$Z13))&gt;Lists!G$23)*(EDATE($G13,(((Lists!G$24-$AA13)-MOD((Lists!G$24-$AA13),$Z13))-$Z13))&lt;=Lists!G$21)*(EDATE($G13,(((Lists!G$24-$AA13)-MOD((Lists!G$24-$AA13),$Z13))-$Z13))&lt;=$AB13)))))</f>
        <v>0</v>
      </c>
      <c r="O13" s="53" t="n">
        <f aca="false">IF(OR(N($E13)=0,$G13=""),0,$I13*IF($F13="Weekly",((Lists!H$21-MOD(Lists!H$21-$G13,7))&gt;=$G13)*((Lists!H$21-MOD(Lists!H$21-$G13,7))&lt;=$AB13),IF($F13="One-off",($G13&gt;Lists!H$23)*($G13&lt;=Lists!H$21),IF($F13="",0,(((Lists!H$24-$AA13)-MOD((Lists!H$24-$AA13),$Z13))&gt;=0)*(EDATE($G13,((Lists!H$24-$AA13)-MOD((Lists!H$24-$AA13),$Z13)))&gt;Lists!H$23)*(EDATE($G13,((Lists!H$24-$AA13)-MOD((Lists!H$24-$AA13),$Z13)))&lt;=Lists!H$21)*(EDATE($G13,((Lists!H$24-$AA13)-MOD((Lists!H$24-$AA13),$Z13)))&lt;=$AB13)+((((Lists!H$24-$AA13)-MOD((Lists!H$24-$AA13),$Z13))-$Z13)&gt;=0)*(EDATE($G13,(((Lists!H$24-$AA13)-MOD((Lists!H$24-$AA13),$Z13))-$Z13))&gt;Lists!H$23)*(EDATE($G13,(((Lists!H$24-$AA13)-MOD((Lists!H$24-$AA13),$Z13))-$Z13))&lt;=Lists!H$21)*(EDATE($G13,(((Lists!H$24-$AA13)-MOD((Lists!H$24-$AA13),$Z13))-$Z13))&lt;=$AB13)))))</f>
        <v>0</v>
      </c>
      <c r="P13" s="53" t="n">
        <f aca="false">IF(OR(N($E13)=0,$G13=""),0,$I13*IF($F13="Weekly",((Lists!I$21-MOD(Lists!I$21-$G13,7))&gt;=$G13)*((Lists!I$21-MOD(Lists!I$21-$G13,7))&lt;=$AB13),IF($F13="One-off",($G13&gt;Lists!I$23)*($G13&lt;=Lists!I$21),IF($F13="",0,(((Lists!I$24-$AA13)-MOD((Lists!I$24-$AA13),$Z13))&gt;=0)*(EDATE($G13,((Lists!I$24-$AA13)-MOD((Lists!I$24-$AA13),$Z13)))&gt;Lists!I$23)*(EDATE($G13,((Lists!I$24-$AA13)-MOD((Lists!I$24-$AA13),$Z13)))&lt;=Lists!I$21)*(EDATE($G13,((Lists!I$24-$AA13)-MOD((Lists!I$24-$AA13),$Z13)))&lt;=$AB13)+((((Lists!I$24-$AA13)-MOD((Lists!I$24-$AA13),$Z13))-$Z13)&gt;=0)*(EDATE($G13,(((Lists!I$24-$AA13)-MOD((Lists!I$24-$AA13),$Z13))-$Z13))&gt;Lists!I$23)*(EDATE($G13,(((Lists!I$24-$AA13)-MOD((Lists!I$24-$AA13),$Z13))-$Z13))&lt;=Lists!I$21)*(EDATE($G13,(((Lists!I$24-$AA13)-MOD((Lists!I$24-$AA13),$Z13))-$Z13))&lt;=$AB13)))))</f>
        <v>0</v>
      </c>
      <c r="Q13" s="53" t="n">
        <f aca="false">IF(OR(N($E13)=0,$G13=""),0,$I13*IF($F13="Weekly",((Lists!J$21-MOD(Lists!J$21-$G13,7))&gt;=$G13)*((Lists!J$21-MOD(Lists!J$21-$G13,7))&lt;=$AB13),IF($F13="One-off",($G13&gt;Lists!J$23)*($G13&lt;=Lists!J$21),IF($F13="",0,(((Lists!J$24-$AA13)-MOD((Lists!J$24-$AA13),$Z13))&gt;=0)*(EDATE($G13,((Lists!J$24-$AA13)-MOD((Lists!J$24-$AA13),$Z13)))&gt;Lists!J$23)*(EDATE($G13,((Lists!J$24-$AA13)-MOD((Lists!J$24-$AA13),$Z13)))&lt;=Lists!J$21)*(EDATE($G13,((Lists!J$24-$AA13)-MOD((Lists!J$24-$AA13),$Z13)))&lt;=$AB13)+((((Lists!J$24-$AA13)-MOD((Lists!J$24-$AA13),$Z13))-$Z13)&gt;=0)*(EDATE($G13,(((Lists!J$24-$AA13)-MOD((Lists!J$24-$AA13),$Z13))-$Z13))&gt;Lists!J$23)*(EDATE($G13,(((Lists!J$24-$AA13)-MOD((Lists!J$24-$AA13),$Z13))-$Z13))&lt;=Lists!J$21)*(EDATE($G13,(((Lists!J$24-$AA13)-MOD((Lists!J$24-$AA13),$Z13))-$Z13))&lt;=$AB13)))))</f>
        <v>0</v>
      </c>
      <c r="R13" s="53" t="n">
        <f aca="false">IF(OR(N($E13)=0,$G13=""),0,$I13*IF($F13="Weekly",((Lists!K$21-MOD(Lists!K$21-$G13,7))&gt;=$G13)*((Lists!K$21-MOD(Lists!K$21-$G13,7))&lt;=$AB13),IF($F13="One-off",($G13&gt;Lists!K$23)*($G13&lt;=Lists!K$21),IF($F13="",0,(((Lists!K$24-$AA13)-MOD((Lists!K$24-$AA13),$Z13))&gt;=0)*(EDATE($G13,((Lists!K$24-$AA13)-MOD((Lists!K$24-$AA13),$Z13)))&gt;Lists!K$23)*(EDATE($G13,((Lists!K$24-$AA13)-MOD((Lists!K$24-$AA13),$Z13)))&lt;=Lists!K$21)*(EDATE($G13,((Lists!K$24-$AA13)-MOD((Lists!K$24-$AA13),$Z13)))&lt;=$AB13)+((((Lists!K$24-$AA13)-MOD((Lists!K$24-$AA13),$Z13))-$Z13)&gt;=0)*(EDATE($G13,(((Lists!K$24-$AA13)-MOD((Lists!K$24-$AA13),$Z13))-$Z13))&gt;Lists!K$23)*(EDATE($G13,(((Lists!K$24-$AA13)-MOD((Lists!K$24-$AA13),$Z13))-$Z13))&lt;=Lists!K$21)*(EDATE($G13,(((Lists!K$24-$AA13)-MOD((Lists!K$24-$AA13),$Z13))-$Z13))&lt;=$AB13)))))</f>
        <v>72000</v>
      </c>
      <c r="S13" s="53" t="n">
        <f aca="false">IF(OR(N($E13)=0,$G13=""),0,$I13*IF($F13="Weekly",((Lists!L$21-MOD(Lists!L$21-$G13,7))&gt;=$G13)*((Lists!L$21-MOD(Lists!L$21-$G13,7))&lt;=$AB13),IF($F13="One-off",($G13&gt;Lists!L$23)*($G13&lt;=Lists!L$21),IF($F13="",0,(((Lists!L$24-$AA13)-MOD((Lists!L$24-$AA13),$Z13))&gt;=0)*(EDATE($G13,((Lists!L$24-$AA13)-MOD((Lists!L$24-$AA13),$Z13)))&gt;Lists!L$23)*(EDATE($G13,((Lists!L$24-$AA13)-MOD((Lists!L$24-$AA13),$Z13)))&lt;=Lists!L$21)*(EDATE($G13,((Lists!L$24-$AA13)-MOD((Lists!L$24-$AA13),$Z13)))&lt;=$AB13)+((((Lists!L$24-$AA13)-MOD((Lists!L$24-$AA13),$Z13))-$Z13)&gt;=0)*(EDATE($G13,(((Lists!L$24-$AA13)-MOD((Lists!L$24-$AA13),$Z13))-$Z13))&gt;Lists!L$23)*(EDATE($G13,(((Lists!L$24-$AA13)-MOD((Lists!L$24-$AA13),$Z13))-$Z13))&lt;=Lists!L$21)*(EDATE($G13,(((Lists!L$24-$AA13)-MOD((Lists!L$24-$AA13),$Z13))-$Z13))&lt;=$AB13)))))</f>
        <v>0</v>
      </c>
      <c r="T13" s="53" t="n">
        <f aca="false">IF(OR(N($E13)=0,$G13=""),0,$I13*IF($F13="Weekly",((Lists!M$21-MOD(Lists!M$21-$G13,7))&gt;=$G13)*((Lists!M$21-MOD(Lists!M$21-$G13,7))&lt;=$AB13),IF($F13="One-off",($G13&gt;Lists!M$23)*($G13&lt;=Lists!M$21),IF($F13="",0,(((Lists!M$24-$AA13)-MOD((Lists!M$24-$AA13),$Z13))&gt;=0)*(EDATE($G13,((Lists!M$24-$AA13)-MOD((Lists!M$24-$AA13),$Z13)))&gt;Lists!M$23)*(EDATE($G13,((Lists!M$24-$AA13)-MOD((Lists!M$24-$AA13),$Z13)))&lt;=Lists!M$21)*(EDATE($G13,((Lists!M$24-$AA13)-MOD((Lists!M$24-$AA13),$Z13)))&lt;=$AB13)+((((Lists!M$24-$AA13)-MOD((Lists!M$24-$AA13),$Z13))-$Z13)&gt;=0)*(EDATE($G13,(((Lists!M$24-$AA13)-MOD((Lists!M$24-$AA13),$Z13))-$Z13))&gt;Lists!M$23)*(EDATE($G13,(((Lists!M$24-$AA13)-MOD((Lists!M$24-$AA13),$Z13))-$Z13))&lt;=Lists!M$21)*(EDATE($G13,(((Lists!M$24-$AA13)-MOD((Lists!M$24-$AA13),$Z13))-$Z13))&lt;=$AB13)))))</f>
        <v>0</v>
      </c>
      <c r="U13" s="53" t="n">
        <f aca="false">IF(OR(N($E13)=0,$G13=""),0,$I13*IF($F13="Weekly",((Lists!N$21-MOD(Lists!N$21-$G13,7))&gt;=$G13)*((Lists!N$21-MOD(Lists!N$21-$G13,7))&lt;=$AB13),IF($F13="One-off",($G13&gt;Lists!N$23)*($G13&lt;=Lists!N$21),IF($F13="",0,(((Lists!N$24-$AA13)-MOD((Lists!N$24-$AA13),$Z13))&gt;=0)*(EDATE($G13,((Lists!N$24-$AA13)-MOD((Lists!N$24-$AA13),$Z13)))&gt;Lists!N$23)*(EDATE($G13,((Lists!N$24-$AA13)-MOD((Lists!N$24-$AA13),$Z13)))&lt;=Lists!N$21)*(EDATE($G13,((Lists!N$24-$AA13)-MOD((Lists!N$24-$AA13),$Z13)))&lt;=$AB13)+((((Lists!N$24-$AA13)-MOD((Lists!N$24-$AA13),$Z13))-$Z13)&gt;=0)*(EDATE($G13,(((Lists!N$24-$AA13)-MOD((Lists!N$24-$AA13),$Z13))-$Z13))&gt;Lists!N$23)*(EDATE($G13,(((Lists!N$24-$AA13)-MOD((Lists!N$24-$AA13),$Z13))-$Z13))&lt;=Lists!N$21)*(EDATE($G13,(((Lists!N$24-$AA13)-MOD((Lists!N$24-$AA13),$Z13))-$Z13))&lt;=$AB13)))))</f>
        <v>0</v>
      </c>
      <c r="V13" s="53" t="n">
        <f aca="false">IF(OR(N($E13)=0,$G13=""),0,$I13*IF($F13="Weekly",((Lists!O$21-MOD(Lists!O$21-$G13,7))&gt;=$G13)*((Lists!O$21-MOD(Lists!O$21-$G13,7))&lt;=$AB13),IF($F13="One-off",($G13&gt;Lists!O$23)*($G13&lt;=Lists!O$21),IF($F13="",0,(((Lists!O$24-$AA13)-MOD((Lists!O$24-$AA13),$Z13))&gt;=0)*(EDATE($G13,((Lists!O$24-$AA13)-MOD((Lists!O$24-$AA13),$Z13)))&gt;Lists!O$23)*(EDATE($G13,((Lists!O$24-$AA13)-MOD((Lists!O$24-$AA13),$Z13)))&lt;=Lists!O$21)*(EDATE($G13,((Lists!O$24-$AA13)-MOD((Lists!O$24-$AA13),$Z13)))&lt;=$AB13)+((((Lists!O$24-$AA13)-MOD((Lists!O$24-$AA13),$Z13))-$Z13)&gt;=0)*(EDATE($G13,(((Lists!O$24-$AA13)-MOD((Lists!O$24-$AA13),$Z13))-$Z13))&gt;Lists!O$23)*(EDATE($G13,(((Lists!O$24-$AA13)-MOD((Lists!O$24-$AA13),$Z13))-$Z13))&lt;=Lists!O$21)*(EDATE($G13,(((Lists!O$24-$AA13)-MOD((Lists!O$24-$AA13),$Z13))-$Z13))&lt;=$AB13)))))</f>
        <v>0</v>
      </c>
      <c r="W13" s="46" t="n">
        <f aca="false">SUM(J13:V13)</f>
        <v>72000</v>
      </c>
      <c r="X13" s="2"/>
      <c r="Y13" s="104" t="n">
        <f aca="false">1</f>
        <v>1</v>
      </c>
      <c r="Z13" s="94" t="n">
        <f aca="false">IF(F13="Quarterly",3,IF(F13="Annually",12,1))</f>
        <v>1</v>
      </c>
      <c r="AA13" s="94" t="n">
        <f aca="false">IF(G13="",0,YEAR(G13)*12+MONTH(G13))</f>
        <v>24325</v>
      </c>
      <c r="AB13" s="93" t="n">
        <f aca="false">IF(H13="",2958465,H13)</f>
        <v>2958465</v>
      </c>
      <c r="AC13" s="95" t="str">
        <f aca="false">IF(C13="","Other tax",C13)</f>
        <v>VAT</v>
      </c>
    </row>
    <row r="14" customFormat="false" ht="15" hidden="false" customHeight="false" outlineLevel="0" collapsed="false">
      <c r="A14" s="87" t="n">
        <v>6</v>
      </c>
      <c r="B14" s="55" t="s">
        <v>533</v>
      </c>
      <c r="C14" s="55" t="s">
        <v>534</v>
      </c>
      <c r="D14" s="2"/>
      <c r="E14" s="88" t="n">
        <v>90000</v>
      </c>
      <c r="F14" s="58" t="s">
        <v>528</v>
      </c>
      <c r="G14" s="90" t="n">
        <v>46391</v>
      </c>
      <c r="H14" s="90"/>
      <c r="I14" s="92" t="n">
        <f aca="false">N(E14)*Y14</f>
        <v>90000</v>
      </c>
      <c r="J14" s="53" t="n">
        <f aca="false">IF(OR(N($E14)=0,$G14=""),0,$I14*IF($F14="Weekly",((Lists!C$21-MOD(Lists!C$21-$G14,7))&gt;=$G14)*((Lists!C$21-MOD(Lists!C$21-$G14,7))&lt;=$AB14),IF($F14="One-off",($G14&gt;Lists!C$23)*($G14&lt;=Lists!C$21),IF($F14="",0,(((Lists!C$24-$AA14)-MOD((Lists!C$24-$AA14),$Z14))&gt;=0)*(EDATE($G14,((Lists!C$24-$AA14)-MOD((Lists!C$24-$AA14),$Z14)))&gt;Lists!C$23)*(EDATE($G14,((Lists!C$24-$AA14)-MOD((Lists!C$24-$AA14),$Z14)))&lt;=Lists!C$21)*(EDATE($G14,((Lists!C$24-$AA14)-MOD((Lists!C$24-$AA14),$Z14)))&lt;=$AB14)+((((Lists!C$24-$AA14)-MOD((Lists!C$24-$AA14),$Z14))-$Z14)&gt;=0)*(EDATE($G14,(((Lists!C$24-$AA14)-MOD((Lists!C$24-$AA14),$Z14))-$Z14))&gt;Lists!C$23)*(EDATE($G14,(((Lists!C$24-$AA14)-MOD((Lists!C$24-$AA14),$Z14))-$Z14))&lt;=Lists!C$21)*(EDATE($G14,(((Lists!C$24-$AA14)-MOD((Lists!C$24-$AA14),$Z14))-$Z14))&lt;=$AB14)))))</f>
        <v>0</v>
      </c>
      <c r="K14" s="53" t="n">
        <f aca="false">IF(OR(N($E14)=0,$G14=""),0,$I14*IF($F14="Weekly",((Lists!D$21-MOD(Lists!D$21-$G14,7))&gt;=$G14)*((Lists!D$21-MOD(Lists!D$21-$G14,7))&lt;=$AB14),IF($F14="One-off",($G14&gt;Lists!D$23)*($G14&lt;=Lists!D$21),IF($F14="",0,(((Lists!D$24-$AA14)-MOD((Lists!D$24-$AA14),$Z14))&gt;=0)*(EDATE($G14,((Lists!D$24-$AA14)-MOD((Lists!D$24-$AA14),$Z14)))&gt;Lists!D$23)*(EDATE($G14,((Lists!D$24-$AA14)-MOD((Lists!D$24-$AA14),$Z14)))&lt;=Lists!D$21)*(EDATE($G14,((Lists!D$24-$AA14)-MOD((Lists!D$24-$AA14),$Z14)))&lt;=$AB14)+((((Lists!D$24-$AA14)-MOD((Lists!D$24-$AA14),$Z14))-$Z14)&gt;=0)*(EDATE($G14,(((Lists!D$24-$AA14)-MOD((Lists!D$24-$AA14),$Z14))-$Z14))&gt;Lists!D$23)*(EDATE($G14,(((Lists!D$24-$AA14)-MOD((Lists!D$24-$AA14),$Z14))-$Z14))&lt;=Lists!D$21)*(EDATE($G14,(((Lists!D$24-$AA14)-MOD((Lists!D$24-$AA14),$Z14))-$Z14))&lt;=$AB14)))))</f>
        <v>0</v>
      </c>
      <c r="L14" s="53" t="n">
        <f aca="false">IF(OR(N($E14)=0,$G14=""),0,$I14*IF($F14="Weekly",((Lists!E$21-MOD(Lists!E$21-$G14,7))&gt;=$G14)*((Lists!E$21-MOD(Lists!E$21-$G14,7))&lt;=$AB14),IF($F14="One-off",($G14&gt;Lists!E$23)*($G14&lt;=Lists!E$21),IF($F14="",0,(((Lists!E$24-$AA14)-MOD((Lists!E$24-$AA14),$Z14))&gt;=0)*(EDATE($G14,((Lists!E$24-$AA14)-MOD((Lists!E$24-$AA14),$Z14)))&gt;Lists!E$23)*(EDATE($G14,((Lists!E$24-$AA14)-MOD((Lists!E$24-$AA14),$Z14)))&lt;=Lists!E$21)*(EDATE($G14,((Lists!E$24-$AA14)-MOD((Lists!E$24-$AA14),$Z14)))&lt;=$AB14)+((((Lists!E$24-$AA14)-MOD((Lists!E$24-$AA14),$Z14))-$Z14)&gt;=0)*(EDATE($G14,(((Lists!E$24-$AA14)-MOD((Lists!E$24-$AA14),$Z14))-$Z14))&gt;Lists!E$23)*(EDATE($G14,(((Lists!E$24-$AA14)-MOD((Lists!E$24-$AA14),$Z14))-$Z14))&lt;=Lists!E$21)*(EDATE($G14,(((Lists!E$24-$AA14)-MOD((Lists!E$24-$AA14),$Z14))-$Z14))&lt;=$AB14)))))</f>
        <v>0</v>
      </c>
      <c r="M14" s="53" t="n">
        <f aca="false">IF(OR(N($E14)=0,$G14=""),0,$I14*IF($F14="Weekly",((Lists!F$21-MOD(Lists!F$21-$G14,7))&gt;=$G14)*((Lists!F$21-MOD(Lists!F$21-$G14,7))&lt;=$AB14),IF($F14="One-off",($G14&gt;Lists!F$23)*($G14&lt;=Lists!F$21),IF($F14="",0,(((Lists!F$24-$AA14)-MOD((Lists!F$24-$AA14),$Z14))&gt;=0)*(EDATE($G14,((Lists!F$24-$AA14)-MOD((Lists!F$24-$AA14),$Z14)))&gt;Lists!F$23)*(EDATE($G14,((Lists!F$24-$AA14)-MOD((Lists!F$24-$AA14),$Z14)))&lt;=Lists!F$21)*(EDATE($G14,((Lists!F$24-$AA14)-MOD((Lists!F$24-$AA14),$Z14)))&lt;=$AB14)+((((Lists!F$24-$AA14)-MOD((Lists!F$24-$AA14),$Z14))-$Z14)&gt;=0)*(EDATE($G14,(((Lists!F$24-$AA14)-MOD((Lists!F$24-$AA14),$Z14))-$Z14))&gt;Lists!F$23)*(EDATE($G14,(((Lists!F$24-$AA14)-MOD((Lists!F$24-$AA14),$Z14))-$Z14))&lt;=Lists!F$21)*(EDATE($G14,(((Lists!F$24-$AA14)-MOD((Lists!F$24-$AA14),$Z14))-$Z14))&lt;=$AB14)))))</f>
        <v>0</v>
      </c>
      <c r="N14" s="53" t="n">
        <f aca="false">IF(OR(N($E14)=0,$G14=""),0,$I14*IF($F14="Weekly",((Lists!G$21-MOD(Lists!G$21-$G14,7))&gt;=$G14)*((Lists!G$21-MOD(Lists!G$21-$G14,7))&lt;=$AB14),IF($F14="One-off",($G14&gt;Lists!G$23)*($G14&lt;=Lists!G$21),IF($F14="",0,(((Lists!G$24-$AA14)-MOD((Lists!G$24-$AA14),$Z14))&gt;=0)*(EDATE($G14,((Lists!G$24-$AA14)-MOD((Lists!G$24-$AA14),$Z14)))&gt;Lists!G$23)*(EDATE($G14,((Lists!G$24-$AA14)-MOD((Lists!G$24-$AA14),$Z14)))&lt;=Lists!G$21)*(EDATE($G14,((Lists!G$24-$AA14)-MOD((Lists!G$24-$AA14),$Z14)))&lt;=$AB14)+((((Lists!G$24-$AA14)-MOD((Lists!G$24-$AA14),$Z14))-$Z14)&gt;=0)*(EDATE($G14,(((Lists!G$24-$AA14)-MOD((Lists!G$24-$AA14),$Z14))-$Z14))&gt;Lists!G$23)*(EDATE($G14,(((Lists!G$24-$AA14)-MOD((Lists!G$24-$AA14),$Z14))-$Z14))&lt;=Lists!G$21)*(EDATE($G14,(((Lists!G$24-$AA14)-MOD((Lists!G$24-$AA14),$Z14))-$Z14))&lt;=$AB14)))))</f>
        <v>0</v>
      </c>
      <c r="O14" s="53" t="n">
        <f aca="false">IF(OR(N($E14)=0,$G14=""),0,$I14*IF($F14="Weekly",((Lists!H$21-MOD(Lists!H$21-$G14,7))&gt;=$G14)*((Lists!H$21-MOD(Lists!H$21-$G14,7))&lt;=$AB14),IF($F14="One-off",($G14&gt;Lists!H$23)*($G14&lt;=Lists!H$21),IF($F14="",0,(((Lists!H$24-$AA14)-MOD((Lists!H$24-$AA14),$Z14))&gt;=0)*(EDATE($G14,((Lists!H$24-$AA14)-MOD((Lists!H$24-$AA14),$Z14)))&gt;Lists!H$23)*(EDATE($G14,((Lists!H$24-$AA14)-MOD((Lists!H$24-$AA14),$Z14)))&lt;=Lists!H$21)*(EDATE($G14,((Lists!H$24-$AA14)-MOD((Lists!H$24-$AA14),$Z14)))&lt;=$AB14)+((((Lists!H$24-$AA14)-MOD((Lists!H$24-$AA14),$Z14))-$Z14)&gt;=0)*(EDATE($G14,(((Lists!H$24-$AA14)-MOD((Lists!H$24-$AA14),$Z14))-$Z14))&gt;Lists!H$23)*(EDATE($G14,(((Lists!H$24-$AA14)-MOD((Lists!H$24-$AA14),$Z14))-$Z14))&lt;=Lists!H$21)*(EDATE($G14,(((Lists!H$24-$AA14)-MOD((Lists!H$24-$AA14),$Z14))-$Z14))&lt;=$AB14)))))</f>
        <v>0</v>
      </c>
      <c r="P14" s="53" t="n">
        <f aca="false">IF(OR(N($E14)=0,$G14=""),0,$I14*IF($F14="Weekly",((Lists!I$21-MOD(Lists!I$21-$G14,7))&gt;=$G14)*((Lists!I$21-MOD(Lists!I$21-$G14,7))&lt;=$AB14),IF($F14="One-off",($G14&gt;Lists!I$23)*($G14&lt;=Lists!I$21),IF($F14="",0,(((Lists!I$24-$AA14)-MOD((Lists!I$24-$AA14),$Z14))&gt;=0)*(EDATE($G14,((Lists!I$24-$AA14)-MOD((Lists!I$24-$AA14),$Z14)))&gt;Lists!I$23)*(EDATE($G14,((Lists!I$24-$AA14)-MOD((Lists!I$24-$AA14),$Z14)))&lt;=Lists!I$21)*(EDATE($G14,((Lists!I$24-$AA14)-MOD((Lists!I$24-$AA14),$Z14)))&lt;=$AB14)+((((Lists!I$24-$AA14)-MOD((Lists!I$24-$AA14),$Z14))-$Z14)&gt;=0)*(EDATE($G14,(((Lists!I$24-$AA14)-MOD((Lists!I$24-$AA14),$Z14))-$Z14))&gt;Lists!I$23)*(EDATE($G14,(((Lists!I$24-$AA14)-MOD((Lists!I$24-$AA14),$Z14))-$Z14))&lt;=Lists!I$21)*(EDATE($G14,(((Lists!I$24-$AA14)-MOD((Lists!I$24-$AA14),$Z14))-$Z14))&lt;=$AB14)))))</f>
        <v>0</v>
      </c>
      <c r="Q14" s="53" t="n">
        <f aca="false">IF(OR(N($E14)=0,$G14=""),0,$I14*IF($F14="Weekly",((Lists!J$21-MOD(Lists!J$21-$G14,7))&gt;=$G14)*((Lists!J$21-MOD(Lists!J$21-$G14,7))&lt;=$AB14),IF($F14="One-off",($G14&gt;Lists!J$23)*($G14&lt;=Lists!J$21),IF($F14="",0,(((Lists!J$24-$AA14)-MOD((Lists!J$24-$AA14),$Z14))&gt;=0)*(EDATE($G14,((Lists!J$24-$AA14)-MOD((Lists!J$24-$AA14),$Z14)))&gt;Lists!J$23)*(EDATE($G14,((Lists!J$24-$AA14)-MOD((Lists!J$24-$AA14),$Z14)))&lt;=Lists!J$21)*(EDATE($G14,((Lists!J$24-$AA14)-MOD((Lists!J$24-$AA14),$Z14)))&lt;=$AB14)+((((Lists!J$24-$AA14)-MOD((Lists!J$24-$AA14),$Z14))-$Z14)&gt;=0)*(EDATE($G14,(((Lists!J$24-$AA14)-MOD((Lists!J$24-$AA14),$Z14))-$Z14))&gt;Lists!J$23)*(EDATE($G14,(((Lists!J$24-$AA14)-MOD((Lists!J$24-$AA14),$Z14))-$Z14))&lt;=Lists!J$21)*(EDATE($G14,(((Lists!J$24-$AA14)-MOD((Lists!J$24-$AA14),$Z14))-$Z14))&lt;=$AB14)))))</f>
        <v>0</v>
      </c>
      <c r="R14" s="53" t="n">
        <f aca="false">IF(OR(N($E14)=0,$G14=""),0,$I14*IF($F14="Weekly",((Lists!K$21-MOD(Lists!K$21-$G14,7))&gt;=$G14)*((Lists!K$21-MOD(Lists!K$21-$G14,7))&lt;=$AB14),IF($F14="One-off",($G14&gt;Lists!K$23)*($G14&lt;=Lists!K$21),IF($F14="",0,(((Lists!K$24-$AA14)-MOD((Lists!K$24-$AA14),$Z14))&gt;=0)*(EDATE($G14,((Lists!K$24-$AA14)-MOD((Lists!K$24-$AA14),$Z14)))&gt;Lists!K$23)*(EDATE($G14,((Lists!K$24-$AA14)-MOD((Lists!K$24-$AA14),$Z14)))&lt;=Lists!K$21)*(EDATE($G14,((Lists!K$24-$AA14)-MOD((Lists!K$24-$AA14),$Z14)))&lt;=$AB14)+((((Lists!K$24-$AA14)-MOD((Lists!K$24-$AA14),$Z14))-$Z14)&gt;=0)*(EDATE($G14,(((Lists!K$24-$AA14)-MOD((Lists!K$24-$AA14),$Z14))-$Z14))&gt;Lists!K$23)*(EDATE($G14,(((Lists!K$24-$AA14)-MOD((Lists!K$24-$AA14),$Z14))-$Z14))&lt;=Lists!K$21)*(EDATE($G14,(((Lists!K$24-$AA14)-MOD((Lists!K$24-$AA14),$Z14))-$Z14))&lt;=$AB14)))))</f>
        <v>90000</v>
      </c>
      <c r="S14" s="53" t="n">
        <f aca="false">IF(OR(N($E14)=0,$G14=""),0,$I14*IF($F14="Weekly",((Lists!L$21-MOD(Lists!L$21-$G14,7))&gt;=$G14)*((Lists!L$21-MOD(Lists!L$21-$G14,7))&lt;=$AB14),IF($F14="One-off",($G14&gt;Lists!L$23)*($G14&lt;=Lists!L$21),IF($F14="",0,(((Lists!L$24-$AA14)-MOD((Lists!L$24-$AA14),$Z14))&gt;=0)*(EDATE($G14,((Lists!L$24-$AA14)-MOD((Lists!L$24-$AA14),$Z14)))&gt;Lists!L$23)*(EDATE($G14,((Lists!L$24-$AA14)-MOD((Lists!L$24-$AA14),$Z14)))&lt;=Lists!L$21)*(EDATE($G14,((Lists!L$24-$AA14)-MOD((Lists!L$24-$AA14),$Z14)))&lt;=$AB14)+((((Lists!L$24-$AA14)-MOD((Lists!L$24-$AA14),$Z14))-$Z14)&gt;=0)*(EDATE($G14,(((Lists!L$24-$AA14)-MOD((Lists!L$24-$AA14),$Z14))-$Z14))&gt;Lists!L$23)*(EDATE($G14,(((Lists!L$24-$AA14)-MOD((Lists!L$24-$AA14),$Z14))-$Z14))&lt;=Lists!L$21)*(EDATE($G14,(((Lists!L$24-$AA14)-MOD((Lists!L$24-$AA14),$Z14))-$Z14))&lt;=$AB14)))))</f>
        <v>0</v>
      </c>
      <c r="T14" s="53" t="n">
        <f aca="false">IF(OR(N($E14)=0,$G14=""),0,$I14*IF($F14="Weekly",((Lists!M$21-MOD(Lists!M$21-$G14,7))&gt;=$G14)*((Lists!M$21-MOD(Lists!M$21-$G14,7))&lt;=$AB14),IF($F14="One-off",($G14&gt;Lists!M$23)*($G14&lt;=Lists!M$21),IF($F14="",0,(((Lists!M$24-$AA14)-MOD((Lists!M$24-$AA14),$Z14))&gt;=0)*(EDATE($G14,((Lists!M$24-$AA14)-MOD((Lists!M$24-$AA14),$Z14)))&gt;Lists!M$23)*(EDATE($G14,((Lists!M$24-$AA14)-MOD((Lists!M$24-$AA14),$Z14)))&lt;=Lists!M$21)*(EDATE($G14,((Lists!M$24-$AA14)-MOD((Lists!M$24-$AA14),$Z14)))&lt;=$AB14)+((((Lists!M$24-$AA14)-MOD((Lists!M$24-$AA14),$Z14))-$Z14)&gt;=0)*(EDATE($G14,(((Lists!M$24-$AA14)-MOD((Lists!M$24-$AA14),$Z14))-$Z14))&gt;Lists!M$23)*(EDATE($G14,(((Lists!M$24-$AA14)-MOD((Lists!M$24-$AA14),$Z14))-$Z14))&lt;=Lists!M$21)*(EDATE($G14,(((Lists!M$24-$AA14)-MOD((Lists!M$24-$AA14),$Z14))-$Z14))&lt;=$AB14)))))</f>
        <v>0</v>
      </c>
      <c r="U14" s="53" t="n">
        <f aca="false">IF(OR(N($E14)=0,$G14=""),0,$I14*IF($F14="Weekly",((Lists!N$21-MOD(Lists!N$21-$G14,7))&gt;=$G14)*((Lists!N$21-MOD(Lists!N$21-$G14,7))&lt;=$AB14),IF($F14="One-off",($G14&gt;Lists!N$23)*($G14&lt;=Lists!N$21),IF($F14="",0,(((Lists!N$24-$AA14)-MOD((Lists!N$24-$AA14),$Z14))&gt;=0)*(EDATE($G14,((Lists!N$24-$AA14)-MOD((Lists!N$24-$AA14),$Z14)))&gt;Lists!N$23)*(EDATE($G14,((Lists!N$24-$AA14)-MOD((Lists!N$24-$AA14),$Z14)))&lt;=Lists!N$21)*(EDATE($G14,((Lists!N$24-$AA14)-MOD((Lists!N$24-$AA14),$Z14)))&lt;=$AB14)+((((Lists!N$24-$AA14)-MOD((Lists!N$24-$AA14),$Z14))-$Z14)&gt;=0)*(EDATE($G14,(((Lists!N$24-$AA14)-MOD((Lists!N$24-$AA14),$Z14))-$Z14))&gt;Lists!N$23)*(EDATE($G14,(((Lists!N$24-$AA14)-MOD((Lists!N$24-$AA14),$Z14))-$Z14))&lt;=Lists!N$21)*(EDATE($G14,(((Lists!N$24-$AA14)-MOD((Lists!N$24-$AA14),$Z14))-$Z14))&lt;=$AB14)))))</f>
        <v>0</v>
      </c>
      <c r="V14" s="53" t="n">
        <f aca="false">IF(OR(N($E14)=0,$G14=""),0,$I14*IF($F14="Weekly",((Lists!O$21-MOD(Lists!O$21-$G14,7))&gt;=$G14)*((Lists!O$21-MOD(Lists!O$21-$G14,7))&lt;=$AB14),IF($F14="One-off",($G14&gt;Lists!O$23)*($G14&lt;=Lists!O$21),IF($F14="",0,(((Lists!O$24-$AA14)-MOD((Lists!O$24-$AA14),$Z14))&gt;=0)*(EDATE($G14,((Lists!O$24-$AA14)-MOD((Lists!O$24-$AA14),$Z14)))&gt;Lists!O$23)*(EDATE($G14,((Lists!O$24-$AA14)-MOD((Lists!O$24-$AA14),$Z14)))&lt;=Lists!O$21)*(EDATE($G14,((Lists!O$24-$AA14)-MOD((Lists!O$24-$AA14),$Z14)))&lt;=$AB14)+((((Lists!O$24-$AA14)-MOD((Lists!O$24-$AA14),$Z14))-$Z14)&gt;=0)*(EDATE($G14,(((Lists!O$24-$AA14)-MOD((Lists!O$24-$AA14),$Z14))-$Z14))&gt;Lists!O$23)*(EDATE($G14,(((Lists!O$24-$AA14)-MOD((Lists!O$24-$AA14),$Z14))-$Z14))&lt;=Lists!O$21)*(EDATE($G14,(((Lists!O$24-$AA14)-MOD((Lists!O$24-$AA14),$Z14))-$Z14))&lt;=$AB14)))))</f>
        <v>0</v>
      </c>
      <c r="W14" s="46" t="n">
        <f aca="false">SUM(J14:V14)</f>
        <v>90000</v>
      </c>
      <c r="X14" s="2"/>
      <c r="Y14" s="104" t="n">
        <f aca="false">1</f>
        <v>1</v>
      </c>
      <c r="Z14" s="94" t="n">
        <f aca="false">IF(F14="Quarterly",3,IF(F14="Annually",12,1))</f>
        <v>1</v>
      </c>
      <c r="AA14" s="94" t="n">
        <f aca="false">IF(G14="",0,YEAR(G14)*12+MONTH(G14))</f>
        <v>24325</v>
      </c>
      <c r="AB14" s="93" t="n">
        <f aca="false">IF(H14="",2958465,H14)</f>
        <v>2958465</v>
      </c>
      <c r="AC14" s="95" t="str">
        <f aca="false">IF(C14="","Other tax",C14)</f>
        <v>Corporation tax</v>
      </c>
    </row>
    <row r="15" customFormat="false" ht="15" hidden="false" customHeight="false" outlineLevel="0" collapsed="false">
      <c r="A15" s="87" t="n">
        <v>7</v>
      </c>
      <c r="B15" s="55"/>
      <c r="C15" s="55"/>
      <c r="D15" s="2"/>
      <c r="E15" s="88"/>
      <c r="F15" s="58"/>
      <c r="G15" s="90"/>
      <c r="H15" s="90"/>
      <c r="I15" s="92" t="n">
        <f aca="false">N(E15)*Y15</f>
        <v>0</v>
      </c>
      <c r="J15" s="53" t="n">
        <f aca="false">IF(OR(N($E15)=0,$G15=""),0,$I15*IF($F15="Weekly",((Lists!C$21-MOD(Lists!C$21-$G15,7))&gt;=$G15)*((Lists!C$21-MOD(Lists!C$21-$G15,7))&lt;=$AB15),IF($F15="One-off",($G15&gt;Lists!C$23)*($G15&lt;=Lists!C$21),IF($F15="",0,(((Lists!C$24-$AA15)-MOD((Lists!C$24-$AA15),$Z15))&gt;=0)*(EDATE($G15,((Lists!C$24-$AA15)-MOD((Lists!C$24-$AA15),$Z15)))&gt;Lists!C$23)*(EDATE($G15,((Lists!C$24-$AA15)-MOD((Lists!C$24-$AA15),$Z15)))&lt;=Lists!C$21)*(EDATE($G15,((Lists!C$24-$AA15)-MOD((Lists!C$24-$AA15),$Z15)))&lt;=$AB15)+((((Lists!C$24-$AA15)-MOD((Lists!C$24-$AA15),$Z15))-$Z15)&gt;=0)*(EDATE($G15,(((Lists!C$24-$AA15)-MOD((Lists!C$24-$AA15),$Z15))-$Z15))&gt;Lists!C$23)*(EDATE($G15,(((Lists!C$24-$AA15)-MOD((Lists!C$24-$AA15),$Z15))-$Z15))&lt;=Lists!C$21)*(EDATE($G15,(((Lists!C$24-$AA15)-MOD((Lists!C$24-$AA15),$Z15))-$Z15))&lt;=$AB15)))))</f>
        <v>0</v>
      </c>
      <c r="K15" s="53" t="n">
        <f aca="false">IF(OR(N($E15)=0,$G15=""),0,$I15*IF($F15="Weekly",((Lists!D$21-MOD(Lists!D$21-$G15,7))&gt;=$G15)*((Lists!D$21-MOD(Lists!D$21-$G15,7))&lt;=$AB15),IF($F15="One-off",($G15&gt;Lists!D$23)*($G15&lt;=Lists!D$21),IF($F15="",0,(((Lists!D$24-$AA15)-MOD((Lists!D$24-$AA15),$Z15))&gt;=0)*(EDATE($G15,((Lists!D$24-$AA15)-MOD((Lists!D$24-$AA15),$Z15)))&gt;Lists!D$23)*(EDATE($G15,((Lists!D$24-$AA15)-MOD((Lists!D$24-$AA15),$Z15)))&lt;=Lists!D$21)*(EDATE($G15,((Lists!D$24-$AA15)-MOD((Lists!D$24-$AA15),$Z15)))&lt;=$AB15)+((((Lists!D$24-$AA15)-MOD((Lists!D$24-$AA15),$Z15))-$Z15)&gt;=0)*(EDATE($G15,(((Lists!D$24-$AA15)-MOD((Lists!D$24-$AA15),$Z15))-$Z15))&gt;Lists!D$23)*(EDATE($G15,(((Lists!D$24-$AA15)-MOD((Lists!D$24-$AA15),$Z15))-$Z15))&lt;=Lists!D$21)*(EDATE($G15,(((Lists!D$24-$AA15)-MOD((Lists!D$24-$AA15),$Z15))-$Z15))&lt;=$AB15)))))</f>
        <v>0</v>
      </c>
      <c r="L15" s="53" t="n">
        <f aca="false">IF(OR(N($E15)=0,$G15=""),0,$I15*IF($F15="Weekly",((Lists!E$21-MOD(Lists!E$21-$G15,7))&gt;=$G15)*((Lists!E$21-MOD(Lists!E$21-$G15,7))&lt;=$AB15),IF($F15="One-off",($G15&gt;Lists!E$23)*($G15&lt;=Lists!E$21),IF($F15="",0,(((Lists!E$24-$AA15)-MOD((Lists!E$24-$AA15),$Z15))&gt;=0)*(EDATE($G15,((Lists!E$24-$AA15)-MOD((Lists!E$24-$AA15),$Z15)))&gt;Lists!E$23)*(EDATE($G15,((Lists!E$24-$AA15)-MOD((Lists!E$24-$AA15),$Z15)))&lt;=Lists!E$21)*(EDATE($G15,((Lists!E$24-$AA15)-MOD((Lists!E$24-$AA15),$Z15)))&lt;=$AB15)+((((Lists!E$24-$AA15)-MOD((Lists!E$24-$AA15),$Z15))-$Z15)&gt;=0)*(EDATE($G15,(((Lists!E$24-$AA15)-MOD((Lists!E$24-$AA15),$Z15))-$Z15))&gt;Lists!E$23)*(EDATE($G15,(((Lists!E$24-$AA15)-MOD((Lists!E$24-$AA15),$Z15))-$Z15))&lt;=Lists!E$21)*(EDATE($G15,(((Lists!E$24-$AA15)-MOD((Lists!E$24-$AA15),$Z15))-$Z15))&lt;=$AB15)))))</f>
        <v>0</v>
      </c>
      <c r="M15" s="53" t="n">
        <f aca="false">IF(OR(N($E15)=0,$G15=""),0,$I15*IF($F15="Weekly",((Lists!F$21-MOD(Lists!F$21-$G15,7))&gt;=$G15)*((Lists!F$21-MOD(Lists!F$21-$G15,7))&lt;=$AB15),IF($F15="One-off",($G15&gt;Lists!F$23)*($G15&lt;=Lists!F$21),IF($F15="",0,(((Lists!F$24-$AA15)-MOD((Lists!F$24-$AA15),$Z15))&gt;=0)*(EDATE($G15,((Lists!F$24-$AA15)-MOD((Lists!F$24-$AA15),$Z15)))&gt;Lists!F$23)*(EDATE($G15,((Lists!F$24-$AA15)-MOD((Lists!F$24-$AA15),$Z15)))&lt;=Lists!F$21)*(EDATE($G15,((Lists!F$24-$AA15)-MOD((Lists!F$24-$AA15),$Z15)))&lt;=$AB15)+((((Lists!F$24-$AA15)-MOD((Lists!F$24-$AA15),$Z15))-$Z15)&gt;=0)*(EDATE($G15,(((Lists!F$24-$AA15)-MOD((Lists!F$24-$AA15),$Z15))-$Z15))&gt;Lists!F$23)*(EDATE($G15,(((Lists!F$24-$AA15)-MOD((Lists!F$24-$AA15),$Z15))-$Z15))&lt;=Lists!F$21)*(EDATE($G15,(((Lists!F$24-$AA15)-MOD((Lists!F$24-$AA15),$Z15))-$Z15))&lt;=$AB15)))))</f>
        <v>0</v>
      </c>
      <c r="N15" s="53" t="n">
        <f aca="false">IF(OR(N($E15)=0,$G15=""),0,$I15*IF($F15="Weekly",((Lists!G$21-MOD(Lists!G$21-$G15,7))&gt;=$G15)*((Lists!G$21-MOD(Lists!G$21-$G15,7))&lt;=$AB15),IF($F15="One-off",($G15&gt;Lists!G$23)*($G15&lt;=Lists!G$21),IF($F15="",0,(((Lists!G$24-$AA15)-MOD((Lists!G$24-$AA15),$Z15))&gt;=0)*(EDATE($G15,((Lists!G$24-$AA15)-MOD((Lists!G$24-$AA15),$Z15)))&gt;Lists!G$23)*(EDATE($G15,((Lists!G$24-$AA15)-MOD((Lists!G$24-$AA15),$Z15)))&lt;=Lists!G$21)*(EDATE($G15,((Lists!G$24-$AA15)-MOD((Lists!G$24-$AA15),$Z15)))&lt;=$AB15)+((((Lists!G$24-$AA15)-MOD((Lists!G$24-$AA15),$Z15))-$Z15)&gt;=0)*(EDATE($G15,(((Lists!G$24-$AA15)-MOD((Lists!G$24-$AA15),$Z15))-$Z15))&gt;Lists!G$23)*(EDATE($G15,(((Lists!G$24-$AA15)-MOD((Lists!G$24-$AA15),$Z15))-$Z15))&lt;=Lists!G$21)*(EDATE($G15,(((Lists!G$24-$AA15)-MOD((Lists!G$24-$AA15),$Z15))-$Z15))&lt;=$AB15)))))</f>
        <v>0</v>
      </c>
      <c r="O15" s="53" t="n">
        <f aca="false">IF(OR(N($E15)=0,$G15=""),0,$I15*IF($F15="Weekly",((Lists!H$21-MOD(Lists!H$21-$G15,7))&gt;=$G15)*((Lists!H$21-MOD(Lists!H$21-$G15,7))&lt;=$AB15),IF($F15="One-off",($G15&gt;Lists!H$23)*($G15&lt;=Lists!H$21),IF($F15="",0,(((Lists!H$24-$AA15)-MOD((Lists!H$24-$AA15),$Z15))&gt;=0)*(EDATE($G15,((Lists!H$24-$AA15)-MOD((Lists!H$24-$AA15),$Z15)))&gt;Lists!H$23)*(EDATE($G15,((Lists!H$24-$AA15)-MOD((Lists!H$24-$AA15),$Z15)))&lt;=Lists!H$21)*(EDATE($G15,((Lists!H$24-$AA15)-MOD((Lists!H$24-$AA15),$Z15)))&lt;=$AB15)+((((Lists!H$24-$AA15)-MOD((Lists!H$24-$AA15),$Z15))-$Z15)&gt;=0)*(EDATE($G15,(((Lists!H$24-$AA15)-MOD((Lists!H$24-$AA15),$Z15))-$Z15))&gt;Lists!H$23)*(EDATE($G15,(((Lists!H$24-$AA15)-MOD((Lists!H$24-$AA15),$Z15))-$Z15))&lt;=Lists!H$21)*(EDATE($G15,(((Lists!H$24-$AA15)-MOD((Lists!H$24-$AA15),$Z15))-$Z15))&lt;=$AB15)))))</f>
        <v>0</v>
      </c>
      <c r="P15" s="53" t="n">
        <f aca="false">IF(OR(N($E15)=0,$G15=""),0,$I15*IF($F15="Weekly",((Lists!I$21-MOD(Lists!I$21-$G15,7))&gt;=$G15)*((Lists!I$21-MOD(Lists!I$21-$G15,7))&lt;=$AB15),IF($F15="One-off",($G15&gt;Lists!I$23)*($G15&lt;=Lists!I$21),IF($F15="",0,(((Lists!I$24-$AA15)-MOD((Lists!I$24-$AA15),$Z15))&gt;=0)*(EDATE($G15,((Lists!I$24-$AA15)-MOD((Lists!I$24-$AA15),$Z15)))&gt;Lists!I$23)*(EDATE($G15,((Lists!I$24-$AA15)-MOD((Lists!I$24-$AA15),$Z15)))&lt;=Lists!I$21)*(EDATE($G15,((Lists!I$24-$AA15)-MOD((Lists!I$24-$AA15),$Z15)))&lt;=$AB15)+((((Lists!I$24-$AA15)-MOD((Lists!I$24-$AA15),$Z15))-$Z15)&gt;=0)*(EDATE($G15,(((Lists!I$24-$AA15)-MOD((Lists!I$24-$AA15),$Z15))-$Z15))&gt;Lists!I$23)*(EDATE($G15,(((Lists!I$24-$AA15)-MOD((Lists!I$24-$AA15),$Z15))-$Z15))&lt;=Lists!I$21)*(EDATE($G15,(((Lists!I$24-$AA15)-MOD((Lists!I$24-$AA15),$Z15))-$Z15))&lt;=$AB15)))))</f>
        <v>0</v>
      </c>
      <c r="Q15" s="53" t="n">
        <f aca="false">IF(OR(N($E15)=0,$G15=""),0,$I15*IF($F15="Weekly",((Lists!J$21-MOD(Lists!J$21-$G15,7))&gt;=$G15)*((Lists!J$21-MOD(Lists!J$21-$G15,7))&lt;=$AB15),IF($F15="One-off",($G15&gt;Lists!J$23)*($G15&lt;=Lists!J$21),IF($F15="",0,(((Lists!J$24-$AA15)-MOD((Lists!J$24-$AA15),$Z15))&gt;=0)*(EDATE($G15,((Lists!J$24-$AA15)-MOD((Lists!J$24-$AA15),$Z15)))&gt;Lists!J$23)*(EDATE($G15,((Lists!J$24-$AA15)-MOD((Lists!J$24-$AA15),$Z15)))&lt;=Lists!J$21)*(EDATE($G15,((Lists!J$24-$AA15)-MOD((Lists!J$24-$AA15),$Z15)))&lt;=$AB15)+((((Lists!J$24-$AA15)-MOD((Lists!J$24-$AA15),$Z15))-$Z15)&gt;=0)*(EDATE($G15,(((Lists!J$24-$AA15)-MOD((Lists!J$24-$AA15),$Z15))-$Z15))&gt;Lists!J$23)*(EDATE($G15,(((Lists!J$24-$AA15)-MOD((Lists!J$24-$AA15),$Z15))-$Z15))&lt;=Lists!J$21)*(EDATE($G15,(((Lists!J$24-$AA15)-MOD((Lists!J$24-$AA15),$Z15))-$Z15))&lt;=$AB15)))))</f>
        <v>0</v>
      </c>
      <c r="R15" s="53" t="n">
        <f aca="false">IF(OR(N($E15)=0,$G15=""),0,$I15*IF($F15="Weekly",((Lists!K$21-MOD(Lists!K$21-$G15,7))&gt;=$G15)*((Lists!K$21-MOD(Lists!K$21-$G15,7))&lt;=$AB15),IF($F15="One-off",($G15&gt;Lists!K$23)*($G15&lt;=Lists!K$21),IF($F15="",0,(((Lists!K$24-$AA15)-MOD((Lists!K$24-$AA15),$Z15))&gt;=0)*(EDATE($G15,((Lists!K$24-$AA15)-MOD((Lists!K$24-$AA15),$Z15)))&gt;Lists!K$23)*(EDATE($G15,((Lists!K$24-$AA15)-MOD((Lists!K$24-$AA15),$Z15)))&lt;=Lists!K$21)*(EDATE($G15,((Lists!K$24-$AA15)-MOD((Lists!K$24-$AA15),$Z15)))&lt;=$AB15)+((((Lists!K$24-$AA15)-MOD((Lists!K$24-$AA15),$Z15))-$Z15)&gt;=0)*(EDATE($G15,(((Lists!K$24-$AA15)-MOD((Lists!K$24-$AA15),$Z15))-$Z15))&gt;Lists!K$23)*(EDATE($G15,(((Lists!K$24-$AA15)-MOD((Lists!K$24-$AA15),$Z15))-$Z15))&lt;=Lists!K$21)*(EDATE($G15,(((Lists!K$24-$AA15)-MOD((Lists!K$24-$AA15),$Z15))-$Z15))&lt;=$AB15)))))</f>
        <v>0</v>
      </c>
      <c r="S15" s="53" t="n">
        <f aca="false">IF(OR(N($E15)=0,$G15=""),0,$I15*IF($F15="Weekly",((Lists!L$21-MOD(Lists!L$21-$G15,7))&gt;=$G15)*((Lists!L$21-MOD(Lists!L$21-$G15,7))&lt;=$AB15),IF($F15="One-off",($G15&gt;Lists!L$23)*($G15&lt;=Lists!L$21),IF($F15="",0,(((Lists!L$24-$AA15)-MOD((Lists!L$24-$AA15),$Z15))&gt;=0)*(EDATE($G15,((Lists!L$24-$AA15)-MOD((Lists!L$24-$AA15),$Z15)))&gt;Lists!L$23)*(EDATE($G15,((Lists!L$24-$AA15)-MOD((Lists!L$24-$AA15),$Z15)))&lt;=Lists!L$21)*(EDATE($G15,((Lists!L$24-$AA15)-MOD((Lists!L$24-$AA15),$Z15)))&lt;=$AB15)+((((Lists!L$24-$AA15)-MOD((Lists!L$24-$AA15),$Z15))-$Z15)&gt;=0)*(EDATE($G15,(((Lists!L$24-$AA15)-MOD((Lists!L$24-$AA15),$Z15))-$Z15))&gt;Lists!L$23)*(EDATE($G15,(((Lists!L$24-$AA15)-MOD((Lists!L$24-$AA15),$Z15))-$Z15))&lt;=Lists!L$21)*(EDATE($G15,(((Lists!L$24-$AA15)-MOD((Lists!L$24-$AA15),$Z15))-$Z15))&lt;=$AB15)))))</f>
        <v>0</v>
      </c>
      <c r="T15" s="53" t="n">
        <f aca="false">IF(OR(N($E15)=0,$G15=""),0,$I15*IF($F15="Weekly",((Lists!M$21-MOD(Lists!M$21-$G15,7))&gt;=$G15)*((Lists!M$21-MOD(Lists!M$21-$G15,7))&lt;=$AB15),IF($F15="One-off",($G15&gt;Lists!M$23)*($G15&lt;=Lists!M$21),IF($F15="",0,(((Lists!M$24-$AA15)-MOD((Lists!M$24-$AA15),$Z15))&gt;=0)*(EDATE($G15,((Lists!M$24-$AA15)-MOD((Lists!M$24-$AA15),$Z15)))&gt;Lists!M$23)*(EDATE($G15,((Lists!M$24-$AA15)-MOD((Lists!M$24-$AA15),$Z15)))&lt;=Lists!M$21)*(EDATE($G15,((Lists!M$24-$AA15)-MOD((Lists!M$24-$AA15),$Z15)))&lt;=$AB15)+((((Lists!M$24-$AA15)-MOD((Lists!M$24-$AA15),$Z15))-$Z15)&gt;=0)*(EDATE($G15,(((Lists!M$24-$AA15)-MOD((Lists!M$24-$AA15),$Z15))-$Z15))&gt;Lists!M$23)*(EDATE($G15,(((Lists!M$24-$AA15)-MOD((Lists!M$24-$AA15),$Z15))-$Z15))&lt;=Lists!M$21)*(EDATE($G15,(((Lists!M$24-$AA15)-MOD((Lists!M$24-$AA15),$Z15))-$Z15))&lt;=$AB15)))))</f>
        <v>0</v>
      </c>
      <c r="U15" s="53" t="n">
        <f aca="false">IF(OR(N($E15)=0,$G15=""),0,$I15*IF($F15="Weekly",((Lists!N$21-MOD(Lists!N$21-$G15,7))&gt;=$G15)*((Lists!N$21-MOD(Lists!N$21-$G15,7))&lt;=$AB15),IF($F15="One-off",($G15&gt;Lists!N$23)*($G15&lt;=Lists!N$21),IF($F15="",0,(((Lists!N$24-$AA15)-MOD((Lists!N$24-$AA15),$Z15))&gt;=0)*(EDATE($G15,((Lists!N$24-$AA15)-MOD((Lists!N$24-$AA15),$Z15)))&gt;Lists!N$23)*(EDATE($G15,((Lists!N$24-$AA15)-MOD((Lists!N$24-$AA15),$Z15)))&lt;=Lists!N$21)*(EDATE($G15,((Lists!N$24-$AA15)-MOD((Lists!N$24-$AA15),$Z15)))&lt;=$AB15)+((((Lists!N$24-$AA15)-MOD((Lists!N$24-$AA15),$Z15))-$Z15)&gt;=0)*(EDATE($G15,(((Lists!N$24-$AA15)-MOD((Lists!N$24-$AA15),$Z15))-$Z15))&gt;Lists!N$23)*(EDATE($G15,(((Lists!N$24-$AA15)-MOD((Lists!N$24-$AA15),$Z15))-$Z15))&lt;=Lists!N$21)*(EDATE($G15,(((Lists!N$24-$AA15)-MOD((Lists!N$24-$AA15),$Z15))-$Z15))&lt;=$AB15)))))</f>
        <v>0</v>
      </c>
      <c r="V15" s="53" t="n">
        <f aca="false">IF(OR(N($E15)=0,$G15=""),0,$I15*IF($F15="Weekly",((Lists!O$21-MOD(Lists!O$21-$G15,7))&gt;=$G15)*((Lists!O$21-MOD(Lists!O$21-$G15,7))&lt;=$AB15),IF($F15="One-off",($G15&gt;Lists!O$23)*($G15&lt;=Lists!O$21),IF($F15="",0,(((Lists!O$24-$AA15)-MOD((Lists!O$24-$AA15),$Z15))&gt;=0)*(EDATE($G15,((Lists!O$24-$AA15)-MOD((Lists!O$24-$AA15),$Z15)))&gt;Lists!O$23)*(EDATE($G15,((Lists!O$24-$AA15)-MOD((Lists!O$24-$AA15),$Z15)))&lt;=Lists!O$21)*(EDATE($G15,((Lists!O$24-$AA15)-MOD((Lists!O$24-$AA15),$Z15)))&lt;=$AB15)+((((Lists!O$24-$AA15)-MOD((Lists!O$24-$AA15),$Z15))-$Z15)&gt;=0)*(EDATE($G15,(((Lists!O$24-$AA15)-MOD((Lists!O$24-$AA15),$Z15))-$Z15))&gt;Lists!O$23)*(EDATE($G15,(((Lists!O$24-$AA15)-MOD((Lists!O$24-$AA15),$Z15))-$Z15))&lt;=Lists!O$21)*(EDATE($G15,(((Lists!O$24-$AA15)-MOD((Lists!O$24-$AA15),$Z15))-$Z15))&lt;=$AB15)))))</f>
        <v>0</v>
      </c>
      <c r="W15" s="46" t="n">
        <f aca="false">SUM(J15:V15)</f>
        <v>0</v>
      </c>
      <c r="X15" s="2"/>
      <c r="Y15" s="104" t="n">
        <f aca="false">1</f>
        <v>1</v>
      </c>
      <c r="Z15" s="94" t="n">
        <f aca="false">IF(F15="Quarterly",3,IF(F15="Annually",12,1))</f>
        <v>1</v>
      </c>
      <c r="AA15" s="94" t="n">
        <f aca="false">IF(G15="",0,YEAR(G15)*12+MONTH(G15))</f>
        <v>0</v>
      </c>
      <c r="AB15" s="93" t="n">
        <f aca="false">IF(H15="",2958465,H15)</f>
        <v>2958465</v>
      </c>
      <c r="AC15" s="95" t="str">
        <f aca="false">IF(C15="","Other tax",C15)</f>
        <v>Other tax</v>
      </c>
    </row>
    <row r="16" customFormat="false" ht="15" hidden="false" customHeight="false" outlineLevel="0" collapsed="false">
      <c r="A16" s="87" t="n">
        <v>8</v>
      </c>
      <c r="B16" s="55"/>
      <c r="C16" s="55"/>
      <c r="D16" s="2"/>
      <c r="E16" s="88"/>
      <c r="F16" s="58"/>
      <c r="G16" s="90"/>
      <c r="H16" s="90"/>
      <c r="I16" s="92" t="n">
        <f aca="false">N(E16)*Y16</f>
        <v>0</v>
      </c>
      <c r="J16" s="53" t="n">
        <f aca="false">IF(OR(N($E16)=0,$G16=""),0,$I16*IF($F16="Weekly",((Lists!C$21-MOD(Lists!C$21-$G16,7))&gt;=$G16)*((Lists!C$21-MOD(Lists!C$21-$G16,7))&lt;=$AB16),IF($F16="One-off",($G16&gt;Lists!C$23)*($G16&lt;=Lists!C$21),IF($F16="",0,(((Lists!C$24-$AA16)-MOD((Lists!C$24-$AA16),$Z16))&gt;=0)*(EDATE($G16,((Lists!C$24-$AA16)-MOD((Lists!C$24-$AA16),$Z16)))&gt;Lists!C$23)*(EDATE($G16,((Lists!C$24-$AA16)-MOD((Lists!C$24-$AA16),$Z16)))&lt;=Lists!C$21)*(EDATE($G16,((Lists!C$24-$AA16)-MOD((Lists!C$24-$AA16),$Z16)))&lt;=$AB16)+((((Lists!C$24-$AA16)-MOD((Lists!C$24-$AA16),$Z16))-$Z16)&gt;=0)*(EDATE($G16,(((Lists!C$24-$AA16)-MOD((Lists!C$24-$AA16),$Z16))-$Z16))&gt;Lists!C$23)*(EDATE($G16,(((Lists!C$24-$AA16)-MOD((Lists!C$24-$AA16),$Z16))-$Z16))&lt;=Lists!C$21)*(EDATE($G16,(((Lists!C$24-$AA16)-MOD((Lists!C$24-$AA16),$Z16))-$Z16))&lt;=$AB16)))))</f>
        <v>0</v>
      </c>
      <c r="K16" s="53" t="n">
        <f aca="false">IF(OR(N($E16)=0,$G16=""),0,$I16*IF($F16="Weekly",((Lists!D$21-MOD(Lists!D$21-$G16,7))&gt;=$G16)*((Lists!D$21-MOD(Lists!D$21-$G16,7))&lt;=$AB16),IF($F16="One-off",($G16&gt;Lists!D$23)*($G16&lt;=Lists!D$21),IF($F16="",0,(((Lists!D$24-$AA16)-MOD((Lists!D$24-$AA16),$Z16))&gt;=0)*(EDATE($G16,((Lists!D$24-$AA16)-MOD((Lists!D$24-$AA16),$Z16)))&gt;Lists!D$23)*(EDATE($G16,((Lists!D$24-$AA16)-MOD((Lists!D$24-$AA16),$Z16)))&lt;=Lists!D$21)*(EDATE($G16,((Lists!D$24-$AA16)-MOD((Lists!D$24-$AA16),$Z16)))&lt;=$AB16)+((((Lists!D$24-$AA16)-MOD((Lists!D$24-$AA16),$Z16))-$Z16)&gt;=0)*(EDATE($G16,(((Lists!D$24-$AA16)-MOD((Lists!D$24-$AA16),$Z16))-$Z16))&gt;Lists!D$23)*(EDATE($G16,(((Lists!D$24-$AA16)-MOD((Lists!D$24-$AA16),$Z16))-$Z16))&lt;=Lists!D$21)*(EDATE($G16,(((Lists!D$24-$AA16)-MOD((Lists!D$24-$AA16),$Z16))-$Z16))&lt;=$AB16)))))</f>
        <v>0</v>
      </c>
      <c r="L16" s="53" t="n">
        <f aca="false">IF(OR(N($E16)=0,$G16=""),0,$I16*IF($F16="Weekly",((Lists!E$21-MOD(Lists!E$21-$G16,7))&gt;=$G16)*((Lists!E$21-MOD(Lists!E$21-$G16,7))&lt;=$AB16),IF($F16="One-off",($G16&gt;Lists!E$23)*($G16&lt;=Lists!E$21),IF($F16="",0,(((Lists!E$24-$AA16)-MOD((Lists!E$24-$AA16),$Z16))&gt;=0)*(EDATE($G16,((Lists!E$24-$AA16)-MOD((Lists!E$24-$AA16),$Z16)))&gt;Lists!E$23)*(EDATE($G16,((Lists!E$24-$AA16)-MOD((Lists!E$24-$AA16),$Z16)))&lt;=Lists!E$21)*(EDATE($G16,((Lists!E$24-$AA16)-MOD((Lists!E$24-$AA16),$Z16)))&lt;=$AB16)+((((Lists!E$24-$AA16)-MOD((Lists!E$24-$AA16),$Z16))-$Z16)&gt;=0)*(EDATE($G16,(((Lists!E$24-$AA16)-MOD((Lists!E$24-$AA16),$Z16))-$Z16))&gt;Lists!E$23)*(EDATE($G16,(((Lists!E$24-$AA16)-MOD((Lists!E$24-$AA16),$Z16))-$Z16))&lt;=Lists!E$21)*(EDATE($G16,(((Lists!E$24-$AA16)-MOD((Lists!E$24-$AA16),$Z16))-$Z16))&lt;=$AB16)))))</f>
        <v>0</v>
      </c>
      <c r="M16" s="53" t="n">
        <f aca="false">IF(OR(N($E16)=0,$G16=""),0,$I16*IF($F16="Weekly",((Lists!F$21-MOD(Lists!F$21-$G16,7))&gt;=$G16)*((Lists!F$21-MOD(Lists!F$21-$G16,7))&lt;=$AB16),IF($F16="One-off",($G16&gt;Lists!F$23)*($G16&lt;=Lists!F$21),IF($F16="",0,(((Lists!F$24-$AA16)-MOD((Lists!F$24-$AA16),$Z16))&gt;=0)*(EDATE($G16,((Lists!F$24-$AA16)-MOD((Lists!F$24-$AA16),$Z16)))&gt;Lists!F$23)*(EDATE($G16,((Lists!F$24-$AA16)-MOD((Lists!F$24-$AA16),$Z16)))&lt;=Lists!F$21)*(EDATE($G16,((Lists!F$24-$AA16)-MOD((Lists!F$24-$AA16),$Z16)))&lt;=$AB16)+((((Lists!F$24-$AA16)-MOD((Lists!F$24-$AA16),$Z16))-$Z16)&gt;=0)*(EDATE($G16,(((Lists!F$24-$AA16)-MOD((Lists!F$24-$AA16),$Z16))-$Z16))&gt;Lists!F$23)*(EDATE($G16,(((Lists!F$24-$AA16)-MOD((Lists!F$24-$AA16),$Z16))-$Z16))&lt;=Lists!F$21)*(EDATE($G16,(((Lists!F$24-$AA16)-MOD((Lists!F$24-$AA16),$Z16))-$Z16))&lt;=$AB16)))))</f>
        <v>0</v>
      </c>
      <c r="N16" s="53" t="n">
        <f aca="false">IF(OR(N($E16)=0,$G16=""),0,$I16*IF($F16="Weekly",((Lists!G$21-MOD(Lists!G$21-$G16,7))&gt;=$G16)*((Lists!G$21-MOD(Lists!G$21-$G16,7))&lt;=$AB16),IF($F16="One-off",($G16&gt;Lists!G$23)*($G16&lt;=Lists!G$21),IF($F16="",0,(((Lists!G$24-$AA16)-MOD((Lists!G$24-$AA16),$Z16))&gt;=0)*(EDATE($G16,((Lists!G$24-$AA16)-MOD((Lists!G$24-$AA16),$Z16)))&gt;Lists!G$23)*(EDATE($G16,((Lists!G$24-$AA16)-MOD((Lists!G$24-$AA16),$Z16)))&lt;=Lists!G$21)*(EDATE($G16,((Lists!G$24-$AA16)-MOD((Lists!G$24-$AA16),$Z16)))&lt;=$AB16)+((((Lists!G$24-$AA16)-MOD((Lists!G$24-$AA16),$Z16))-$Z16)&gt;=0)*(EDATE($G16,(((Lists!G$24-$AA16)-MOD((Lists!G$24-$AA16),$Z16))-$Z16))&gt;Lists!G$23)*(EDATE($G16,(((Lists!G$24-$AA16)-MOD((Lists!G$24-$AA16),$Z16))-$Z16))&lt;=Lists!G$21)*(EDATE($G16,(((Lists!G$24-$AA16)-MOD((Lists!G$24-$AA16),$Z16))-$Z16))&lt;=$AB16)))))</f>
        <v>0</v>
      </c>
      <c r="O16" s="53" t="n">
        <f aca="false">IF(OR(N($E16)=0,$G16=""),0,$I16*IF($F16="Weekly",((Lists!H$21-MOD(Lists!H$21-$G16,7))&gt;=$G16)*((Lists!H$21-MOD(Lists!H$21-$G16,7))&lt;=$AB16),IF($F16="One-off",($G16&gt;Lists!H$23)*($G16&lt;=Lists!H$21),IF($F16="",0,(((Lists!H$24-$AA16)-MOD((Lists!H$24-$AA16),$Z16))&gt;=0)*(EDATE($G16,((Lists!H$24-$AA16)-MOD((Lists!H$24-$AA16),$Z16)))&gt;Lists!H$23)*(EDATE($G16,((Lists!H$24-$AA16)-MOD((Lists!H$24-$AA16),$Z16)))&lt;=Lists!H$21)*(EDATE($G16,((Lists!H$24-$AA16)-MOD((Lists!H$24-$AA16),$Z16)))&lt;=$AB16)+((((Lists!H$24-$AA16)-MOD((Lists!H$24-$AA16),$Z16))-$Z16)&gt;=0)*(EDATE($G16,(((Lists!H$24-$AA16)-MOD((Lists!H$24-$AA16),$Z16))-$Z16))&gt;Lists!H$23)*(EDATE($G16,(((Lists!H$24-$AA16)-MOD((Lists!H$24-$AA16),$Z16))-$Z16))&lt;=Lists!H$21)*(EDATE($G16,(((Lists!H$24-$AA16)-MOD((Lists!H$24-$AA16),$Z16))-$Z16))&lt;=$AB16)))))</f>
        <v>0</v>
      </c>
      <c r="P16" s="53" t="n">
        <f aca="false">IF(OR(N($E16)=0,$G16=""),0,$I16*IF($F16="Weekly",((Lists!I$21-MOD(Lists!I$21-$G16,7))&gt;=$G16)*((Lists!I$21-MOD(Lists!I$21-$G16,7))&lt;=$AB16),IF($F16="One-off",($G16&gt;Lists!I$23)*($G16&lt;=Lists!I$21),IF($F16="",0,(((Lists!I$24-$AA16)-MOD((Lists!I$24-$AA16),$Z16))&gt;=0)*(EDATE($G16,((Lists!I$24-$AA16)-MOD((Lists!I$24-$AA16),$Z16)))&gt;Lists!I$23)*(EDATE($G16,((Lists!I$24-$AA16)-MOD((Lists!I$24-$AA16),$Z16)))&lt;=Lists!I$21)*(EDATE($G16,((Lists!I$24-$AA16)-MOD((Lists!I$24-$AA16),$Z16)))&lt;=$AB16)+((((Lists!I$24-$AA16)-MOD((Lists!I$24-$AA16),$Z16))-$Z16)&gt;=0)*(EDATE($G16,(((Lists!I$24-$AA16)-MOD((Lists!I$24-$AA16),$Z16))-$Z16))&gt;Lists!I$23)*(EDATE($G16,(((Lists!I$24-$AA16)-MOD((Lists!I$24-$AA16),$Z16))-$Z16))&lt;=Lists!I$21)*(EDATE($G16,(((Lists!I$24-$AA16)-MOD((Lists!I$24-$AA16),$Z16))-$Z16))&lt;=$AB16)))))</f>
        <v>0</v>
      </c>
      <c r="Q16" s="53" t="n">
        <f aca="false">IF(OR(N($E16)=0,$G16=""),0,$I16*IF($F16="Weekly",((Lists!J$21-MOD(Lists!J$21-$G16,7))&gt;=$G16)*((Lists!J$21-MOD(Lists!J$21-$G16,7))&lt;=$AB16),IF($F16="One-off",($G16&gt;Lists!J$23)*($G16&lt;=Lists!J$21),IF($F16="",0,(((Lists!J$24-$AA16)-MOD((Lists!J$24-$AA16),$Z16))&gt;=0)*(EDATE($G16,((Lists!J$24-$AA16)-MOD((Lists!J$24-$AA16),$Z16)))&gt;Lists!J$23)*(EDATE($G16,((Lists!J$24-$AA16)-MOD((Lists!J$24-$AA16),$Z16)))&lt;=Lists!J$21)*(EDATE($G16,((Lists!J$24-$AA16)-MOD((Lists!J$24-$AA16),$Z16)))&lt;=$AB16)+((((Lists!J$24-$AA16)-MOD((Lists!J$24-$AA16),$Z16))-$Z16)&gt;=0)*(EDATE($G16,(((Lists!J$24-$AA16)-MOD((Lists!J$24-$AA16),$Z16))-$Z16))&gt;Lists!J$23)*(EDATE($G16,(((Lists!J$24-$AA16)-MOD((Lists!J$24-$AA16),$Z16))-$Z16))&lt;=Lists!J$21)*(EDATE($G16,(((Lists!J$24-$AA16)-MOD((Lists!J$24-$AA16),$Z16))-$Z16))&lt;=$AB16)))))</f>
        <v>0</v>
      </c>
      <c r="R16" s="53" t="n">
        <f aca="false">IF(OR(N($E16)=0,$G16=""),0,$I16*IF($F16="Weekly",((Lists!K$21-MOD(Lists!K$21-$G16,7))&gt;=$G16)*((Lists!K$21-MOD(Lists!K$21-$G16,7))&lt;=$AB16),IF($F16="One-off",($G16&gt;Lists!K$23)*($G16&lt;=Lists!K$21),IF($F16="",0,(((Lists!K$24-$AA16)-MOD((Lists!K$24-$AA16),$Z16))&gt;=0)*(EDATE($G16,((Lists!K$24-$AA16)-MOD((Lists!K$24-$AA16),$Z16)))&gt;Lists!K$23)*(EDATE($G16,((Lists!K$24-$AA16)-MOD((Lists!K$24-$AA16),$Z16)))&lt;=Lists!K$21)*(EDATE($G16,((Lists!K$24-$AA16)-MOD((Lists!K$24-$AA16),$Z16)))&lt;=$AB16)+((((Lists!K$24-$AA16)-MOD((Lists!K$24-$AA16),$Z16))-$Z16)&gt;=0)*(EDATE($G16,(((Lists!K$24-$AA16)-MOD((Lists!K$24-$AA16),$Z16))-$Z16))&gt;Lists!K$23)*(EDATE($G16,(((Lists!K$24-$AA16)-MOD((Lists!K$24-$AA16),$Z16))-$Z16))&lt;=Lists!K$21)*(EDATE($G16,(((Lists!K$24-$AA16)-MOD((Lists!K$24-$AA16),$Z16))-$Z16))&lt;=$AB16)))))</f>
        <v>0</v>
      </c>
      <c r="S16" s="53" t="n">
        <f aca="false">IF(OR(N($E16)=0,$G16=""),0,$I16*IF($F16="Weekly",((Lists!L$21-MOD(Lists!L$21-$G16,7))&gt;=$G16)*((Lists!L$21-MOD(Lists!L$21-$G16,7))&lt;=$AB16),IF($F16="One-off",($G16&gt;Lists!L$23)*($G16&lt;=Lists!L$21),IF($F16="",0,(((Lists!L$24-$AA16)-MOD((Lists!L$24-$AA16),$Z16))&gt;=0)*(EDATE($G16,((Lists!L$24-$AA16)-MOD((Lists!L$24-$AA16),$Z16)))&gt;Lists!L$23)*(EDATE($G16,((Lists!L$24-$AA16)-MOD((Lists!L$24-$AA16),$Z16)))&lt;=Lists!L$21)*(EDATE($G16,((Lists!L$24-$AA16)-MOD((Lists!L$24-$AA16),$Z16)))&lt;=$AB16)+((((Lists!L$24-$AA16)-MOD((Lists!L$24-$AA16),$Z16))-$Z16)&gt;=0)*(EDATE($G16,(((Lists!L$24-$AA16)-MOD((Lists!L$24-$AA16),$Z16))-$Z16))&gt;Lists!L$23)*(EDATE($G16,(((Lists!L$24-$AA16)-MOD((Lists!L$24-$AA16),$Z16))-$Z16))&lt;=Lists!L$21)*(EDATE($G16,(((Lists!L$24-$AA16)-MOD((Lists!L$24-$AA16),$Z16))-$Z16))&lt;=$AB16)))))</f>
        <v>0</v>
      </c>
      <c r="T16" s="53" t="n">
        <f aca="false">IF(OR(N($E16)=0,$G16=""),0,$I16*IF($F16="Weekly",((Lists!M$21-MOD(Lists!M$21-$G16,7))&gt;=$G16)*((Lists!M$21-MOD(Lists!M$21-$G16,7))&lt;=$AB16),IF($F16="One-off",($G16&gt;Lists!M$23)*($G16&lt;=Lists!M$21),IF($F16="",0,(((Lists!M$24-$AA16)-MOD((Lists!M$24-$AA16),$Z16))&gt;=0)*(EDATE($G16,((Lists!M$24-$AA16)-MOD((Lists!M$24-$AA16),$Z16)))&gt;Lists!M$23)*(EDATE($G16,((Lists!M$24-$AA16)-MOD((Lists!M$24-$AA16),$Z16)))&lt;=Lists!M$21)*(EDATE($G16,((Lists!M$24-$AA16)-MOD((Lists!M$24-$AA16),$Z16)))&lt;=$AB16)+((((Lists!M$24-$AA16)-MOD((Lists!M$24-$AA16),$Z16))-$Z16)&gt;=0)*(EDATE($G16,(((Lists!M$24-$AA16)-MOD((Lists!M$24-$AA16),$Z16))-$Z16))&gt;Lists!M$23)*(EDATE($G16,(((Lists!M$24-$AA16)-MOD((Lists!M$24-$AA16),$Z16))-$Z16))&lt;=Lists!M$21)*(EDATE($G16,(((Lists!M$24-$AA16)-MOD((Lists!M$24-$AA16),$Z16))-$Z16))&lt;=$AB16)))))</f>
        <v>0</v>
      </c>
      <c r="U16" s="53" t="n">
        <f aca="false">IF(OR(N($E16)=0,$G16=""),0,$I16*IF($F16="Weekly",((Lists!N$21-MOD(Lists!N$21-$G16,7))&gt;=$G16)*((Lists!N$21-MOD(Lists!N$21-$G16,7))&lt;=$AB16),IF($F16="One-off",($G16&gt;Lists!N$23)*($G16&lt;=Lists!N$21),IF($F16="",0,(((Lists!N$24-$AA16)-MOD((Lists!N$24-$AA16),$Z16))&gt;=0)*(EDATE($G16,((Lists!N$24-$AA16)-MOD((Lists!N$24-$AA16),$Z16)))&gt;Lists!N$23)*(EDATE($G16,((Lists!N$24-$AA16)-MOD((Lists!N$24-$AA16),$Z16)))&lt;=Lists!N$21)*(EDATE($G16,((Lists!N$24-$AA16)-MOD((Lists!N$24-$AA16),$Z16)))&lt;=$AB16)+((((Lists!N$24-$AA16)-MOD((Lists!N$24-$AA16),$Z16))-$Z16)&gt;=0)*(EDATE($G16,(((Lists!N$24-$AA16)-MOD((Lists!N$24-$AA16),$Z16))-$Z16))&gt;Lists!N$23)*(EDATE($G16,(((Lists!N$24-$AA16)-MOD((Lists!N$24-$AA16),$Z16))-$Z16))&lt;=Lists!N$21)*(EDATE($G16,(((Lists!N$24-$AA16)-MOD((Lists!N$24-$AA16),$Z16))-$Z16))&lt;=$AB16)))))</f>
        <v>0</v>
      </c>
      <c r="V16" s="53" t="n">
        <f aca="false">IF(OR(N($E16)=0,$G16=""),0,$I16*IF($F16="Weekly",((Lists!O$21-MOD(Lists!O$21-$G16,7))&gt;=$G16)*((Lists!O$21-MOD(Lists!O$21-$G16,7))&lt;=$AB16),IF($F16="One-off",($G16&gt;Lists!O$23)*($G16&lt;=Lists!O$21),IF($F16="",0,(((Lists!O$24-$AA16)-MOD((Lists!O$24-$AA16),$Z16))&gt;=0)*(EDATE($G16,((Lists!O$24-$AA16)-MOD((Lists!O$24-$AA16),$Z16)))&gt;Lists!O$23)*(EDATE($G16,((Lists!O$24-$AA16)-MOD((Lists!O$24-$AA16),$Z16)))&lt;=Lists!O$21)*(EDATE($G16,((Lists!O$24-$AA16)-MOD((Lists!O$24-$AA16),$Z16)))&lt;=$AB16)+((((Lists!O$24-$AA16)-MOD((Lists!O$24-$AA16),$Z16))-$Z16)&gt;=0)*(EDATE($G16,(((Lists!O$24-$AA16)-MOD((Lists!O$24-$AA16),$Z16))-$Z16))&gt;Lists!O$23)*(EDATE($G16,(((Lists!O$24-$AA16)-MOD((Lists!O$24-$AA16),$Z16))-$Z16))&lt;=Lists!O$21)*(EDATE($G16,(((Lists!O$24-$AA16)-MOD((Lists!O$24-$AA16),$Z16))-$Z16))&lt;=$AB16)))))</f>
        <v>0</v>
      </c>
      <c r="W16" s="46" t="n">
        <f aca="false">SUM(J16:V16)</f>
        <v>0</v>
      </c>
      <c r="X16" s="2"/>
      <c r="Y16" s="104" t="n">
        <f aca="false">1</f>
        <v>1</v>
      </c>
      <c r="Z16" s="94" t="n">
        <f aca="false">IF(F16="Quarterly",3,IF(F16="Annually",12,1))</f>
        <v>1</v>
      </c>
      <c r="AA16" s="94" t="n">
        <f aca="false">IF(G16="",0,YEAR(G16)*12+MONTH(G16))</f>
        <v>0</v>
      </c>
      <c r="AB16" s="93" t="n">
        <f aca="false">IF(H16="",2958465,H16)</f>
        <v>2958465</v>
      </c>
      <c r="AC16" s="95" t="str">
        <f aca="false">IF(C16="","Other tax",C16)</f>
        <v>Other tax</v>
      </c>
    </row>
    <row r="17" customFormat="false" ht="15" hidden="false" customHeight="false" outlineLevel="0" collapsed="false">
      <c r="A17" s="87" t="n">
        <v>9</v>
      </c>
      <c r="B17" s="55"/>
      <c r="C17" s="55"/>
      <c r="D17" s="2"/>
      <c r="E17" s="88"/>
      <c r="F17" s="58"/>
      <c r="G17" s="90"/>
      <c r="H17" s="90"/>
      <c r="I17" s="92" t="n">
        <f aca="false">N(E17)*Y17</f>
        <v>0</v>
      </c>
      <c r="J17" s="53" t="n">
        <f aca="false">IF(OR(N($E17)=0,$G17=""),0,$I17*IF($F17="Weekly",((Lists!C$21-MOD(Lists!C$21-$G17,7))&gt;=$G17)*((Lists!C$21-MOD(Lists!C$21-$G17,7))&lt;=$AB17),IF($F17="One-off",($G17&gt;Lists!C$23)*($G17&lt;=Lists!C$21),IF($F17="",0,(((Lists!C$24-$AA17)-MOD((Lists!C$24-$AA17),$Z17))&gt;=0)*(EDATE($G17,((Lists!C$24-$AA17)-MOD((Lists!C$24-$AA17),$Z17)))&gt;Lists!C$23)*(EDATE($G17,((Lists!C$24-$AA17)-MOD((Lists!C$24-$AA17),$Z17)))&lt;=Lists!C$21)*(EDATE($G17,((Lists!C$24-$AA17)-MOD((Lists!C$24-$AA17),$Z17)))&lt;=$AB17)+((((Lists!C$24-$AA17)-MOD((Lists!C$24-$AA17),$Z17))-$Z17)&gt;=0)*(EDATE($G17,(((Lists!C$24-$AA17)-MOD((Lists!C$24-$AA17),$Z17))-$Z17))&gt;Lists!C$23)*(EDATE($G17,(((Lists!C$24-$AA17)-MOD((Lists!C$24-$AA17),$Z17))-$Z17))&lt;=Lists!C$21)*(EDATE($G17,(((Lists!C$24-$AA17)-MOD((Lists!C$24-$AA17),$Z17))-$Z17))&lt;=$AB17)))))</f>
        <v>0</v>
      </c>
      <c r="K17" s="53" t="n">
        <f aca="false">IF(OR(N($E17)=0,$G17=""),0,$I17*IF($F17="Weekly",((Lists!D$21-MOD(Lists!D$21-$G17,7))&gt;=$G17)*((Lists!D$21-MOD(Lists!D$21-$G17,7))&lt;=$AB17),IF($F17="One-off",($G17&gt;Lists!D$23)*($G17&lt;=Lists!D$21),IF($F17="",0,(((Lists!D$24-$AA17)-MOD((Lists!D$24-$AA17),$Z17))&gt;=0)*(EDATE($G17,((Lists!D$24-$AA17)-MOD((Lists!D$24-$AA17),$Z17)))&gt;Lists!D$23)*(EDATE($G17,((Lists!D$24-$AA17)-MOD((Lists!D$24-$AA17),$Z17)))&lt;=Lists!D$21)*(EDATE($G17,((Lists!D$24-$AA17)-MOD((Lists!D$24-$AA17),$Z17)))&lt;=$AB17)+((((Lists!D$24-$AA17)-MOD((Lists!D$24-$AA17),$Z17))-$Z17)&gt;=0)*(EDATE($G17,(((Lists!D$24-$AA17)-MOD((Lists!D$24-$AA17),$Z17))-$Z17))&gt;Lists!D$23)*(EDATE($G17,(((Lists!D$24-$AA17)-MOD((Lists!D$24-$AA17),$Z17))-$Z17))&lt;=Lists!D$21)*(EDATE($G17,(((Lists!D$24-$AA17)-MOD((Lists!D$24-$AA17),$Z17))-$Z17))&lt;=$AB17)))))</f>
        <v>0</v>
      </c>
      <c r="L17" s="53" t="n">
        <f aca="false">IF(OR(N($E17)=0,$G17=""),0,$I17*IF($F17="Weekly",((Lists!E$21-MOD(Lists!E$21-$G17,7))&gt;=$G17)*((Lists!E$21-MOD(Lists!E$21-$G17,7))&lt;=$AB17),IF($F17="One-off",($G17&gt;Lists!E$23)*($G17&lt;=Lists!E$21),IF($F17="",0,(((Lists!E$24-$AA17)-MOD((Lists!E$24-$AA17),$Z17))&gt;=0)*(EDATE($G17,((Lists!E$24-$AA17)-MOD((Lists!E$24-$AA17),$Z17)))&gt;Lists!E$23)*(EDATE($G17,((Lists!E$24-$AA17)-MOD((Lists!E$24-$AA17),$Z17)))&lt;=Lists!E$21)*(EDATE($G17,((Lists!E$24-$AA17)-MOD((Lists!E$24-$AA17),$Z17)))&lt;=$AB17)+((((Lists!E$24-$AA17)-MOD((Lists!E$24-$AA17),$Z17))-$Z17)&gt;=0)*(EDATE($G17,(((Lists!E$24-$AA17)-MOD((Lists!E$24-$AA17),$Z17))-$Z17))&gt;Lists!E$23)*(EDATE($G17,(((Lists!E$24-$AA17)-MOD((Lists!E$24-$AA17),$Z17))-$Z17))&lt;=Lists!E$21)*(EDATE($G17,(((Lists!E$24-$AA17)-MOD((Lists!E$24-$AA17),$Z17))-$Z17))&lt;=$AB17)))))</f>
        <v>0</v>
      </c>
      <c r="M17" s="53" t="n">
        <f aca="false">IF(OR(N($E17)=0,$G17=""),0,$I17*IF($F17="Weekly",((Lists!F$21-MOD(Lists!F$21-$G17,7))&gt;=$G17)*((Lists!F$21-MOD(Lists!F$21-$G17,7))&lt;=$AB17),IF($F17="One-off",($G17&gt;Lists!F$23)*($G17&lt;=Lists!F$21),IF($F17="",0,(((Lists!F$24-$AA17)-MOD((Lists!F$24-$AA17),$Z17))&gt;=0)*(EDATE($G17,((Lists!F$24-$AA17)-MOD((Lists!F$24-$AA17),$Z17)))&gt;Lists!F$23)*(EDATE($G17,((Lists!F$24-$AA17)-MOD((Lists!F$24-$AA17),$Z17)))&lt;=Lists!F$21)*(EDATE($G17,((Lists!F$24-$AA17)-MOD((Lists!F$24-$AA17),$Z17)))&lt;=$AB17)+((((Lists!F$24-$AA17)-MOD((Lists!F$24-$AA17),$Z17))-$Z17)&gt;=0)*(EDATE($G17,(((Lists!F$24-$AA17)-MOD((Lists!F$24-$AA17),$Z17))-$Z17))&gt;Lists!F$23)*(EDATE($G17,(((Lists!F$24-$AA17)-MOD((Lists!F$24-$AA17),$Z17))-$Z17))&lt;=Lists!F$21)*(EDATE($G17,(((Lists!F$24-$AA17)-MOD((Lists!F$24-$AA17),$Z17))-$Z17))&lt;=$AB17)))))</f>
        <v>0</v>
      </c>
      <c r="N17" s="53" t="n">
        <f aca="false">IF(OR(N($E17)=0,$G17=""),0,$I17*IF($F17="Weekly",((Lists!G$21-MOD(Lists!G$21-$G17,7))&gt;=$G17)*((Lists!G$21-MOD(Lists!G$21-$G17,7))&lt;=$AB17),IF($F17="One-off",($G17&gt;Lists!G$23)*($G17&lt;=Lists!G$21),IF($F17="",0,(((Lists!G$24-$AA17)-MOD((Lists!G$24-$AA17),$Z17))&gt;=0)*(EDATE($G17,((Lists!G$24-$AA17)-MOD((Lists!G$24-$AA17),$Z17)))&gt;Lists!G$23)*(EDATE($G17,((Lists!G$24-$AA17)-MOD((Lists!G$24-$AA17),$Z17)))&lt;=Lists!G$21)*(EDATE($G17,((Lists!G$24-$AA17)-MOD((Lists!G$24-$AA17),$Z17)))&lt;=$AB17)+((((Lists!G$24-$AA17)-MOD((Lists!G$24-$AA17),$Z17))-$Z17)&gt;=0)*(EDATE($G17,(((Lists!G$24-$AA17)-MOD((Lists!G$24-$AA17),$Z17))-$Z17))&gt;Lists!G$23)*(EDATE($G17,(((Lists!G$24-$AA17)-MOD((Lists!G$24-$AA17),$Z17))-$Z17))&lt;=Lists!G$21)*(EDATE($G17,(((Lists!G$24-$AA17)-MOD((Lists!G$24-$AA17),$Z17))-$Z17))&lt;=$AB17)))))</f>
        <v>0</v>
      </c>
      <c r="O17" s="53" t="n">
        <f aca="false">IF(OR(N($E17)=0,$G17=""),0,$I17*IF($F17="Weekly",((Lists!H$21-MOD(Lists!H$21-$G17,7))&gt;=$G17)*((Lists!H$21-MOD(Lists!H$21-$G17,7))&lt;=$AB17),IF($F17="One-off",($G17&gt;Lists!H$23)*($G17&lt;=Lists!H$21),IF($F17="",0,(((Lists!H$24-$AA17)-MOD((Lists!H$24-$AA17),$Z17))&gt;=0)*(EDATE($G17,((Lists!H$24-$AA17)-MOD((Lists!H$24-$AA17),$Z17)))&gt;Lists!H$23)*(EDATE($G17,((Lists!H$24-$AA17)-MOD((Lists!H$24-$AA17),$Z17)))&lt;=Lists!H$21)*(EDATE($G17,((Lists!H$24-$AA17)-MOD((Lists!H$24-$AA17),$Z17)))&lt;=$AB17)+((((Lists!H$24-$AA17)-MOD((Lists!H$24-$AA17),$Z17))-$Z17)&gt;=0)*(EDATE($G17,(((Lists!H$24-$AA17)-MOD((Lists!H$24-$AA17),$Z17))-$Z17))&gt;Lists!H$23)*(EDATE($G17,(((Lists!H$24-$AA17)-MOD((Lists!H$24-$AA17),$Z17))-$Z17))&lt;=Lists!H$21)*(EDATE($G17,(((Lists!H$24-$AA17)-MOD((Lists!H$24-$AA17),$Z17))-$Z17))&lt;=$AB17)))))</f>
        <v>0</v>
      </c>
      <c r="P17" s="53" t="n">
        <f aca="false">IF(OR(N($E17)=0,$G17=""),0,$I17*IF($F17="Weekly",((Lists!I$21-MOD(Lists!I$21-$G17,7))&gt;=$G17)*((Lists!I$21-MOD(Lists!I$21-$G17,7))&lt;=$AB17),IF($F17="One-off",($G17&gt;Lists!I$23)*($G17&lt;=Lists!I$21),IF($F17="",0,(((Lists!I$24-$AA17)-MOD((Lists!I$24-$AA17),$Z17))&gt;=0)*(EDATE($G17,((Lists!I$24-$AA17)-MOD((Lists!I$24-$AA17),$Z17)))&gt;Lists!I$23)*(EDATE($G17,((Lists!I$24-$AA17)-MOD((Lists!I$24-$AA17),$Z17)))&lt;=Lists!I$21)*(EDATE($G17,((Lists!I$24-$AA17)-MOD((Lists!I$24-$AA17),$Z17)))&lt;=$AB17)+((((Lists!I$24-$AA17)-MOD((Lists!I$24-$AA17),$Z17))-$Z17)&gt;=0)*(EDATE($G17,(((Lists!I$24-$AA17)-MOD((Lists!I$24-$AA17),$Z17))-$Z17))&gt;Lists!I$23)*(EDATE($G17,(((Lists!I$24-$AA17)-MOD((Lists!I$24-$AA17),$Z17))-$Z17))&lt;=Lists!I$21)*(EDATE($G17,(((Lists!I$24-$AA17)-MOD((Lists!I$24-$AA17),$Z17))-$Z17))&lt;=$AB17)))))</f>
        <v>0</v>
      </c>
      <c r="Q17" s="53" t="n">
        <f aca="false">IF(OR(N($E17)=0,$G17=""),0,$I17*IF($F17="Weekly",((Lists!J$21-MOD(Lists!J$21-$G17,7))&gt;=$G17)*((Lists!J$21-MOD(Lists!J$21-$G17,7))&lt;=$AB17),IF($F17="One-off",($G17&gt;Lists!J$23)*($G17&lt;=Lists!J$21),IF($F17="",0,(((Lists!J$24-$AA17)-MOD((Lists!J$24-$AA17),$Z17))&gt;=0)*(EDATE($G17,((Lists!J$24-$AA17)-MOD((Lists!J$24-$AA17),$Z17)))&gt;Lists!J$23)*(EDATE($G17,((Lists!J$24-$AA17)-MOD((Lists!J$24-$AA17),$Z17)))&lt;=Lists!J$21)*(EDATE($G17,((Lists!J$24-$AA17)-MOD((Lists!J$24-$AA17),$Z17)))&lt;=$AB17)+((((Lists!J$24-$AA17)-MOD((Lists!J$24-$AA17),$Z17))-$Z17)&gt;=0)*(EDATE($G17,(((Lists!J$24-$AA17)-MOD((Lists!J$24-$AA17),$Z17))-$Z17))&gt;Lists!J$23)*(EDATE($G17,(((Lists!J$24-$AA17)-MOD((Lists!J$24-$AA17),$Z17))-$Z17))&lt;=Lists!J$21)*(EDATE($G17,(((Lists!J$24-$AA17)-MOD((Lists!J$24-$AA17),$Z17))-$Z17))&lt;=$AB17)))))</f>
        <v>0</v>
      </c>
      <c r="R17" s="53" t="n">
        <f aca="false">IF(OR(N($E17)=0,$G17=""),0,$I17*IF($F17="Weekly",((Lists!K$21-MOD(Lists!K$21-$G17,7))&gt;=$G17)*((Lists!K$21-MOD(Lists!K$21-$G17,7))&lt;=$AB17),IF($F17="One-off",($G17&gt;Lists!K$23)*($G17&lt;=Lists!K$21),IF($F17="",0,(((Lists!K$24-$AA17)-MOD((Lists!K$24-$AA17),$Z17))&gt;=0)*(EDATE($G17,((Lists!K$24-$AA17)-MOD((Lists!K$24-$AA17),$Z17)))&gt;Lists!K$23)*(EDATE($G17,((Lists!K$24-$AA17)-MOD((Lists!K$24-$AA17),$Z17)))&lt;=Lists!K$21)*(EDATE($G17,((Lists!K$24-$AA17)-MOD((Lists!K$24-$AA17),$Z17)))&lt;=$AB17)+((((Lists!K$24-$AA17)-MOD((Lists!K$24-$AA17),$Z17))-$Z17)&gt;=0)*(EDATE($G17,(((Lists!K$24-$AA17)-MOD((Lists!K$24-$AA17),$Z17))-$Z17))&gt;Lists!K$23)*(EDATE($G17,(((Lists!K$24-$AA17)-MOD((Lists!K$24-$AA17),$Z17))-$Z17))&lt;=Lists!K$21)*(EDATE($G17,(((Lists!K$24-$AA17)-MOD((Lists!K$24-$AA17),$Z17))-$Z17))&lt;=$AB17)))))</f>
        <v>0</v>
      </c>
      <c r="S17" s="53" t="n">
        <f aca="false">IF(OR(N($E17)=0,$G17=""),0,$I17*IF($F17="Weekly",((Lists!L$21-MOD(Lists!L$21-$G17,7))&gt;=$G17)*((Lists!L$21-MOD(Lists!L$21-$G17,7))&lt;=$AB17),IF($F17="One-off",($G17&gt;Lists!L$23)*($G17&lt;=Lists!L$21),IF($F17="",0,(((Lists!L$24-$AA17)-MOD((Lists!L$24-$AA17),$Z17))&gt;=0)*(EDATE($G17,((Lists!L$24-$AA17)-MOD((Lists!L$24-$AA17),$Z17)))&gt;Lists!L$23)*(EDATE($G17,((Lists!L$24-$AA17)-MOD((Lists!L$24-$AA17),$Z17)))&lt;=Lists!L$21)*(EDATE($G17,((Lists!L$24-$AA17)-MOD((Lists!L$24-$AA17),$Z17)))&lt;=$AB17)+((((Lists!L$24-$AA17)-MOD((Lists!L$24-$AA17),$Z17))-$Z17)&gt;=0)*(EDATE($G17,(((Lists!L$24-$AA17)-MOD((Lists!L$24-$AA17),$Z17))-$Z17))&gt;Lists!L$23)*(EDATE($G17,(((Lists!L$24-$AA17)-MOD((Lists!L$24-$AA17),$Z17))-$Z17))&lt;=Lists!L$21)*(EDATE($G17,(((Lists!L$24-$AA17)-MOD((Lists!L$24-$AA17),$Z17))-$Z17))&lt;=$AB17)))))</f>
        <v>0</v>
      </c>
      <c r="T17" s="53" t="n">
        <f aca="false">IF(OR(N($E17)=0,$G17=""),0,$I17*IF($F17="Weekly",((Lists!M$21-MOD(Lists!M$21-$G17,7))&gt;=$G17)*((Lists!M$21-MOD(Lists!M$21-$G17,7))&lt;=$AB17),IF($F17="One-off",($G17&gt;Lists!M$23)*($G17&lt;=Lists!M$21),IF($F17="",0,(((Lists!M$24-$AA17)-MOD((Lists!M$24-$AA17),$Z17))&gt;=0)*(EDATE($G17,((Lists!M$24-$AA17)-MOD((Lists!M$24-$AA17),$Z17)))&gt;Lists!M$23)*(EDATE($G17,((Lists!M$24-$AA17)-MOD((Lists!M$24-$AA17),$Z17)))&lt;=Lists!M$21)*(EDATE($G17,((Lists!M$24-$AA17)-MOD((Lists!M$24-$AA17),$Z17)))&lt;=$AB17)+((((Lists!M$24-$AA17)-MOD((Lists!M$24-$AA17),$Z17))-$Z17)&gt;=0)*(EDATE($G17,(((Lists!M$24-$AA17)-MOD((Lists!M$24-$AA17),$Z17))-$Z17))&gt;Lists!M$23)*(EDATE($G17,(((Lists!M$24-$AA17)-MOD((Lists!M$24-$AA17),$Z17))-$Z17))&lt;=Lists!M$21)*(EDATE($G17,(((Lists!M$24-$AA17)-MOD((Lists!M$24-$AA17),$Z17))-$Z17))&lt;=$AB17)))))</f>
        <v>0</v>
      </c>
      <c r="U17" s="53" t="n">
        <f aca="false">IF(OR(N($E17)=0,$G17=""),0,$I17*IF($F17="Weekly",((Lists!N$21-MOD(Lists!N$21-$G17,7))&gt;=$G17)*((Lists!N$21-MOD(Lists!N$21-$G17,7))&lt;=$AB17),IF($F17="One-off",($G17&gt;Lists!N$23)*($G17&lt;=Lists!N$21),IF($F17="",0,(((Lists!N$24-$AA17)-MOD((Lists!N$24-$AA17),$Z17))&gt;=0)*(EDATE($G17,((Lists!N$24-$AA17)-MOD((Lists!N$24-$AA17),$Z17)))&gt;Lists!N$23)*(EDATE($G17,((Lists!N$24-$AA17)-MOD((Lists!N$24-$AA17),$Z17)))&lt;=Lists!N$21)*(EDATE($G17,((Lists!N$24-$AA17)-MOD((Lists!N$24-$AA17),$Z17)))&lt;=$AB17)+((((Lists!N$24-$AA17)-MOD((Lists!N$24-$AA17),$Z17))-$Z17)&gt;=0)*(EDATE($G17,(((Lists!N$24-$AA17)-MOD((Lists!N$24-$AA17),$Z17))-$Z17))&gt;Lists!N$23)*(EDATE($G17,(((Lists!N$24-$AA17)-MOD((Lists!N$24-$AA17),$Z17))-$Z17))&lt;=Lists!N$21)*(EDATE($G17,(((Lists!N$24-$AA17)-MOD((Lists!N$24-$AA17),$Z17))-$Z17))&lt;=$AB17)))))</f>
        <v>0</v>
      </c>
      <c r="V17" s="53" t="n">
        <f aca="false">IF(OR(N($E17)=0,$G17=""),0,$I17*IF($F17="Weekly",((Lists!O$21-MOD(Lists!O$21-$G17,7))&gt;=$G17)*((Lists!O$21-MOD(Lists!O$21-$G17,7))&lt;=$AB17),IF($F17="One-off",($G17&gt;Lists!O$23)*($G17&lt;=Lists!O$21),IF($F17="",0,(((Lists!O$24-$AA17)-MOD((Lists!O$24-$AA17),$Z17))&gt;=0)*(EDATE($G17,((Lists!O$24-$AA17)-MOD((Lists!O$24-$AA17),$Z17)))&gt;Lists!O$23)*(EDATE($G17,((Lists!O$24-$AA17)-MOD((Lists!O$24-$AA17),$Z17)))&lt;=Lists!O$21)*(EDATE($G17,((Lists!O$24-$AA17)-MOD((Lists!O$24-$AA17),$Z17)))&lt;=$AB17)+((((Lists!O$24-$AA17)-MOD((Lists!O$24-$AA17),$Z17))-$Z17)&gt;=0)*(EDATE($G17,(((Lists!O$24-$AA17)-MOD((Lists!O$24-$AA17),$Z17))-$Z17))&gt;Lists!O$23)*(EDATE($G17,(((Lists!O$24-$AA17)-MOD((Lists!O$24-$AA17),$Z17))-$Z17))&lt;=Lists!O$21)*(EDATE($G17,(((Lists!O$24-$AA17)-MOD((Lists!O$24-$AA17),$Z17))-$Z17))&lt;=$AB17)))))</f>
        <v>0</v>
      </c>
      <c r="W17" s="46" t="n">
        <f aca="false">SUM(J17:V17)</f>
        <v>0</v>
      </c>
      <c r="X17" s="2"/>
      <c r="Y17" s="104" t="n">
        <f aca="false">1</f>
        <v>1</v>
      </c>
      <c r="Z17" s="94" t="n">
        <f aca="false">IF(F17="Quarterly",3,IF(F17="Annually",12,1))</f>
        <v>1</v>
      </c>
      <c r="AA17" s="94" t="n">
        <f aca="false">IF(G17="",0,YEAR(G17)*12+MONTH(G17))</f>
        <v>0</v>
      </c>
      <c r="AB17" s="93" t="n">
        <f aca="false">IF(H17="",2958465,H17)</f>
        <v>2958465</v>
      </c>
      <c r="AC17" s="95" t="str">
        <f aca="false">IF(C17="","Other tax",C17)</f>
        <v>Other tax</v>
      </c>
    </row>
    <row r="18" customFormat="false" ht="15" hidden="false" customHeight="false" outlineLevel="0" collapsed="false">
      <c r="A18" s="87" t="n">
        <v>10</v>
      </c>
      <c r="B18" s="55"/>
      <c r="C18" s="55"/>
      <c r="D18" s="2"/>
      <c r="E18" s="88"/>
      <c r="F18" s="58"/>
      <c r="G18" s="90"/>
      <c r="H18" s="90"/>
      <c r="I18" s="92" t="n">
        <f aca="false">N(E18)*Y18</f>
        <v>0</v>
      </c>
      <c r="J18" s="53" t="n">
        <f aca="false">IF(OR(N($E18)=0,$G18=""),0,$I18*IF($F18="Weekly",((Lists!C$21-MOD(Lists!C$21-$G18,7))&gt;=$G18)*((Lists!C$21-MOD(Lists!C$21-$G18,7))&lt;=$AB18),IF($F18="One-off",($G18&gt;Lists!C$23)*($G18&lt;=Lists!C$21),IF($F18="",0,(((Lists!C$24-$AA18)-MOD((Lists!C$24-$AA18),$Z18))&gt;=0)*(EDATE($G18,((Lists!C$24-$AA18)-MOD((Lists!C$24-$AA18),$Z18)))&gt;Lists!C$23)*(EDATE($G18,((Lists!C$24-$AA18)-MOD((Lists!C$24-$AA18),$Z18)))&lt;=Lists!C$21)*(EDATE($G18,((Lists!C$24-$AA18)-MOD((Lists!C$24-$AA18),$Z18)))&lt;=$AB18)+((((Lists!C$24-$AA18)-MOD((Lists!C$24-$AA18),$Z18))-$Z18)&gt;=0)*(EDATE($G18,(((Lists!C$24-$AA18)-MOD((Lists!C$24-$AA18),$Z18))-$Z18))&gt;Lists!C$23)*(EDATE($G18,(((Lists!C$24-$AA18)-MOD((Lists!C$24-$AA18),$Z18))-$Z18))&lt;=Lists!C$21)*(EDATE($G18,(((Lists!C$24-$AA18)-MOD((Lists!C$24-$AA18),$Z18))-$Z18))&lt;=$AB18)))))</f>
        <v>0</v>
      </c>
      <c r="K18" s="53" t="n">
        <f aca="false">IF(OR(N($E18)=0,$G18=""),0,$I18*IF($F18="Weekly",((Lists!D$21-MOD(Lists!D$21-$G18,7))&gt;=$G18)*((Lists!D$21-MOD(Lists!D$21-$G18,7))&lt;=$AB18),IF($F18="One-off",($G18&gt;Lists!D$23)*($G18&lt;=Lists!D$21),IF($F18="",0,(((Lists!D$24-$AA18)-MOD((Lists!D$24-$AA18),$Z18))&gt;=0)*(EDATE($G18,((Lists!D$24-$AA18)-MOD((Lists!D$24-$AA18),$Z18)))&gt;Lists!D$23)*(EDATE($G18,((Lists!D$24-$AA18)-MOD((Lists!D$24-$AA18),$Z18)))&lt;=Lists!D$21)*(EDATE($G18,((Lists!D$24-$AA18)-MOD((Lists!D$24-$AA18),$Z18)))&lt;=$AB18)+((((Lists!D$24-$AA18)-MOD((Lists!D$24-$AA18),$Z18))-$Z18)&gt;=0)*(EDATE($G18,(((Lists!D$24-$AA18)-MOD((Lists!D$24-$AA18),$Z18))-$Z18))&gt;Lists!D$23)*(EDATE($G18,(((Lists!D$24-$AA18)-MOD((Lists!D$24-$AA18),$Z18))-$Z18))&lt;=Lists!D$21)*(EDATE($G18,(((Lists!D$24-$AA18)-MOD((Lists!D$24-$AA18),$Z18))-$Z18))&lt;=$AB18)))))</f>
        <v>0</v>
      </c>
      <c r="L18" s="53" t="n">
        <f aca="false">IF(OR(N($E18)=0,$G18=""),0,$I18*IF($F18="Weekly",((Lists!E$21-MOD(Lists!E$21-$G18,7))&gt;=$G18)*((Lists!E$21-MOD(Lists!E$21-$G18,7))&lt;=$AB18),IF($F18="One-off",($G18&gt;Lists!E$23)*($G18&lt;=Lists!E$21),IF($F18="",0,(((Lists!E$24-$AA18)-MOD((Lists!E$24-$AA18),$Z18))&gt;=0)*(EDATE($G18,((Lists!E$24-$AA18)-MOD((Lists!E$24-$AA18),$Z18)))&gt;Lists!E$23)*(EDATE($G18,((Lists!E$24-$AA18)-MOD((Lists!E$24-$AA18),$Z18)))&lt;=Lists!E$21)*(EDATE($G18,((Lists!E$24-$AA18)-MOD((Lists!E$24-$AA18),$Z18)))&lt;=$AB18)+((((Lists!E$24-$AA18)-MOD((Lists!E$24-$AA18),$Z18))-$Z18)&gt;=0)*(EDATE($G18,(((Lists!E$24-$AA18)-MOD((Lists!E$24-$AA18),$Z18))-$Z18))&gt;Lists!E$23)*(EDATE($G18,(((Lists!E$24-$AA18)-MOD((Lists!E$24-$AA18),$Z18))-$Z18))&lt;=Lists!E$21)*(EDATE($G18,(((Lists!E$24-$AA18)-MOD((Lists!E$24-$AA18),$Z18))-$Z18))&lt;=$AB18)))))</f>
        <v>0</v>
      </c>
      <c r="M18" s="53" t="n">
        <f aca="false">IF(OR(N($E18)=0,$G18=""),0,$I18*IF($F18="Weekly",((Lists!F$21-MOD(Lists!F$21-$G18,7))&gt;=$G18)*((Lists!F$21-MOD(Lists!F$21-$G18,7))&lt;=$AB18),IF($F18="One-off",($G18&gt;Lists!F$23)*($G18&lt;=Lists!F$21),IF($F18="",0,(((Lists!F$24-$AA18)-MOD((Lists!F$24-$AA18),$Z18))&gt;=0)*(EDATE($G18,((Lists!F$24-$AA18)-MOD((Lists!F$24-$AA18),$Z18)))&gt;Lists!F$23)*(EDATE($G18,((Lists!F$24-$AA18)-MOD((Lists!F$24-$AA18),$Z18)))&lt;=Lists!F$21)*(EDATE($G18,((Lists!F$24-$AA18)-MOD((Lists!F$24-$AA18),$Z18)))&lt;=$AB18)+((((Lists!F$24-$AA18)-MOD((Lists!F$24-$AA18),$Z18))-$Z18)&gt;=0)*(EDATE($G18,(((Lists!F$24-$AA18)-MOD((Lists!F$24-$AA18),$Z18))-$Z18))&gt;Lists!F$23)*(EDATE($G18,(((Lists!F$24-$AA18)-MOD((Lists!F$24-$AA18),$Z18))-$Z18))&lt;=Lists!F$21)*(EDATE($G18,(((Lists!F$24-$AA18)-MOD((Lists!F$24-$AA18),$Z18))-$Z18))&lt;=$AB18)))))</f>
        <v>0</v>
      </c>
      <c r="N18" s="53" t="n">
        <f aca="false">IF(OR(N($E18)=0,$G18=""),0,$I18*IF($F18="Weekly",((Lists!G$21-MOD(Lists!G$21-$G18,7))&gt;=$G18)*((Lists!G$21-MOD(Lists!G$21-$G18,7))&lt;=$AB18),IF($F18="One-off",($G18&gt;Lists!G$23)*($G18&lt;=Lists!G$21),IF($F18="",0,(((Lists!G$24-$AA18)-MOD((Lists!G$24-$AA18),$Z18))&gt;=0)*(EDATE($G18,((Lists!G$24-$AA18)-MOD((Lists!G$24-$AA18),$Z18)))&gt;Lists!G$23)*(EDATE($G18,((Lists!G$24-$AA18)-MOD((Lists!G$24-$AA18),$Z18)))&lt;=Lists!G$21)*(EDATE($G18,((Lists!G$24-$AA18)-MOD((Lists!G$24-$AA18),$Z18)))&lt;=$AB18)+((((Lists!G$24-$AA18)-MOD((Lists!G$24-$AA18),$Z18))-$Z18)&gt;=0)*(EDATE($G18,(((Lists!G$24-$AA18)-MOD((Lists!G$24-$AA18),$Z18))-$Z18))&gt;Lists!G$23)*(EDATE($G18,(((Lists!G$24-$AA18)-MOD((Lists!G$24-$AA18),$Z18))-$Z18))&lt;=Lists!G$21)*(EDATE($G18,(((Lists!G$24-$AA18)-MOD((Lists!G$24-$AA18),$Z18))-$Z18))&lt;=$AB18)))))</f>
        <v>0</v>
      </c>
      <c r="O18" s="53" t="n">
        <f aca="false">IF(OR(N($E18)=0,$G18=""),0,$I18*IF($F18="Weekly",((Lists!H$21-MOD(Lists!H$21-$G18,7))&gt;=$G18)*((Lists!H$21-MOD(Lists!H$21-$G18,7))&lt;=$AB18),IF($F18="One-off",($G18&gt;Lists!H$23)*($G18&lt;=Lists!H$21),IF($F18="",0,(((Lists!H$24-$AA18)-MOD((Lists!H$24-$AA18),$Z18))&gt;=0)*(EDATE($G18,((Lists!H$24-$AA18)-MOD((Lists!H$24-$AA18),$Z18)))&gt;Lists!H$23)*(EDATE($G18,((Lists!H$24-$AA18)-MOD((Lists!H$24-$AA18),$Z18)))&lt;=Lists!H$21)*(EDATE($G18,((Lists!H$24-$AA18)-MOD((Lists!H$24-$AA18),$Z18)))&lt;=$AB18)+((((Lists!H$24-$AA18)-MOD((Lists!H$24-$AA18),$Z18))-$Z18)&gt;=0)*(EDATE($G18,(((Lists!H$24-$AA18)-MOD((Lists!H$24-$AA18),$Z18))-$Z18))&gt;Lists!H$23)*(EDATE($G18,(((Lists!H$24-$AA18)-MOD((Lists!H$24-$AA18),$Z18))-$Z18))&lt;=Lists!H$21)*(EDATE($G18,(((Lists!H$24-$AA18)-MOD((Lists!H$24-$AA18),$Z18))-$Z18))&lt;=$AB18)))))</f>
        <v>0</v>
      </c>
      <c r="P18" s="53" t="n">
        <f aca="false">IF(OR(N($E18)=0,$G18=""),0,$I18*IF($F18="Weekly",((Lists!I$21-MOD(Lists!I$21-$G18,7))&gt;=$G18)*((Lists!I$21-MOD(Lists!I$21-$G18,7))&lt;=$AB18),IF($F18="One-off",($G18&gt;Lists!I$23)*($G18&lt;=Lists!I$21),IF($F18="",0,(((Lists!I$24-$AA18)-MOD((Lists!I$24-$AA18),$Z18))&gt;=0)*(EDATE($G18,((Lists!I$24-$AA18)-MOD((Lists!I$24-$AA18),$Z18)))&gt;Lists!I$23)*(EDATE($G18,((Lists!I$24-$AA18)-MOD((Lists!I$24-$AA18),$Z18)))&lt;=Lists!I$21)*(EDATE($G18,((Lists!I$24-$AA18)-MOD((Lists!I$24-$AA18),$Z18)))&lt;=$AB18)+((((Lists!I$24-$AA18)-MOD((Lists!I$24-$AA18),$Z18))-$Z18)&gt;=0)*(EDATE($G18,(((Lists!I$24-$AA18)-MOD((Lists!I$24-$AA18),$Z18))-$Z18))&gt;Lists!I$23)*(EDATE($G18,(((Lists!I$24-$AA18)-MOD((Lists!I$24-$AA18),$Z18))-$Z18))&lt;=Lists!I$21)*(EDATE($G18,(((Lists!I$24-$AA18)-MOD((Lists!I$24-$AA18),$Z18))-$Z18))&lt;=$AB18)))))</f>
        <v>0</v>
      </c>
      <c r="Q18" s="53" t="n">
        <f aca="false">IF(OR(N($E18)=0,$G18=""),0,$I18*IF($F18="Weekly",((Lists!J$21-MOD(Lists!J$21-$G18,7))&gt;=$G18)*((Lists!J$21-MOD(Lists!J$21-$G18,7))&lt;=$AB18),IF($F18="One-off",($G18&gt;Lists!J$23)*($G18&lt;=Lists!J$21),IF($F18="",0,(((Lists!J$24-$AA18)-MOD((Lists!J$24-$AA18),$Z18))&gt;=0)*(EDATE($G18,((Lists!J$24-$AA18)-MOD((Lists!J$24-$AA18),$Z18)))&gt;Lists!J$23)*(EDATE($G18,((Lists!J$24-$AA18)-MOD((Lists!J$24-$AA18),$Z18)))&lt;=Lists!J$21)*(EDATE($G18,((Lists!J$24-$AA18)-MOD((Lists!J$24-$AA18),$Z18)))&lt;=$AB18)+((((Lists!J$24-$AA18)-MOD((Lists!J$24-$AA18),$Z18))-$Z18)&gt;=0)*(EDATE($G18,(((Lists!J$24-$AA18)-MOD((Lists!J$24-$AA18),$Z18))-$Z18))&gt;Lists!J$23)*(EDATE($G18,(((Lists!J$24-$AA18)-MOD((Lists!J$24-$AA18),$Z18))-$Z18))&lt;=Lists!J$21)*(EDATE($G18,(((Lists!J$24-$AA18)-MOD((Lists!J$24-$AA18),$Z18))-$Z18))&lt;=$AB18)))))</f>
        <v>0</v>
      </c>
      <c r="R18" s="53" t="n">
        <f aca="false">IF(OR(N($E18)=0,$G18=""),0,$I18*IF($F18="Weekly",((Lists!K$21-MOD(Lists!K$21-$G18,7))&gt;=$G18)*((Lists!K$21-MOD(Lists!K$21-$G18,7))&lt;=$AB18),IF($F18="One-off",($G18&gt;Lists!K$23)*($G18&lt;=Lists!K$21),IF($F18="",0,(((Lists!K$24-$AA18)-MOD((Lists!K$24-$AA18),$Z18))&gt;=0)*(EDATE($G18,((Lists!K$24-$AA18)-MOD((Lists!K$24-$AA18),$Z18)))&gt;Lists!K$23)*(EDATE($G18,((Lists!K$24-$AA18)-MOD((Lists!K$24-$AA18),$Z18)))&lt;=Lists!K$21)*(EDATE($G18,((Lists!K$24-$AA18)-MOD((Lists!K$24-$AA18),$Z18)))&lt;=$AB18)+((((Lists!K$24-$AA18)-MOD((Lists!K$24-$AA18),$Z18))-$Z18)&gt;=0)*(EDATE($G18,(((Lists!K$24-$AA18)-MOD((Lists!K$24-$AA18),$Z18))-$Z18))&gt;Lists!K$23)*(EDATE($G18,(((Lists!K$24-$AA18)-MOD((Lists!K$24-$AA18),$Z18))-$Z18))&lt;=Lists!K$21)*(EDATE($G18,(((Lists!K$24-$AA18)-MOD((Lists!K$24-$AA18),$Z18))-$Z18))&lt;=$AB18)))))</f>
        <v>0</v>
      </c>
      <c r="S18" s="53" t="n">
        <f aca="false">IF(OR(N($E18)=0,$G18=""),0,$I18*IF($F18="Weekly",((Lists!L$21-MOD(Lists!L$21-$G18,7))&gt;=$G18)*((Lists!L$21-MOD(Lists!L$21-$G18,7))&lt;=$AB18),IF($F18="One-off",($G18&gt;Lists!L$23)*($G18&lt;=Lists!L$21),IF($F18="",0,(((Lists!L$24-$AA18)-MOD((Lists!L$24-$AA18),$Z18))&gt;=0)*(EDATE($G18,((Lists!L$24-$AA18)-MOD((Lists!L$24-$AA18),$Z18)))&gt;Lists!L$23)*(EDATE($G18,((Lists!L$24-$AA18)-MOD((Lists!L$24-$AA18),$Z18)))&lt;=Lists!L$21)*(EDATE($G18,((Lists!L$24-$AA18)-MOD((Lists!L$24-$AA18),$Z18)))&lt;=$AB18)+((((Lists!L$24-$AA18)-MOD((Lists!L$24-$AA18),$Z18))-$Z18)&gt;=0)*(EDATE($G18,(((Lists!L$24-$AA18)-MOD((Lists!L$24-$AA18),$Z18))-$Z18))&gt;Lists!L$23)*(EDATE($G18,(((Lists!L$24-$AA18)-MOD((Lists!L$24-$AA18),$Z18))-$Z18))&lt;=Lists!L$21)*(EDATE($G18,(((Lists!L$24-$AA18)-MOD((Lists!L$24-$AA18),$Z18))-$Z18))&lt;=$AB18)))))</f>
        <v>0</v>
      </c>
      <c r="T18" s="53" t="n">
        <f aca="false">IF(OR(N($E18)=0,$G18=""),0,$I18*IF($F18="Weekly",((Lists!M$21-MOD(Lists!M$21-$G18,7))&gt;=$G18)*((Lists!M$21-MOD(Lists!M$21-$G18,7))&lt;=$AB18),IF($F18="One-off",($G18&gt;Lists!M$23)*($G18&lt;=Lists!M$21),IF($F18="",0,(((Lists!M$24-$AA18)-MOD((Lists!M$24-$AA18),$Z18))&gt;=0)*(EDATE($G18,((Lists!M$24-$AA18)-MOD((Lists!M$24-$AA18),$Z18)))&gt;Lists!M$23)*(EDATE($G18,((Lists!M$24-$AA18)-MOD((Lists!M$24-$AA18),$Z18)))&lt;=Lists!M$21)*(EDATE($G18,((Lists!M$24-$AA18)-MOD((Lists!M$24-$AA18),$Z18)))&lt;=$AB18)+((((Lists!M$24-$AA18)-MOD((Lists!M$24-$AA18),$Z18))-$Z18)&gt;=0)*(EDATE($G18,(((Lists!M$24-$AA18)-MOD((Lists!M$24-$AA18),$Z18))-$Z18))&gt;Lists!M$23)*(EDATE($G18,(((Lists!M$24-$AA18)-MOD((Lists!M$24-$AA18),$Z18))-$Z18))&lt;=Lists!M$21)*(EDATE($G18,(((Lists!M$24-$AA18)-MOD((Lists!M$24-$AA18),$Z18))-$Z18))&lt;=$AB18)))))</f>
        <v>0</v>
      </c>
      <c r="U18" s="53" t="n">
        <f aca="false">IF(OR(N($E18)=0,$G18=""),0,$I18*IF($F18="Weekly",((Lists!N$21-MOD(Lists!N$21-$G18,7))&gt;=$G18)*((Lists!N$21-MOD(Lists!N$21-$G18,7))&lt;=$AB18),IF($F18="One-off",($G18&gt;Lists!N$23)*($G18&lt;=Lists!N$21),IF($F18="",0,(((Lists!N$24-$AA18)-MOD((Lists!N$24-$AA18),$Z18))&gt;=0)*(EDATE($G18,((Lists!N$24-$AA18)-MOD((Lists!N$24-$AA18),$Z18)))&gt;Lists!N$23)*(EDATE($G18,((Lists!N$24-$AA18)-MOD((Lists!N$24-$AA18),$Z18)))&lt;=Lists!N$21)*(EDATE($G18,((Lists!N$24-$AA18)-MOD((Lists!N$24-$AA18),$Z18)))&lt;=$AB18)+((((Lists!N$24-$AA18)-MOD((Lists!N$24-$AA18),$Z18))-$Z18)&gt;=0)*(EDATE($G18,(((Lists!N$24-$AA18)-MOD((Lists!N$24-$AA18),$Z18))-$Z18))&gt;Lists!N$23)*(EDATE($G18,(((Lists!N$24-$AA18)-MOD((Lists!N$24-$AA18),$Z18))-$Z18))&lt;=Lists!N$21)*(EDATE($G18,(((Lists!N$24-$AA18)-MOD((Lists!N$24-$AA18),$Z18))-$Z18))&lt;=$AB18)))))</f>
        <v>0</v>
      </c>
      <c r="V18" s="53" t="n">
        <f aca="false">IF(OR(N($E18)=0,$G18=""),0,$I18*IF($F18="Weekly",((Lists!O$21-MOD(Lists!O$21-$G18,7))&gt;=$G18)*((Lists!O$21-MOD(Lists!O$21-$G18,7))&lt;=$AB18),IF($F18="One-off",($G18&gt;Lists!O$23)*($G18&lt;=Lists!O$21),IF($F18="",0,(((Lists!O$24-$AA18)-MOD((Lists!O$24-$AA18),$Z18))&gt;=0)*(EDATE($G18,((Lists!O$24-$AA18)-MOD((Lists!O$24-$AA18),$Z18)))&gt;Lists!O$23)*(EDATE($G18,((Lists!O$24-$AA18)-MOD((Lists!O$24-$AA18),$Z18)))&lt;=Lists!O$21)*(EDATE($G18,((Lists!O$24-$AA18)-MOD((Lists!O$24-$AA18),$Z18)))&lt;=$AB18)+((((Lists!O$24-$AA18)-MOD((Lists!O$24-$AA18),$Z18))-$Z18)&gt;=0)*(EDATE($G18,(((Lists!O$24-$AA18)-MOD((Lists!O$24-$AA18),$Z18))-$Z18))&gt;Lists!O$23)*(EDATE($G18,(((Lists!O$24-$AA18)-MOD((Lists!O$24-$AA18),$Z18))-$Z18))&lt;=Lists!O$21)*(EDATE($G18,(((Lists!O$24-$AA18)-MOD((Lists!O$24-$AA18),$Z18))-$Z18))&lt;=$AB18)))))</f>
        <v>0</v>
      </c>
      <c r="W18" s="46" t="n">
        <f aca="false">SUM(J18:V18)</f>
        <v>0</v>
      </c>
      <c r="X18" s="2"/>
      <c r="Y18" s="104" t="n">
        <f aca="false">1</f>
        <v>1</v>
      </c>
      <c r="Z18" s="94" t="n">
        <f aca="false">IF(F18="Quarterly",3,IF(F18="Annually",12,1))</f>
        <v>1</v>
      </c>
      <c r="AA18" s="94" t="n">
        <f aca="false">IF(G18="",0,YEAR(G18)*12+MONTH(G18))</f>
        <v>0</v>
      </c>
      <c r="AB18" s="93" t="n">
        <f aca="false">IF(H18="",2958465,H18)</f>
        <v>2958465</v>
      </c>
      <c r="AC18" s="95" t="str">
        <f aca="false">IF(C18="","Other tax",C18)</f>
        <v>Other tax</v>
      </c>
    </row>
    <row r="19" customFormat="false" ht="15" hidden="false" customHeight="false" outlineLevel="0" collapsed="false">
      <c r="A19" s="87" t="n">
        <v>11</v>
      </c>
      <c r="B19" s="55"/>
      <c r="C19" s="55"/>
      <c r="D19" s="2"/>
      <c r="E19" s="88"/>
      <c r="F19" s="58"/>
      <c r="G19" s="90"/>
      <c r="H19" s="90"/>
      <c r="I19" s="92" t="n">
        <f aca="false">N(E19)*Y19</f>
        <v>0</v>
      </c>
      <c r="J19" s="53" t="n">
        <f aca="false">IF(OR(N($E19)=0,$G19=""),0,$I19*IF($F19="Weekly",((Lists!C$21-MOD(Lists!C$21-$G19,7))&gt;=$G19)*((Lists!C$21-MOD(Lists!C$21-$G19,7))&lt;=$AB19),IF($F19="One-off",($G19&gt;Lists!C$23)*($G19&lt;=Lists!C$21),IF($F19="",0,(((Lists!C$24-$AA19)-MOD((Lists!C$24-$AA19),$Z19))&gt;=0)*(EDATE($G19,((Lists!C$24-$AA19)-MOD((Lists!C$24-$AA19),$Z19)))&gt;Lists!C$23)*(EDATE($G19,((Lists!C$24-$AA19)-MOD((Lists!C$24-$AA19),$Z19)))&lt;=Lists!C$21)*(EDATE($G19,((Lists!C$24-$AA19)-MOD((Lists!C$24-$AA19),$Z19)))&lt;=$AB19)+((((Lists!C$24-$AA19)-MOD((Lists!C$24-$AA19),$Z19))-$Z19)&gt;=0)*(EDATE($G19,(((Lists!C$24-$AA19)-MOD((Lists!C$24-$AA19),$Z19))-$Z19))&gt;Lists!C$23)*(EDATE($G19,(((Lists!C$24-$AA19)-MOD((Lists!C$24-$AA19),$Z19))-$Z19))&lt;=Lists!C$21)*(EDATE($G19,(((Lists!C$24-$AA19)-MOD((Lists!C$24-$AA19),$Z19))-$Z19))&lt;=$AB19)))))</f>
        <v>0</v>
      </c>
      <c r="K19" s="53" t="n">
        <f aca="false">IF(OR(N($E19)=0,$G19=""),0,$I19*IF($F19="Weekly",((Lists!D$21-MOD(Lists!D$21-$G19,7))&gt;=$G19)*((Lists!D$21-MOD(Lists!D$21-$G19,7))&lt;=$AB19),IF($F19="One-off",($G19&gt;Lists!D$23)*($G19&lt;=Lists!D$21),IF($F19="",0,(((Lists!D$24-$AA19)-MOD((Lists!D$24-$AA19),$Z19))&gt;=0)*(EDATE($G19,((Lists!D$24-$AA19)-MOD((Lists!D$24-$AA19),$Z19)))&gt;Lists!D$23)*(EDATE($G19,((Lists!D$24-$AA19)-MOD((Lists!D$24-$AA19),$Z19)))&lt;=Lists!D$21)*(EDATE($G19,((Lists!D$24-$AA19)-MOD((Lists!D$24-$AA19),$Z19)))&lt;=$AB19)+((((Lists!D$24-$AA19)-MOD((Lists!D$24-$AA19),$Z19))-$Z19)&gt;=0)*(EDATE($G19,(((Lists!D$24-$AA19)-MOD((Lists!D$24-$AA19),$Z19))-$Z19))&gt;Lists!D$23)*(EDATE($G19,(((Lists!D$24-$AA19)-MOD((Lists!D$24-$AA19),$Z19))-$Z19))&lt;=Lists!D$21)*(EDATE($G19,(((Lists!D$24-$AA19)-MOD((Lists!D$24-$AA19),$Z19))-$Z19))&lt;=$AB19)))))</f>
        <v>0</v>
      </c>
      <c r="L19" s="53" t="n">
        <f aca="false">IF(OR(N($E19)=0,$G19=""),0,$I19*IF($F19="Weekly",((Lists!E$21-MOD(Lists!E$21-$G19,7))&gt;=$G19)*((Lists!E$21-MOD(Lists!E$21-$G19,7))&lt;=$AB19),IF($F19="One-off",($G19&gt;Lists!E$23)*($G19&lt;=Lists!E$21),IF($F19="",0,(((Lists!E$24-$AA19)-MOD((Lists!E$24-$AA19),$Z19))&gt;=0)*(EDATE($G19,((Lists!E$24-$AA19)-MOD((Lists!E$24-$AA19),$Z19)))&gt;Lists!E$23)*(EDATE($G19,((Lists!E$24-$AA19)-MOD((Lists!E$24-$AA19),$Z19)))&lt;=Lists!E$21)*(EDATE($G19,((Lists!E$24-$AA19)-MOD((Lists!E$24-$AA19),$Z19)))&lt;=$AB19)+((((Lists!E$24-$AA19)-MOD((Lists!E$24-$AA19),$Z19))-$Z19)&gt;=0)*(EDATE($G19,(((Lists!E$24-$AA19)-MOD((Lists!E$24-$AA19),$Z19))-$Z19))&gt;Lists!E$23)*(EDATE($G19,(((Lists!E$24-$AA19)-MOD((Lists!E$24-$AA19),$Z19))-$Z19))&lt;=Lists!E$21)*(EDATE($G19,(((Lists!E$24-$AA19)-MOD((Lists!E$24-$AA19),$Z19))-$Z19))&lt;=$AB19)))))</f>
        <v>0</v>
      </c>
      <c r="M19" s="53" t="n">
        <f aca="false">IF(OR(N($E19)=0,$G19=""),0,$I19*IF($F19="Weekly",((Lists!F$21-MOD(Lists!F$21-$G19,7))&gt;=$G19)*((Lists!F$21-MOD(Lists!F$21-$G19,7))&lt;=$AB19),IF($F19="One-off",($G19&gt;Lists!F$23)*($G19&lt;=Lists!F$21),IF($F19="",0,(((Lists!F$24-$AA19)-MOD((Lists!F$24-$AA19),$Z19))&gt;=0)*(EDATE($G19,((Lists!F$24-$AA19)-MOD((Lists!F$24-$AA19),$Z19)))&gt;Lists!F$23)*(EDATE($G19,((Lists!F$24-$AA19)-MOD((Lists!F$24-$AA19),$Z19)))&lt;=Lists!F$21)*(EDATE($G19,((Lists!F$24-$AA19)-MOD((Lists!F$24-$AA19),$Z19)))&lt;=$AB19)+((((Lists!F$24-$AA19)-MOD((Lists!F$24-$AA19),$Z19))-$Z19)&gt;=0)*(EDATE($G19,(((Lists!F$24-$AA19)-MOD((Lists!F$24-$AA19),$Z19))-$Z19))&gt;Lists!F$23)*(EDATE($G19,(((Lists!F$24-$AA19)-MOD((Lists!F$24-$AA19),$Z19))-$Z19))&lt;=Lists!F$21)*(EDATE($G19,(((Lists!F$24-$AA19)-MOD((Lists!F$24-$AA19),$Z19))-$Z19))&lt;=$AB19)))))</f>
        <v>0</v>
      </c>
      <c r="N19" s="53" t="n">
        <f aca="false">IF(OR(N($E19)=0,$G19=""),0,$I19*IF($F19="Weekly",((Lists!G$21-MOD(Lists!G$21-$G19,7))&gt;=$G19)*((Lists!G$21-MOD(Lists!G$21-$G19,7))&lt;=$AB19),IF($F19="One-off",($G19&gt;Lists!G$23)*($G19&lt;=Lists!G$21),IF($F19="",0,(((Lists!G$24-$AA19)-MOD((Lists!G$24-$AA19),$Z19))&gt;=0)*(EDATE($G19,((Lists!G$24-$AA19)-MOD((Lists!G$24-$AA19),$Z19)))&gt;Lists!G$23)*(EDATE($G19,((Lists!G$24-$AA19)-MOD((Lists!G$24-$AA19),$Z19)))&lt;=Lists!G$21)*(EDATE($G19,((Lists!G$24-$AA19)-MOD((Lists!G$24-$AA19),$Z19)))&lt;=$AB19)+((((Lists!G$24-$AA19)-MOD((Lists!G$24-$AA19),$Z19))-$Z19)&gt;=0)*(EDATE($G19,(((Lists!G$24-$AA19)-MOD((Lists!G$24-$AA19),$Z19))-$Z19))&gt;Lists!G$23)*(EDATE($G19,(((Lists!G$24-$AA19)-MOD((Lists!G$24-$AA19),$Z19))-$Z19))&lt;=Lists!G$21)*(EDATE($G19,(((Lists!G$24-$AA19)-MOD((Lists!G$24-$AA19),$Z19))-$Z19))&lt;=$AB19)))))</f>
        <v>0</v>
      </c>
      <c r="O19" s="53" t="n">
        <f aca="false">IF(OR(N($E19)=0,$G19=""),0,$I19*IF($F19="Weekly",((Lists!H$21-MOD(Lists!H$21-$G19,7))&gt;=$G19)*((Lists!H$21-MOD(Lists!H$21-$G19,7))&lt;=$AB19),IF($F19="One-off",($G19&gt;Lists!H$23)*($G19&lt;=Lists!H$21),IF($F19="",0,(((Lists!H$24-$AA19)-MOD((Lists!H$24-$AA19),$Z19))&gt;=0)*(EDATE($G19,((Lists!H$24-$AA19)-MOD((Lists!H$24-$AA19),$Z19)))&gt;Lists!H$23)*(EDATE($G19,((Lists!H$24-$AA19)-MOD((Lists!H$24-$AA19),$Z19)))&lt;=Lists!H$21)*(EDATE($G19,((Lists!H$24-$AA19)-MOD((Lists!H$24-$AA19),$Z19)))&lt;=$AB19)+((((Lists!H$24-$AA19)-MOD((Lists!H$24-$AA19),$Z19))-$Z19)&gt;=0)*(EDATE($G19,(((Lists!H$24-$AA19)-MOD((Lists!H$24-$AA19),$Z19))-$Z19))&gt;Lists!H$23)*(EDATE($G19,(((Lists!H$24-$AA19)-MOD((Lists!H$24-$AA19),$Z19))-$Z19))&lt;=Lists!H$21)*(EDATE($G19,(((Lists!H$24-$AA19)-MOD((Lists!H$24-$AA19),$Z19))-$Z19))&lt;=$AB19)))))</f>
        <v>0</v>
      </c>
      <c r="P19" s="53" t="n">
        <f aca="false">IF(OR(N($E19)=0,$G19=""),0,$I19*IF($F19="Weekly",((Lists!I$21-MOD(Lists!I$21-$G19,7))&gt;=$G19)*((Lists!I$21-MOD(Lists!I$21-$G19,7))&lt;=$AB19),IF($F19="One-off",($G19&gt;Lists!I$23)*($G19&lt;=Lists!I$21),IF($F19="",0,(((Lists!I$24-$AA19)-MOD((Lists!I$24-$AA19),$Z19))&gt;=0)*(EDATE($G19,((Lists!I$24-$AA19)-MOD((Lists!I$24-$AA19),$Z19)))&gt;Lists!I$23)*(EDATE($G19,((Lists!I$24-$AA19)-MOD((Lists!I$24-$AA19),$Z19)))&lt;=Lists!I$21)*(EDATE($G19,((Lists!I$24-$AA19)-MOD((Lists!I$24-$AA19),$Z19)))&lt;=$AB19)+((((Lists!I$24-$AA19)-MOD((Lists!I$24-$AA19),$Z19))-$Z19)&gt;=0)*(EDATE($G19,(((Lists!I$24-$AA19)-MOD((Lists!I$24-$AA19),$Z19))-$Z19))&gt;Lists!I$23)*(EDATE($G19,(((Lists!I$24-$AA19)-MOD((Lists!I$24-$AA19),$Z19))-$Z19))&lt;=Lists!I$21)*(EDATE($G19,(((Lists!I$24-$AA19)-MOD((Lists!I$24-$AA19),$Z19))-$Z19))&lt;=$AB19)))))</f>
        <v>0</v>
      </c>
      <c r="Q19" s="53" t="n">
        <f aca="false">IF(OR(N($E19)=0,$G19=""),0,$I19*IF($F19="Weekly",((Lists!J$21-MOD(Lists!J$21-$G19,7))&gt;=$G19)*((Lists!J$21-MOD(Lists!J$21-$G19,7))&lt;=$AB19),IF($F19="One-off",($G19&gt;Lists!J$23)*($G19&lt;=Lists!J$21),IF($F19="",0,(((Lists!J$24-$AA19)-MOD((Lists!J$24-$AA19),$Z19))&gt;=0)*(EDATE($G19,((Lists!J$24-$AA19)-MOD((Lists!J$24-$AA19),$Z19)))&gt;Lists!J$23)*(EDATE($G19,((Lists!J$24-$AA19)-MOD((Lists!J$24-$AA19),$Z19)))&lt;=Lists!J$21)*(EDATE($G19,((Lists!J$24-$AA19)-MOD((Lists!J$24-$AA19),$Z19)))&lt;=$AB19)+((((Lists!J$24-$AA19)-MOD((Lists!J$24-$AA19),$Z19))-$Z19)&gt;=0)*(EDATE($G19,(((Lists!J$24-$AA19)-MOD((Lists!J$24-$AA19),$Z19))-$Z19))&gt;Lists!J$23)*(EDATE($G19,(((Lists!J$24-$AA19)-MOD((Lists!J$24-$AA19),$Z19))-$Z19))&lt;=Lists!J$21)*(EDATE($G19,(((Lists!J$24-$AA19)-MOD((Lists!J$24-$AA19),$Z19))-$Z19))&lt;=$AB19)))))</f>
        <v>0</v>
      </c>
      <c r="R19" s="53" t="n">
        <f aca="false">IF(OR(N($E19)=0,$G19=""),0,$I19*IF($F19="Weekly",((Lists!K$21-MOD(Lists!K$21-$G19,7))&gt;=$G19)*((Lists!K$21-MOD(Lists!K$21-$G19,7))&lt;=$AB19),IF($F19="One-off",($G19&gt;Lists!K$23)*($G19&lt;=Lists!K$21),IF($F19="",0,(((Lists!K$24-$AA19)-MOD((Lists!K$24-$AA19),$Z19))&gt;=0)*(EDATE($G19,((Lists!K$24-$AA19)-MOD((Lists!K$24-$AA19),$Z19)))&gt;Lists!K$23)*(EDATE($G19,((Lists!K$24-$AA19)-MOD((Lists!K$24-$AA19),$Z19)))&lt;=Lists!K$21)*(EDATE($G19,((Lists!K$24-$AA19)-MOD((Lists!K$24-$AA19),$Z19)))&lt;=$AB19)+((((Lists!K$24-$AA19)-MOD((Lists!K$24-$AA19),$Z19))-$Z19)&gt;=0)*(EDATE($G19,(((Lists!K$24-$AA19)-MOD((Lists!K$24-$AA19),$Z19))-$Z19))&gt;Lists!K$23)*(EDATE($G19,(((Lists!K$24-$AA19)-MOD((Lists!K$24-$AA19),$Z19))-$Z19))&lt;=Lists!K$21)*(EDATE($G19,(((Lists!K$24-$AA19)-MOD((Lists!K$24-$AA19),$Z19))-$Z19))&lt;=$AB19)))))</f>
        <v>0</v>
      </c>
      <c r="S19" s="53" t="n">
        <f aca="false">IF(OR(N($E19)=0,$G19=""),0,$I19*IF($F19="Weekly",((Lists!L$21-MOD(Lists!L$21-$G19,7))&gt;=$G19)*((Lists!L$21-MOD(Lists!L$21-$G19,7))&lt;=$AB19),IF($F19="One-off",($G19&gt;Lists!L$23)*($G19&lt;=Lists!L$21),IF($F19="",0,(((Lists!L$24-$AA19)-MOD((Lists!L$24-$AA19),$Z19))&gt;=0)*(EDATE($G19,((Lists!L$24-$AA19)-MOD((Lists!L$24-$AA19),$Z19)))&gt;Lists!L$23)*(EDATE($G19,((Lists!L$24-$AA19)-MOD((Lists!L$24-$AA19),$Z19)))&lt;=Lists!L$21)*(EDATE($G19,((Lists!L$24-$AA19)-MOD((Lists!L$24-$AA19),$Z19)))&lt;=$AB19)+((((Lists!L$24-$AA19)-MOD((Lists!L$24-$AA19),$Z19))-$Z19)&gt;=0)*(EDATE($G19,(((Lists!L$24-$AA19)-MOD((Lists!L$24-$AA19),$Z19))-$Z19))&gt;Lists!L$23)*(EDATE($G19,(((Lists!L$24-$AA19)-MOD((Lists!L$24-$AA19),$Z19))-$Z19))&lt;=Lists!L$21)*(EDATE($G19,(((Lists!L$24-$AA19)-MOD((Lists!L$24-$AA19),$Z19))-$Z19))&lt;=$AB19)))))</f>
        <v>0</v>
      </c>
      <c r="T19" s="53" t="n">
        <f aca="false">IF(OR(N($E19)=0,$G19=""),0,$I19*IF($F19="Weekly",((Lists!M$21-MOD(Lists!M$21-$G19,7))&gt;=$G19)*((Lists!M$21-MOD(Lists!M$21-$G19,7))&lt;=$AB19),IF($F19="One-off",($G19&gt;Lists!M$23)*($G19&lt;=Lists!M$21),IF($F19="",0,(((Lists!M$24-$AA19)-MOD((Lists!M$24-$AA19),$Z19))&gt;=0)*(EDATE($G19,((Lists!M$24-$AA19)-MOD((Lists!M$24-$AA19),$Z19)))&gt;Lists!M$23)*(EDATE($G19,((Lists!M$24-$AA19)-MOD((Lists!M$24-$AA19),$Z19)))&lt;=Lists!M$21)*(EDATE($G19,((Lists!M$24-$AA19)-MOD((Lists!M$24-$AA19),$Z19)))&lt;=$AB19)+((((Lists!M$24-$AA19)-MOD((Lists!M$24-$AA19),$Z19))-$Z19)&gt;=0)*(EDATE($G19,(((Lists!M$24-$AA19)-MOD((Lists!M$24-$AA19),$Z19))-$Z19))&gt;Lists!M$23)*(EDATE($G19,(((Lists!M$24-$AA19)-MOD((Lists!M$24-$AA19),$Z19))-$Z19))&lt;=Lists!M$21)*(EDATE($G19,(((Lists!M$24-$AA19)-MOD((Lists!M$24-$AA19),$Z19))-$Z19))&lt;=$AB19)))))</f>
        <v>0</v>
      </c>
      <c r="U19" s="53" t="n">
        <f aca="false">IF(OR(N($E19)=0,$G19=""),0,$I19*IF($F19="Weekly",((Lists!N$21-MOD(Lists!N$21-$G19,7))&gt;=$G19)*((Lists!N$21-MOD(Lists!N$21-$G19,7))&lt;=$AB19),IF($F19="One-off",($G19&gt;Lists!N$23)*($G19&lt;=Lists!N$21),IF($F19="",0,(((Lists!N$24-$AA19)-MOD((Lists!N$24-$AA19),$Z19))&gt;=0)*(EDATE($G19,((Lists!N$24-$AA19)-MOD((Lists!N$24-$AA19),$Z19)))&gt;Lists!N$23)*(EDATE($G19,((Lists!N$24-$AA19)-MOD((Lists!N$24-$AA19),$Z19)))&lt;=Lists!N$21)*(EDATE($G19,((Lists!N$24-$AA19)-MOD((Lists!N$24-$AA19),$Z19)))&lt;=$AB19)+((((Lists!N$24-$AA19)-MOD((Lists!N$24-$AA19),$Z19))-$Z19)&gt;=0)*(EDATE($G19,(((Lists!N$24-$AA19)-MOD((Lists!N$24-$AA19),$Z19))-$Z19))&gt;Lists!N$23)*(EDATE($G19,(((Lists!N$24-$AA19)-MOD((Lists!N$24-$AA19),$Z19))-$Z19))&lt;=Lists!N$21)*(EDATE($G19,(((Lists!N$24-$AA19)-MOD((Lists!N$24-$AA19),$Z19))-$Z19))&lt;=$AB19)))))</f>
        <v>0</v>
      </c>
      <c r="V19" s="53" t="n">
        <f aca="false">IF(OR(N($E19)=0,$G19=""),0,$I19*IF($F19="Weekly",((Lists!O$21-MOD(Lists!O$21-$G19,7))&gt;=$G19)*((Lists!O$21-MOD(Lists!O$21-$G19,7))&lt;=$AB19),IF($F19="One-off",($G19&gt;Lists!O$23)*($G19&lt;=Lists!O$21),IF($F19="",0,(((Lists!O$24-$AA19)-MOD((Lists!O$24-$AA19),$Z19))&gt;=0)*(EDATE($G19,((Lists!O$24-$AA19)-MOD((Lists!O$24-$AA19),$Z19)))&gt;Lists!O$23)*(EDATE($G19,((Lists!O$24-$AA19)-MOD((Lists!O$24-$AA19),$Z19)))&lt;=Lists!O$21)*(EDATE($G19,((Lists!O$24-$AA19)-MOD((Lists!O$24-$AA19),$Z19)))&lt;=$AB19)+((((Lists!O$24-$AA19)-MOD((Lists!O$24-$AA19),$Z19))-$Z19)&gt;=0)*(EDATE($G19,(((Lists!O$24-$AA19)-MOD((Lists!O$24-$AA19),$Z19))-$Z19))&gt;Lists!O$23)*(EDATE($G19,(((Lists!O$24-$AA19)-MOD((Lists!O$24-$AA19),$Z19))-$Z19))&lt;=Lists!O$21)*(EDATE($G19,(((Lists!O$24-$AA19)-MOD((Lists!O$24-$AA19),$Z19))-$Z19))&lt;=$AB19)))))</f>
        <v>0</v>
      </c>
      <c r="W19" s="46" t="n">
        <f aca="false">SUM(J19:V19)</f>
        <v>0</v>
      </c>
      <c r="X19" s="2"/>
      <c r="Y19" s="104" t="n">
        <f aca="false">1</f>
        <v>1</v>
      </c>
      <c r="Z19" s="94" t="n">
        <f aca="false">IF(F19="Quarterly",3,IF(F19="Annually",12,1))</f>
        <v>1</v>
      </c>
      <c r="AA19" s="94" t="n">
        <f aca="false">IF(G19="",0,YEAR(G19)*12+MONTH(G19))</f>
        <v>0</v>
      </c>
      <c r="AB19" s="93" t="n">
        <f aca="false">IF(H19="",2958465,H19)</f>
        <v>2958465</v>
      </c>
      <c r="AC19" s="95" t="str">
        <f aca="false">IF(C19="","Other tax",C19)</f>
        <v>Other tax</v>
      </c>
    </row>
    <row r="20" customFormat="false" ht="15" hidden="false" customHeight="false" outlineLevel="0" collapsed="false">
      <c r="A20" s="87" t="n">
        <v>12</v>
      </c>
      <c r="B20" s="55" t="s">
        <v>535</v>
      </c>
      <c r="C20" s="55" t="s">
        <v>526</v>
      </c>
      <c r="D20" s="2"/>
      <c r="E20" s="88" t="n">
        <v>47000</v>
      </c>
      <c r="F20" s="58" t="s">
        <v>498</v>
      </c>
      <c r="G20" s="90" t="n">
        <v>46414</v>
      </c>
      <c r="H20" s="90"/>
      <c r="I20" s="92" t="n">
        <f aca="false">N(E20)*Y20</f>
        <v>47000</v>
      </c>
      <c r="J20" s="53" t="n">
        <f aca="false">IF(OR(N($E20)=0,$G20=""),0,$I20*IF($F20="Weekly",((Lists!C$21-MOD(Lists!C$21-$G20,7))&gt;=$G20)*((Lists!C$21-MOD(Lists!C$21-$G20,7))&lt;=$AB20),IF($F20="One-off",($G20&gt;Lists!C$23)*($G20&lt;=Lists!C$21),IF($F20="",0,(((Lists!C$24-$AA20)-MOD((Lists!C$24-$AA20),$Z20))&gt;=0)*(EDATE($G20,((Lists!C$24-$AA20)-MOD((Lists!C$24-$AA20),$Z20)))&gt;Lists!C$23)*(EDATE($G20,((Lists!C$24-$AA20)-MOD((Lists!C$24-$AA20),$Z20)))&lt;=Lists!C$21)*(EDATE($G20,((Lists!C$24-$AA20)-MOD((Lists!C$24-$AA20),$Z20)))&lt;=$AB20)+((((Lists!C$24-$AA20)-MOD((Lists!C$24-$AA20),$Z20))-$Z20)&gt;=0)*(EDATE($G20,(((Lists!C$24-$AA20)-MOD((Lists!C$24-$AA20),$Z20))-$Z20))&gt;Lists!C$23)*(EDATE($G20,(((Lists!C$24-$AA20)-MOD((Lists!C$24-$AA20),$Z20))-$Z20))&lt;=Lists!C$21)*(EDATE($G20,(((Lists!C$24-$AA20)-MOD((Lists!C$24-$AA20),$Z20))-$Z20))&lt;=$AB20)))))</f>
        <v>0</v>
      </c>
      <c r="K20" s="53" t="n">
        <f aca="false">IF(OR(N($E20)=0,$G20=""),0,$I20*IF($F20="Weekly",((Lists!D$21-MOD(Lists!D$21-$G20,7))&gt;=$G20)*((Lists!D$21-MOD(Lists!D$21-$G20,7))&lt;=$AB20),IF($F20="One-off",($G20&gt;Lists!D$23)*($G20&lt;=Lists!D$21),IF($F20="",0,(((Lists!D$24-$AA20)-MOD((Lists!D$24-$AA20),$Z20))&gt;=0)*(EDATE($G20,((Lists!D$24-$AA20)-MOD((Lists!D$24-$AA20),$Z20)))&gt;Lists!D$23)*(EDATE($G20,((Lists!D$24-$AA20)-MOD((Lists!D$24-$AA20),$Z20)))&lt;=Lists!D$21)*(EDATE($G20,((Lists!D$24-$AA20)-MOD((Lists!D$24-$AA20),$Z20)))&lt;=$AB20)+((((Lists!D$24-$AA20)-MOD((Lists!D$24-$AA20),$Z20))-$Z20)&gt;=0)*(EDATE($G20,(((Lists!D$24-$AA20)-MOD((Lists!D$24-$AA20),$Z20))-$Z20))&gt;Lists!D$23)*(EDATE($G20,(((Lists!D$24-$AA20)-MOD((Lists!D$24-$AA20),$Z20))-$Z20))&lt;=Lists!D$21)*(EDATE($G20,(((Lists!D$24-$AA20)-MOD((Lists!D$24-$AA20),$Z20))-$Z20))&lt;=$AB20)))))</f>
        <v>0</v>
      </c>
      <c r="L20" s="53" t="n">
        <f aca="false">IF(OR(N($E20)=0,$G20=""),0,$I20*IF($F20="Weekly",((Lists!E$21-MOD(Lists!E$21-$G20,7))&gt;=$G20)*((Lists!E$21-MOD(Lists!E$21-$G20,7))&lt;=$AB20),IF($F20="One-off",($G20&gt;Lists!E$23)*($G20&lt;=Lists!E$21),IF($F20="",0,(((Lists!E$24-$AA20)-MOD((Lists!E$24-$AA20),$Z20))&gt;=0)*(EDATE($G20,((Lists!E$24-$AA20)-MOD((Lists!E$24-$AA20),$Z20)))&gt;Lists!E$23)*(EDATE($G20,((Lists!E$24-$AA20)-MOD((Lists!E$24-$AA20),$Z20)))&lt;=Lists!E$21)*(EDATE($G20,((Lists!E$24-$AA20)-MOD((Lists!E$24-$AA20),$Z20)))&lt;=$AB20)+((((Lists!E$24-$AA20)-MOD((Lists!E$24-$AA20),$Z20))-$Z20)&gt;=0)*(EDATE($G20,(((Lists!E$24-$AA20)-MOD((Lists!E$24-$AA20),$Z20))-$Z20))&gt;Lists!E$23)*(EDATE($G20,(((Lists!E$24-$AA20)-MOD((Lists!E$24-$AA20),$Z20))-$Z20))&lt;=Lists!E$21)*(EDATE($G20,(((Lists!E$24-$AA20)-MOD((Lists!E$24-$AA20),$Z20))-$Z20))&lt;=$AB20)))))</f>
        <v>0</v>
      </c>
      <c r="M20" s="53" t="n">
        <f aca="false">IF(OR(N($E20)=0,$G20=""),0,$I20*IF($F20="Weekly",((Lists!F$21-MOD(Lists!F$21-$G20,7))&gt;=$G20)*((Lists!F$21-MOD(Lists!F$21-$G20,7))&lt;=$AB20),IF($F20="One-off",($G20&gt;Lists!F$23)*($G20&lt;=Lists!F$21),IF($F20="",0,(((Lists!F$24-$AA20)-MOD((Lists!F$24-$AA20),$Z20))&gt;=0)*(EDATE($G20,((Lists!F$24-$AA20)-MOD((Lists!F$24-$AA20),$Z20)))&gt;Lists!F$23)*(EDATE($G20,((Lists!F$24-$AA20)-MOD((Lists!F$24-$AA20),$Z20)))&lt;=Lists!F$21)*(EDATE($G20,((Lists!F$24-$AA20)-MOD((Lists!F$24-$AA20),$Z20)))&lt;=$AB20)+((((Lists!F$24-$AA20)-MOD((Lists!F$24-$AA20),$Z20))-$Z20)&gt;=0)*(EDATE($G20,(((Lists!F$24-$AA20)-MOD((Lists!F$24-$AA20),$Z20))-$Z20))&gt;Lists!F$23)*(EDATE($G20,(((Lists!F$24-$AA20)-MOD((Lists!F$24-$AA20),$Z20))-$Z20))&lt;=Lists!F$21)*(EDATE($G20,(((Lists!F$24-$AA20)-MOD((Lists!F$24-$AA20),$Z20))-$Z20))&lt;=$AB20)))))</f>
        <v>0</v>
      </c>
      <c r="N20" s="53" t="n">
        <f aca="false">IF(OR(N($E20)=0,$G20=""),0,$I20*IF($F20="Weekly",((Lists!G$21-MOD(Lists!G$21-$G20,7))&gt;=$G20)*((Lists!G$21-MOD(Lists!G$21-$G20,7))&lt;=$AB20),IF($F20="One-off",($G20&gt;Lists!G$23)*($G20&lt;=Lists!G$21),IF($F20="",0,(((Lists!G$24-$AA20)-MOD((Lists!G$24-$AA20),$Z20))&gt;=0)*(EDATE($G20,((Lists!G$24-$AA20)-MOD((Lists!G$24-$AA20),$Z20)))&gt;Lists!G$23)*(EDATE($G20,((Lists!G$24-$AA20)-MOD((Lists!G$24-$AA20),$Z20)))&lt;=Lists!G$21)*(EDATE($G20,((Lists!G$24-$AA20)-MOD((Lists!G$24-$AA20),$Z20)))&lt;=$AB20)+((((Lists!G$24-$AA20)-MOD((Lists!G$24-$AA20),$Z20))-$Z20)&gt;=0)*(EDATE($G20,(((Lists!G$24-$AA20)-MOD((Lists!G$24-$AA20),$Z20))-$Z20))&gt;Lists!G$23)*(EDATE($G20,(((Lists!G$24-$AA20)-MOD((Lists!G$24-$AA20),$Z20))-$Z20))&lt;=Lists!G$21)*(EDATE($G20,(((Lists!G$24-$AA20)-MOD((Lists!G$24-$AA20),$Z20))-$Z20))&lt;=$AB20)))))</f>
        <v>0</v>
      </c>
      <c r="O20" s="53" t="n">
        <f aca="false">IF(OR(N($E20)=0,$G20=""),0,$I20*IF($F20="Weekly",((Lists!H$21-MOD(Lists!H$21-$G20,7))&gt;=$G20)*((Lists!H$21-MOD(Lists!H$21-$G20,7))&lt;=$AB20),IF($F20="One-off",($G20&gt;Lists!H$23)*($G20&lt;=Lists!H$21),IF($F20="",0,(((Lists!H$24-$AA20)-MOD((Lists!H$24-$AA20),$Z20))&gt;=0)*(EDATE($G20,((Lists!H$24-$AA20)-MOD((Lists!H$24-$AA20),$Z20)))&gt;Lists!H$23)*(EDATE($G20,((Lists!H$24-$AA20)-MOD((Lists!H$24-$AA20),$Z20)))&lt;=Lists!H$21)*(EDATE($G20,((Lists!H$24-$AA20)-MOD((Lists!H$24-$AA20),$Z20)))&lt;=$AB20)+((((Lists!H$24-$AA20)-MOD((Lists!H$24-$AA20),$Z20))-$Z20)&gt;=0)*(EDATE($G20,(((Lists!H$24-$AA20)-MOD((Lists!H$24-$AA20),$Z20))-$Z20))&gt;Lists!H$23)*(EDATE($G20,(((Lists!H$24-$AA20)-MOD((Lists!H$24-$AA20),$Z20))-$Z20))&lt;=Lists!H$21)*(EDATE($G20,(((Lists!H$24-$AA20)-MOD((Lists!H$24-$AA20),$Z20))-$Z20))&lt;=$AB20)))))</f>
        <v>0</v>
      </c>
      <c r="P20" s="53" t="n">
        <f aca="false">IF(OR(N($E20)=0,$G20=""),0,$I20*IF($F20="Weekly",((Lists!I$21-MOD(Lists!I$21-$G20,7))&gt;=$G20)*((Lists!I$21-MOD(Lists!I$21-$G20,7))&lt;=$AB20),IF($F20="One-off",($G20&gt;Lists!I$23)*($G20&lt;=Lists!I$21),IF($F20="",0,(((Lists!I$24-$AA20)-MOD((Lists!I$24-$AA20),$Z20))&gt;=0)*(EDATE($G20,((Lists!I$24-$AA20)-MOD((Lists!I$24-$AA20),$Z20)))&gt;Lists!I$23)*(EDATE($G20,((Lists!I$24-$AA20)-MOD((Lists!I$24-$AA20),$Z20)))&lt;=Lists!I$21)*(EDATE($G20,((Lists!I$24-$AA20)-MOD((Lists!I$24-$AA20),$Z20)))&lt;=$AB20)+((((Lists!I$24-$AA20)-MOD((Lists!I$24-$AA20),$Z20))-$Z20)&gt;=0)*(EDATE($G20,(((Lists!I$24-$AA20)-MOD((Lists!I$24-$AA20),$Z20))-$Z20))&gt;Lists!I$23)*(EDATE($G20,(((Lists!I$24-$AA20)-MOD((Lists!I$24-$AA20),$Z20))-$Z20))&lt;=Lists!I$21)*(EDATE($G20,(((Lists!I$24-$AA20)-MOD((Lists!I$24-$AA20),$Z20))-$Z20))&lt;=$AB20)))))</f>
        <v>0</v>
      </c>
      <c r="Q20" s="53" t="n">
        <f aca="false">IF(OR(N($E20)=0,$G20=""),0,$I20*IF($F20="Weekly",((Lists!J$21-MOD(Lists!J$21-$G20,7))&gt;=$G20)*((Lists!J$21-MOD(Lists!J$21-$G20,7))&lt;=$AB20),IF($F20="One-off",($G20&gt;Lists!J$23)*($G20&lt;=Lists!J$21),IF($F20="",0,(((Lists!J$24-$AA20)-MOD((Lists!J$24-$AA20),$Z20))&gt;=0)*(EDATE($G20,((Lists!J$24-$AA20)-MOD((Lists!J$24-$AA20),$Z20)))&gt;Lists!J$23)*(EDATE($G20,((Lists!J$24-$AA20)-MOD((Lists!J$24-$AA20),$Z20)))&lt;=Lists!J$21)*(EDATE($G20,((Lists!J$24-$AA20)-MOD((Lists!J$24-$AA20),$Z20)))&lt;=$AB20)+((((Lists!J$24-$AA20)-MOD((Lists!J$24-$AA20),$Z20))-$Z20)&gt;=0)*(EDATE($G20,(((Lists!J$24-$AA20)-MOD((Lists!J$24-$AA20),$Z20))-$Z20))&gt;Lists!J$23)*(EDATE($G20,(((Lists!J$24-$AA20)-MOD((Lists!J$24-$AA20),$Z20))-$Z20))&lt;=Lists!J$21)*(EDATE($G20,(((Lists!J$24-$AA20)-MOD((Lists!J$24-$AA20),$Z20))-$Z20))&lt;=$AB20)))))</f>
        <v>0</v>
      </c>
      <c r="R20" s="53" t="n">
        <f aca="false">IF(OR(N($E20)=0,$G20=""),0,$I20*IF($F20="Weekly",((Lists!K$21-MOD(Lists!K$21-$G20,7))&gt;=$G20)*((Lists!K$21-MOD(Lists!K$21-$G20,7))&lt;=$AB20),IF($F20="One-off",($G20&gt;Lists!K$23)*($G20&lt;=Lists!K$21),IF($F20="",0,(((Lists!K$24-$AA20)-MOD((Lists!K$24-$AA20),$Z20))&gt;=0)*(EDATE($G20,((Lists!K$24-$AA20)-MOD((Lists!K$24-$AA20),$Z20)))&gt;Lists!K$23)*(EDATE($G20,((Lists!K$24-$AA20)-MOD((Lists!K$24-$AA20),$Z20)))&lt;=Lists!K$21)*(EDATE($G20,((Lists!K$24-$AA20)-MOD((Lists!K$24-$AA20),$Z20)))&lt;=$AB20)+((((Lists!K$24-$AA20)-MOD((Lists!K$24-$AA20),$Z20))-$Z20)&gt;=0)*(EDATE($G20,(((Lists!K$24-$AA20)-MOD((Lists!K$24-$AA20),$Z20))-$Z20))&gt;Lists!K$23)*(EDATE($G20,(((Lists!K$24-$AA20)-MOD((Lists!K$24-$AA20),$Z20))-$Z20))&lt;=Lists!K$21)*(EDATE($G20,(((Lists!K$24-$AA20)-MOD((Lists!K$24-$AA20),$Z20))-$Z20))&lt;=$AB20)))))</f>
        <v>0</v>
      </c>
      <c r="S20" s="53" t="n">
        <f aca="false">IF(OR(N($E20)=0,$G20=""),0,$I20*IF($F20="Weekly",((Lists!L$21-MOD(Lists!L$21-$G20,7))&gt;=$G20)*((Lists!L$21-MOD(Lists!L$21-$G20,7))&lt;=$AB20),IF($F20="One-off",($G20&gt;Lists!L$23)*($G20&lt;=Lists!L$21),IF($F20="",0,(((Lists!L$24-$AA20)-MOD((Lists!L$24-$AA20),$Z20))&gt;=0)*(EDATE($G20,((Lists!L$24-$AA20)-MOD((Lists!L$24-$AA20),$Z20)))&gt;Lists!L$23)*(EDATE($G20,((Lists!L$24-$AA20)-MOD((Lists!L$24-$AA20),$Z20)))&lt;=Lists!L$21)*(EDATE($G20,((Lists!L$24-$AA20)-MOD((Lists!L$24-$AA20),$Z20)))&lt;=$AB20)+((((Lists!L$24-$AA20)-MOD((Lists!L$24-$AA20),$Z20))-$Z20)&gt;=0)*(EDATE($G20,(((Lists!L$24-$AA20)-MOD((Lists!L$24-$AA20),$Z20))-$Z20))&gt;Lists!L$23)*(EDATE($G20,(((Lists!L$24-$AA20)-MOD((Lists!L$24-$AA20),$Z20))-$Z20))&lt;=Lists!L$21)*(EDATE($G20,(((Lists!L$24-$AA20)-MOD((Lists!L$24-$AA20),$Z20))-$Z20))&lt;=$AB20)))))</f>
        <v>0</v>
      </c>
      <c r="T20" s="53" t="n">
        <f aca="false">IF(OR(N($E20)=0,$G20=""),0,$I20*IF($F20="Weekly",((Lists!M$21-MOD(Lists!M$21-$G20,7))&gt;=$G20)*((Lists!M$21-MOD(Lists!M$21-$G20,7))&lt;=$AB20),IF($F20="One-off",($G20&gt;Lists!M$23)*($G20&lt;=Lists!M$21),IF($F20="",0,(((Lists!M$24-$AA20)-MOD((Lists!M$24-$AA20),$Z20))&gt;=0)*(EDATE($G20,((Lists!M$24-$AA20)-MOD((Lists!M$24-$AA20),$Z20)))&gt;Lists!M$23)*(EDATE($G20,((Lists!M$24-$AA20)-MOD((Lists!M$24-$AA20),$Z20)))&lt;=Lists!M$21)*(EDATE($G20,((Lists!M$24-$AA20)-MOD((Lists!M$24-$AA20),$Z20)))&lt;=$AB20)+((((Lists!M$24-$AA20)-MOD((Lists!M$24-$AA20),$Z20))-$Z20)&gt;=0)*(EDATE($G20,(((Lists!M$24-$AA20)-MOD((Lists!M$24-$AA20),$Z20))-$Z20))&gt;Lists!M$23)*(EDATE($G20,(((Lists!M$24-$AA20)-MOD((Lists!M$24-$AA20),$Z20))-$Z20))&lt;=Lists!M$21)*(EDATE($G20,(((Lists!M$24-$AA20)-MOD((Lists!M$24-$AA20),$Z20))-$Z20))&lt;=$AB20)))))</f>
        <v>0</v>
      </c>
      <c r="U20" s="53" t="n">
        <f aca="false">IF(OR(N($E20)=0,$G20=""),0,$I20*IF($F20="Weekly",((Lists!N$21-MOD(Lists!N$21-$G20,7))&gt;=$G20)*((Lists!N$21-MOD(Lists!N$21-$G20,7))&lt;=$AB20),IF($F20="One-off",($G20&gt;Lists!N$23)*($G20&lt;=Lists!N$21),IF($F20="",0,(((Lists!N$24-$AA20)-MOD((Lists!N$24-$AA20),$Z20))&gt;=0)*(EDATE($G20,((Lists!N$24-$AA20)-MOD((Lists!N$24-$AA20),$Z20)))&gt;Lists!N$23)*(EDATE($G20,((Lists!N$24-$AA20)-MOD((Lists!N$24-$AA20),$Z20)))&lt;=Lists!N$21)*(EDATE($G20,((Lists!N$24-$AA20)-MOD((Lists!N$24-$AA20),$Z20)))&lt;=$AB20)+((((Lists!N$24-$AA20)-MOD((Lists!N$24-$AA20),$Z20))-$Z20)&gt;=0)*(EDATE($G20,(((Lists!N$24-$AA20)-MOD((Lists!N$24-$AA20),$Z20))-$Z20))&gt;Lists!N$23)*(EDATE($G20,(((Lists!N$24-$AA20)-MOD((Lists!N$24-$AA20),$Z20))-$Z20))&lt;=Lists!N$21)*(EDATE($G20,(((Lists!N$24-$AA20)-MOD((Lists!N$24-$AA20),$Z20))-$Z20))&lt;=$AB20)))))</f>
        <v>47000</v>
      </c>
      <c r="V20" s="53" t="n">
        <f aca="false">IF(OR(N($E20)=0,$G20=""),0,$I20*IF($F20="Weekly",((Lists!O$21-MOD(Lists!O$21-$G20,7))&gt;=$G20)*((Lists!O$21-MOD(Lists!O$21-$G20,7))&lt;=$AB20),IF($F20="One-off",($G20&gt;Lists!O$23)*($G20&lt;=Lists!O$21),IF($F20="",0,(((Lists!O$24-$AA20)-MOD((Lists!O$24-$AA20),$Z20))&gt;=0)*(EDATE($G20,((Lists!O$24-$AA20)-MOD((Lists!O$24-$AA20),$Z20)))&gt;Lists!O$23)*(EDATE($G20,((Lists!O$24-$AA20)-MOD((Lists!O$24-$AA20),$Z20)))&lt;=Lists!O$21)*(EDATE($G20,((Lists!O$24-$AA20)-MOD((Lists!O$24-$AA20),$Z20)))&lt;=$AB20)+((((Lists!O$24-$AA20)-MOD((Lists!O$24-$AA20),$Z20))-$Z20)&gt;=0)*(EDATE($G20,(((Lists!O$24-$AA20)-MOD((Lists!O$24-$AA20),$Z20))-$Z20))&gt;Lists!O$23)*(EDATE($G20,(((Lists!O$24-$AA20)-MOD((Lists!O$24-$AA20),$Z20))-$Z20))&lt;=Lists!O$21)*(EDATE($G20,(((Lists!O$24-$AA20)-MOD((Lists!O$24-$AA20),$Z20))-$Z20))&lt;=$AB20)))))</f>
        <v>0</v>
      </c>
      <c r="W20" s="46" t="n">
        <f aca="false">SUM(J20:V20)</f>
        <v>47000</v>
      </c>
      <c r="X20" s="2"/>
      <c r="Y20" s="104" t="n">
        <f aca="false">1</f>
        <v>1</v>
      </c>
      <c r="Z20" s="94" t="n">
        <f aca="false">IF(F20="Quarterly",3,IF(F20="Annually",12,1))</f>
        <v>1</v>
      </c>
      <c r="AA20" s="94" t="n">
        <f aca="false">IF(G20="",0,YEAR(G20)*12+MONTH(G20))</f>
        <v>24325</v>
      </c>
      <c r="AB20" s="93" t="n">
        <f aca="false">IF(H20="",2958465,H20)</f>
        <v>2958465</v>
      </c>
      <c r="AC20" s="95" t="str">
        <f aca="false">IF(C20="","Other tax",C20)</f>
        <v>Wages (net pay)</v>
      </c>
    </row>
    <row r="21" customFormat="false" ht="15" hidden="false" customHeight="false" outlineLevel="0" collapsed="false">
      <c r="A21" s="87" t="n">
        <v>13</v>
      </c>
      <c r="B21" s="55"/>
      <c r="C21" s="55"/>
      <c r="D21" s="2"/>
      <c r="E21" s="88"/>
      <c r="F21" s="58"/>
      <c r="G21" s="90"/>
      <c r="H21" s="90"/>
      <c r="I21" s="92" t="n">
        <f aca="false">N(E21)*Y21</f>
        <v>0</v>
      </c>
      <c r="J21" s="53" t="n">
        <f aca="false">IF(OR(N($E21)=0,$G21=""),0,$I21*IF($F21="Weekly",((Lists!C$21-MOD(Lists!C$21-$G21,7))&gt;=$G21)*((Lists!C$21-MOD(Lists!C$21-$G21,7))&lt;=$AB21),IF($F21="One-off",($G21&gt;Lists!C$23)*($G21&lt;=Lists!C$21),IF($F21="",0,(((Lists!C$24-$AA21)-MOD((Lists!C$24-$AA21),$Z21))&gt;=0)*(EDATE($G21,((Lists!C$24-$AA21)-MOD((Lists!C$24-$AA21),$Z21)))&gt;Lists!C$23)*(EDATE($G21,((Lists!C$24-$AA21)-MOD((Lists!C$24-$AA21),$Z21)))&lt;=Lists!C$21)*(EDATE($G21,((Lists!C$24-$AA21)-MOD((Lists!C$24-$AA21),$Z21)))&lt;=$AB21)+((((Lists!C$24-$AA21)-MOD((Lists!C$24-$AA21),$Z21))-$Z21)&gt;=0)*(EDATE($G21,(((Lists!C$24-$AA21)-MOD((Lists!C$24-$AA21),$Z21))-$Z21))&gt;Lists!C$23)*(EDATE($G21,(((Lists!C$24-$AA21)-MOD((Lists!C$24-$AA21),$Z21))-$Z21))&lt;=Lists!C$21)*(EDATE($G21,(((Lists!C$24-$AA21)-MOD((Lists!C$24-$AA21),$Z21))-$Z21))&lt;=$AB21)))))</f>
        <v>0</v>
      </c>
      <c r="K21" s="53" t="n">
        <f aca="false">IF(OR(N($E21)=0,$G21=""),0,$I21*IF($F21="Weekly",((Lists!D$21-MOD(Lists!D$21-$G21,7))&gt;=$G21)*((Lists!D$21-MOD(Lists!D$21-$G21,7))&lt;=$AB21),IF($F21="One-off",($G21&gt;Lists!D$23)*($G21&lt;=Lists!D$21),IF($F21="",0,(((Lists!D$24-$AA21)-MOD((Lists!D$24-$AA21),$Z21))&gt;=0)*(EDATE($G21,((Lists!D$24-$AA21)-MOD((Lists!D$24-$AA21),$Z21)))&gt;Lists!D$23)*(EDATE($G21,((Lists!D$24-$AA21)-MOD((Lists!D$24-$AA21),$Z21)))&lt;=Lists!D$21)*(EDATE($G21,((Lists!D$24-$AA21)-MOD((Lists!D$24-$AA21),$Z21)))&lt;=$AB21)+((((Lists!D$24-$AA21)-MOD((Lists!D$24-$AA21),$Z21))-$Z21)&gt;=0)*(EDATE($G21,(((Lists!D$24-$AA21)-MOD((Lists!D$24-$AA21),$Z21))-$Z21))&gt;Lists!D$23)*(EDATE($G21,(((Lists!D$24-$AA21)-MOD((Lists!D$24-$AA21),$Z21))-$Z21))&lt;=Lists!D$21)*(EDATE($G21,(((Lists!D$24-$AA21)-MOD((Lists!D$24-$AA21),$Z21))-$Z21))&lt;=$AB21)))))</f>
        <v>0</v>
      </c>
      <c r="L21" s="53" t="n">
        <f aca="false">IF(OR(N($E21)=0,$G21=""),0,$I21*IF($F21="Weekly",((Lists!E$21-MOD(Lists!E$21-$G21,7))&gt;=$G21)*((Lists!E$21-MOD(Lists!E$21-$G21,7))&lt;=$AB21),IF($F21="One-off",($G21&gt;Lists!E$23)*($G21&lt;=Lists!E$21),IF($F21="",0,(((Lists!E$24-$AA21)-MOD((Lists!E$24-$AA21),$Z21))&gt;=0)*(EDATE($G21,((Lists!E$24-$AA21)-MOD((Lists!E$24-$AA21),$Z21)))&gt;Lists!E$23)*(EDATE($G21,((Lists!E$24-$AA21)-MOD((Lists!E$24-$AA21),$Z21)))&lt;=Lists!E$21)*(EDATE($G21,((Lists!E$24-$AA21)-MOD((Lists!E$24-$AA21),$Z21)))&lt;=$AB21)+((((Lists!E$24-$AA21)-MOD((Lists!E$24-$AA21),$Z21))-$Z21)&gt;=0)*(EDATE($G21,(((Lists!E$24-$AA21)-MOD((Lists!E$24-$AA21),$Z21))-$Z21))&gt;Lists!E$23)*(EDATE($G21,(((Lists!E$24-$AA21)-MOD((Lists!E$24-$AA21),$Z21))-$Z21))&lt;=Lists!E$21)*(EDATE($G21,(((Lists!E$24-$AA21)-MOD((Lists!E$24-$AA21),$Z21))-$Z21))&lt;=$AB21)))))</f>
        <v>0</v>
      </c>
      <c r="M21" s="53" t="n">
        <f aca="false">IF(OR(N($E21)=0,$G21=""),0,$I21*IF($F21="Weekly",((Lists!F$21-MOD(Lists!F$21-$G21,7))&gt;=$G21)*((Lists!F$21-MOD(Lists!F$21-$G21,7))&lt;=$AB21),IF($F21="One-off",($G21&gt;Lists!F$23)*($G21&lt;=Lists!F$21),IF($F21="",0,(((Lists!F$24-$AA21)-MOD((Lists!F$24-$AA21),$Z21))&gt;=0)*(EDATE($G21,((Lists!F$24-$AA21)-MOD((Lists!F$24-$AA21),$Z21)))&gt;Lists!F$23)*(EDATE($G21,((Lists!F$24-$AA21)-MOD((Lists!F$24-$AA21),$Z21)))&lt;=Lists!F$21)*(EDATE($G21,((Lists!F$24-$AA21)-MOD((Lists!F$24-$AA21),$Z21)))&lt;=$AB21)+((((Lists!F$24-$AA21)-MOD((Lists!F$24-$AA21),$Z21))-$Z21)&gt;=0)*(EDATE($G21,(((Lists!F$24-$AA21)-MOD((Lists!F$24-$AA21),$Z21))-$Z21))&gt;Lists!F$23)*(EDATE($G21,(((Lists!F$24-$AA21)-MOD((Lists!F$24-$AA21),$Z21))-$Z21))&lt;=Lists!F$21)*(EDATE($G21,(((Lists!F$24-$AA21)-MOD((Lists!F$24-$AA21),$Z21))-$Z21))&lt;=$AB21)))))</f>
        <v>0</v>
      </c>
      <c r="N21" s="53" t="n">
        <f aca="false">IF(OR(N($E21)=0,$G21=""),0,$I21*IF($F21="Weekly",((Lists!G$21-MOD(Lists!G$21-$G21,7))&gt;=$G21)*((Lists!G$21-MOD(Lists!G$21-$G21,7))&lt;=$AB21),IF($F21="One-off",($G21&gt;Lists!G$23)*($G21&lt;=Lists!G$21),IF($F21="",0,(((Lists!G$24-$AA21)-MOD((Lists!G$24-$AA21),$Z21))&gt;=0)*(EDATE($G21,((Lists!G$24-$AA21)-MOD((Lists!G$24-$AA21),$Z21)))&gt;Lists!G$23)*(EDATE($G21,((Lists!G$24-$AA21)-MOD((Lists!G$24-$AA21),$Z21)))&lt;=Lists!G$21)*(EDATE($G21,((Lists!G$24-$AA21)-MOD((Lists!G$24-$AA21),$Z21)))&lt;=$AB21)+((((Lists!G$24-$AA21)-MOD((Lists!G$24-$AA21),$Z21))-$Z21)&gt;=0)*(EDATE($G21,(((Lists!G$24-$AA21)-MOD((Lists!G$24-$AA21),$Z21))-$Z21))&gt;Lists!G$23)*(EDATE($G21,(((Lists!G$24-$AA21)-MOD((Lists!G$24-$AA21),$Z21))-$Z21))&lt;=Lists!G$21)*(EDATE($G21,(((Lists!G$24-$AA21)-MOD((Lists!G$24-$AA21),$Z21))-$Z21))&lt;=$AB21)))))</f>
        <v>0</v>
      </c>
      <c r="O21" s="53" t="n">
        <f aca="false">IF(OR(N($E21)=0,$G21=""),0,$I21*IF($F21="Weekly",((Lists!H$21-MOD(Lists!H$21-$G21,7))&gt;=$G21)*((Lists!H$21-MOD(Lists!H$21-$G21,7))&lt;=$AB21),IF($F21="One-off",($G21&gt;Lists!H$23)*($G21&lt;=Lists!H$21),IF($F21="",0,(((Lists!H$24-$AA21)-MOD((Lists!H$24-$AA21),$Z21))&gt;=0)*(EDATE($G21,((Lists!H$24-$AA21)-MOD((Lists!H$24-$AA21),$Z21)))&gt;Lists!H$23)*(EDATE($G21,((Lists!H$24-$AA21)-MOD((Lists!H$24-$AA21),$Z21)))&lt;=Lists!H$21)*(EDATE($G21,((Lists!H$24-$AA21)-MOD((Lists!H$24-$AA21),$Z21)))&lt;=$AB21)+((((Lists!H$24-$AA21)-MOD((Lists!H$24-$AA21),$Z21))-$Z21)&gt;=0)*(EDATE($G21,(((Lists!H$24-$AA21)-MOD((Lists!H$24-$AA21),$Z21))-$Z21))&gt;Lists!H$23)*(EDATE($G21,(((Lists!H$24-$AA21)-MOD((Lists!H$24-$AA21),$Z21))-$Z21))&lt;=Lists!H$21)*(EDATE($G21,(((Lists!H$24-$AA21)-MOD((Lists!H$24-$AA21),$Z21))-$Z21))&lt;=$AB21)))))</f>
        <v>0</v>
      </c>
      <c r="P21" s="53" t="n">
        <f aca="false">IF(OR(N($E21)=0,$G21=""),0,$I21*IF($F21="Weekly",((Lists!I$21-MOD(Lists!I$21-$G21,7))&gt;=$G21)*((Lists!I$21-MOD(Lists!I$21-$G21,7))&lt;=$AB21),IF($F21="One-off",($G21&gt;Lists!I$23)*($G21&lt;=Lists!I$21),IF($F21="",0,(((Lists!I$24-$AA21)-MOD((Lists!I$24-$AA21),$Z21))&gt;=0)*(EDATE($G21,((Lists!I$24-$AA21)-MOD((Lists!I$24-$AA21),$Z21)))&gt;Lists!I$23)*(EDATE($G21,((Lists!I$24-$AA21)-MOD((Lists!I$24-$AA21),$Z21)))&lt;=Lists!I$21)*(EDATE($G21,((Lists!I$24-$AA21)-MOD((Lists!I$24-$AA21),$Z21)))&lt;=$AB21)+((((Lists!I$24-$AA21)-MOD((Lists!I$24-$AA21),$Z21))-$Z21)&gt;=0)*(EDATE($G21,(((Lists!I$24-$AA21)-MOD((Lists!I$24-$AA21),$Z21))-$Z21))&gt;Lists!I$23)*(EDATE($G21,(((Lists!I$24-$AA21)-MOD((Lists!I$24-$AA21),$Z21))-$Z21))&lt;=Lists!I$21)*(EDATE($G21,(((Lists!I$24-$AA21)-MOD((Lists!I$24-$AA21),$Z21))-$Z21))&lt;=$AB21)))))</f>
        <v>0</v>
      </c>
      <c r="Q21" s="53" t="n">
        <f aca="false">IF(OR(N($E21)=0,$G21=""),0,$I21*IF($F21="Weekly",((Lists!J$21-MOD(Lists!J$21-$G21,7))&gt;=$G21)*((Lists!J$21-MOD(Lists!J$21-$G21,7))&lt;=$AB21),IF($F21="One-off",($G21&gt;Lists!J$23)*($G21&lt;=Lists!J$21),IF($F21="",0,(((Lists!J$24-$AA21)-MOD((Lists!J$24-$AA21),$Z21))&gt;=0)*(EDATE($G21,((Lists!J$24-$AA21)-MOD((Lists!J$24-$AA21),$Z21)))&gt;Lists!J$23)*(EDATE($G21,((Lists!J$24-$AA21)-MOD((Lists!J$24-$AA21),$Z21)))&lt;=Lists!J$21)*(EDATE($G21,((Lists!J$24-$AA21)-MOD((Lists!J$24-$AA21),$Z21)))&lt;=$AB21)+((((Lists!J$24-$AA21)-MOD((Lists!J$24-$AA21),$Z21))-$Z21)&gt;=0)*(EDATE($G21,(((Lists!J$24-$AA21)-MOD((Lists!J$24-$AA21),$Z21))-$Z21))&gt;Lists!J$23)*(EDATE($G21,(((Lists!J$24-$AA21)-MOD((Lists!J$24-$AA21),$Z21))-$Z21))&lt;=Lists!J$21)*(EDATE($G21,(((Lists!J$24-$AA21)-MOD((Lists!J$24-$AA21),$Z21))-$Z21))&lt;=$AB21)))))</f>
        <v>0</v>
      </c>
      <c r="R21" s="53" t="n">
        <f aca="false">IF(OR(N($E21)=0,$G21=""),0,$I21*IF($F21="Weekly",((Lists!K$21-MOD(Lists!K$21-$G21,7))&gt;=$G21)*((Lists!K$21-MOD(Lists!K$21-$G21,7))&lt;=$AB21),IF($F21="One-off",($G21&gt;Lists!K$23)*($G21&lt;=Lists!K$21),IF($F21="",0,(((Lists!K$24-$AA21)-MOD((Lists!K$24-$AA21),$Z21))&gt;=0)*(EDATE($G21,((Lists!K$24-$AA21)-MOD((Lists!K$24-$AA21),$Z21)))&gt;Lists!K$23)*(EDATE($G21,((Lists!K$24-$AA21)-MOD((Lists!K$24-$AA21),$Z21)))&lt;=Lists!K$21)*(EDATE($G21,((Lists!K$24-$AA21)-MOD((Lists!K$24-$AA21),$Z21)))&lt;=$AB21)+((((Lists!K$24-$AA21)-MOD((Lists!K$24-$AA21),$Z21))-$Z21)&gt;=0)*(EDATE($G21,(((Lists!K$24-$AA21)-MOD((Lists!K$24-$AA21),$Z21))-$Z21))&gt;Lists!K$23)*(EDATE($G21,(((Lists!K$24-$AA21)-MOD((Lists!K$24-$AA21),$Z21))-$Z21))&lt;=Lists!K$21)*(EDATE($G21,(((Lists!K$24-$AA21)-MOD((Lists!K$24-$AA21),$Z21))-$Z21))&lt;=$AB21)))))</f>
        <v>0</v>
      </c>
      <c r="S21" s="53" t="n">
        <f aca="false">IF(OR(N($E21)=0,$G21=""),0,$I21*IF($F21="Weekly",((Lists!L$21-MOD(Lists!L$21-$G21,7))&gt;=$G21)*((Lists!L$21-MOD(Lists!L$21-$G21,7))&lt;=$AB21),IF($F21="One-off",($G21&gt;Lists!L$23)*($G21&lt;=Lists!L$21),IF($F21="",0,(((Lists!L$24-$AA21)-MOD((Lists!L$24-$AA21),$Z21))&gt;=0)*(EDATE($G21,((Lists!L$24-$AA21)-MOD((Lists!L$24-$AA21),$Z21)))&gt;Lists!L$23)*(EDATE($G21,((Lists!L$24-$AA21)-MOD((Lists!L$24-$AA21),$Z21)))&lt;=Lists!L$21)*(EDATE($G21,((Lists!L$24-$AA21)-MOD((Lists!L$24-$AA21),$Z21)))&lt;=$AB21)+((((Lists!L$24-$AA21)-MOD((Lists!L$24-$AA21),$Z21))-$Z21)&gt;=0)*(EDATE($G21,(((Lists!L$24-$AA21)-MOD((Lists!L$24-$AA21),$Z21))-$Z21))&gt;Lists!L$23)*(EDATE($G21,(((Lists!L$24-$AA21)-MOD((Lists!L$24-$AA21),$Z21))-$Z21))&lt;=Lists!L$21)*(EDATE($G21,(((Lists!L$24-$AA21)-MOD((Lists!L$24-$AA21),$Z21))-$Z21))&lt;=$AB21)))))</f>
        <v>0</v>
      </c>
      <c r="T21" s="53" t="n">
        <f aca="false">IF(OR(N($E21)=0,$G21=""),0,$I21*IF($F21="Weekly",((Lists!M$21-MOD(Lists!M$21-$G21,7))&gt;=$G21)*((Lists!M$21-MOD(Lists!M$21-$G21,7))&lt;=$AB21),IF($F21="One-off",($G21&gt;Lists!M$23)*($G21&lt;=Lists!M$21),IF($F21="",0,(((Lists!M$24-$AA21)-MOD((Lists!M$24-$AA21),$Z21))&gt;=0)*(EDATE($G21,((Lists!M$24-$AA21)-MOD((Lists!M$24-$AA21),$Z21)))&gt;Lists!M$23)*(EDATE($G21,((Lists!M$24-$AA21)-MOD((Lists!M$24-$AA21),$Z21)))&lt;=Lists!M$21)*(EDATE($G21,((Lists!M$24-$AA21)-MOD((Lists!M$24-$AA21),$Z21)))&lt;=$AB21)+((((Lists!M$24-$AA21)-MOD((Lists!M$24-$AA21),$Z21))-$Z21)&gt;=0)*(EDATE($G21,(((Lists!M$24-$AA21)-MOD((Lists!M$24-$AA21),$Z21))-$Z21))&gt;Lists!M$23)*(EDATE($G21,(((Lists!M$24-$AA21)-MOD((Lists!M$24-$AA21),$Z21))-$Z21))&lt;=Lists!M$21)*(EDATE($G21,(((Lists!M$24-$AA21)-MOD((Lists!M$24-$AA21),$Z21))-$Z21))&lt;=$AB21)))))</f>
        <v>0</v>
      </c>
      <c r="U21" s="53" t="n">
        <f aca="false">IF(OR(N($E21)=0,$G21=""),0,$I21*IF($F21="Weekly",((Lists!N$21-MOD(Lists!N$21-$G21,7))&gt;=$G21)*((Lists!N$21-MOD(Lists!N$21-$G21,7))&lt;=$AB21),IF($F21="One-off",($G21&gt;Lists!N$23)*($G21&lt;=Lists!N$21),IF($F21="",0,(((Lists!N$24-$AA21)-MOD((Lists!N$24-$AA21),$Z21))&gt;=0)*(EDATE($G21,((Lists!N$24-$AA21)-MOD((Lists!N$24-$AA21),$Z21)))&gt;Lists!N$23)*(EDATE($G21,((Lists!N$24-$AA21)-MOD((Lists!N$24-$AA21),$Z21)))&lt;=Lists!N$21)*(EDATE($G21,((Lists!N$24-$AA21)-MOD((Lists!N$24-$AA21),$Z21)))&lt;=$AB21)+((((Lists!N$24-$AA21)-MOD((Lists!N$24-$AA21),$Z21))-$Z21)&gt;=0)*(EDATE($G21,(((Lists!N$24-$AA21)-MOD((Lists!N$24-$AA21),$Z21))-$Z21))&gt;Lists!N$23)*(EDATE($G21,(((Lists!N$24-$AA21)-MOD((Lists!N$24-$AA21),$Z21))-$Z21))&lt;=Lists!N$21)*(EDATE($G21,(((Lists!N$24-$AA21)-MOD((Lists!N$24-$AA21),$Z21))-$Z21))&lt;=$AB21)))))</f>
        <v>0</v>
      </c>
      <c r="V21" s="53" t="n">
        <f aca="false">IF(OR(N($E21)=0,$G21=""),0,$I21*IF($F21="Weekly",((Lists!O$21-MOD(Lists!O$21-$G21,7))&gt;=$G21)*((Lists!O$21-MOD(Lists!O$21-$G21,7))&lt;=$AB21),IF($F21="One-off",($G21&gt;Lists!O$23)*($G21&lt;=Lists!O$21),IF($F21="",0,(((Lists!O$24-$AA21)-MOD((Lists!O$24-$AA21),$Z21))&gt;=0)*(EDATE($G21,((Lists!O$24-$AA21)-MOD((Lists!O$24-$AA21),$Z21)))&gt;Lists!O$23)*(EDATE($G21,((Lists!O$24-$AA21)-MOD((Lists!O$24-$AA21),$Z21)))&lt;=Lists!O$21)*(EDATE($G21,((Lists!O$24-$AA21)-MOD((Lists!O$24-$AA21),$Z21)))&lt;=$AB21)+((((Lists!O$24-$AA21)-MOD((Lists!O$24-$AA21),$Z21))-$Z21)&gt;=0)*(EDATE($G21,(((Lists!O$24-$AA21)-MOD((Lists!O$24-$AA21),$Z21))-$Z21))&gt;Lists!O$23)*(EDATE($G21,(((Lists!O$24-$AA21)-MOD((Lists!O$24-$AA21),$Z21))-$Z21))&lt;=Lists!O$21)*(EDATE($G21,(((Lists!O$24-$AA21)-MOD((Lists!O$24-$AA21),$Z21))-$Z21))&lt;=$AB21)))))</f>
        <v>0</v>
      </c>
      <c r="W21" s="46" t="n">
        <f aca="false">SUM(J21:V21)</f>
        <v>0</v>
      </c>
      <c r="X21" s="2"/>
      <c r="Y21" s="104" t="n">
        <f aca="false">1</f>
        <v>1</v>
      </c>
      <c r="Z21" s="94" t="n">
        <f aca="false">IF(F21="Quarterly",3,IF(F21="Annually",12,1))</f>
        <v>1</v>
      </c>
      <c r="AA21" s="94" t="n">
        <f aca="false">IF(G21="",0,YEAR(G21)*12+MONTH(G21))</f>
        <v>0</v>
      </c>
      <c r="AB21" s="93" t="n">
        <f aca="false">IF(H21="",2958465,H21)</f>
        <v>2958465</v>
      </c>
      <c r="AC21" s="95" t="str">
        <f aca="false">IF(C21="","Other tax",C21)</f>
        <v>Other tax</v>
      </c>
    </row>
    <row r="22" customFormat="false" ht="15" hidden="false" customHeight="false" outlineLevel="0" collapsed="false">
      <c r="A22" s="87" t="n">
        <v>14</v>
      </c>
      <c r="B22" s="55"/>
      <c r="C22" s="55"/>
      <c r="D22" s="2"/>
      <c r="E22" s="88"/>
      <c r="F22" s="58"/>
      <c r="G22" s="90"/>
      <c r="H22" s="90"/>
      <c r="I22" s="92" t="n">
        <f aca="false">N(E22)*Y22</f>
        <v>0</v>
      </c>
      <c r="J22" s="53" t="n">
        <f aca="false">IF(OR(N($E22)=0,$G22=""),0,$I22*IF($F22="Weekly",((Lists!C$21-MOD(Lists!C$21-$G22,7))&gt;=$G22)*((Lists!C$21-MOD(Lists!C$21-$G22,7))&lt;=$AB22),IF($F22="One-off",($G22&gt;Lists!C$23)*($G22&lt;=Lists!C$21),IF($F22="",0,(((Lists!C$24-$AA22)-MOD((Lists!C$24-$AA22),$Z22))&gt;=0)*(EDATE($G22,((Lists!C$24-$AA22)-MOD((Lists!C$24-$AA22),$Z22)))&gt;Lists!C$23)*(EDATE($G22,((Lists!C$24-$AA22)-MOD((Lists!C$24-$AA22),$Z22)))&lt;=Lists!C$21)*(EDATE($G22,((Lists!C$24-$AA22)-MOD((Lists!C$24-$AA22),$Z22)))&lt;=$AB22)+((((Lists!C$24-$AA22)-MOD((Lists!C$24-$AA22),$Z22))-$Z22)&gt;=0)*(EDATE($G22,(((Lists!C$24-$AA22)-MOD((Lists!C$24-$AA22),$Z22))-$Z22))&gt;Lists!C$23)*(EDATE($G22,(((Lists!C$24-$AA22)-MOD((Lists!C$24-$AA22),$Z22))-$Z22))&lt;=Lists!C$21)*(EDATE($G22,(((Lists!C$24-$AA22)-MOD((Lists!C$24-$AA22),$Z22))-$Z22))&lt;=$AB22)))))</f>
        <v>0</v>
      </c>
      <c r="K22" s="53" t="n">
        <f aca="false">IF(OR(N($E22)=0,$G22=""),0,$I22*IF($F22="Weekly",((Lists!D$21-MOD(Lists!D$21-$G22,7))&gt;=$G22)*((Lists!D$21-MOD(Lists!D$21-$G22,7))&lt;=$AB22),IF($F22="One-off",($G22&gt;Lists!D$23)*($G22&lt;=Lists!D$21),IF($F22="",0,(((Lists!D$24-$AA22)-MOD((Lists!D$24-$AA22),$Z22))&gt;=0)*(EDATE($G22,((Lists!D$24-$AA22)-MOD((Lists!D$24-$AA22),$Z22)))&gt;Lists!D$23)*(EDATE($G22,((Lists!D$24-$AA22)-MOD((Lists!D$24-$AA22),$Z22)))&lt;=Lists!D$21)*(EDATE($G22,((Lists!D$24-$AA22)-MOD((Lists!D$24-$AA22),$Z22)))&lt;=$AB22)+((((Lists!D$24-$AA22)-MOD((Lists!D$24-$AA22),$Z22))-$Z22)&gt;=0)*(EDATE($G22,(((Lists!D$24-$AA22)-MOD((Lists!D$24-$AA22),$Z22))-$Z22))&gt;Lists!D$23)*(EDATE($G22,(((Lists!D$24-$AA22)-MOD((Lists!D$24-$AA22),$Z22))-$Z22))&lt;=Lists!D$21)*(EDATE($G22,(((Lists!D$24-$AA22)-MOD((Lists!D$24-$AA22),$Z22))-$Z22))&lt;=$AB22)))))</f>
        <v>0</v>
      </c>
      <c r="L22" s="53" t="n">
        <f aca="false">IF(OR(N($E22)=0,$G22=""),0,$I22*IF($F22="Weekly",((Lists!E$21-MOD(Lists!E$21-$G22,7))&gt;=$G22)*((Lists!E$21-MOD(Lists!E$21-$G22,7))&lt;=$AB22),IF($F22="One-off",($G22&gt;Lists!E$23)*($G22&lt;=Lists!E$21),IF($F22="",0,(((Lists!E$24-$AA22)-MOD((Lists!E$24-$AA22),$Z22))&gt;=0)*(EDATE($G22,((Lists!E$24-$AA22)-MOD((Lists!E$24-$AA22),$Z22)))&gt;Lists!E$23)*(EDATE($G22,((Lists!E$24-$AA22)-MOD((Lists!E$24-$AA22),$Z22)))&lt;=Lists!E$21)*(EDATE($G22,((Lists!E$24-$AA22)-MOD((Lists!E$24-$AA22),$Z22)))&lt;=$AB22)+((((Lists!E$24-$AA22)-MOD((Lists!E$24-$AA22),$Z22))-$Z22)&gt;=0)*(EDATE($G22,(((Lists!E$24-$AA22)-MOD((Lists!E$24-$AA22),$Z22))-$Z22))&gt;Lists!E$23)*(EDATE($G22,(((Lists!E$24-$AA22)-MOD((Lists!E$24-$AA22),$Z22))-$Z22))&lt;=Lists!E$21)*(EDATE($G22,(((Lists!E$24-$AA22)-MOD((Lists!E$24-$AA22),$Z22))-$Z22))&lt;=$AB22)))))</f>
        <v>0</v>
      </c>
      <c r="M22" s="53" t="n">
        <f aca="false">IF(OR(N($E22)=0,$G22=""),0,$I22*IF($F22="Weekly",((Lists!F$21-MOD(Lists!F$21-$G22,7))&gt;=$G22)*((Lists!F$21-MOD(Lists!F$21-$G22,7))&lt;=$AB22),IF($F22="One-off",($G22&gt;Lists!F$23)*($G22&lt;=Lists!F$21),IF($F22="",0,(((Lists!F$24-$AA22)-MOD((Lists!F$24-$AA22),$Z22))&gt;=0)*(EDATE($G22,((Lists!F$24-$AA22)-MOD((Lists!F$24-$AA22),$Z22)))&gt;Lists!F$23)*(EDATE($G22,((Lists!F$24-$AA22)-MOD((Lists!F$24-$AA22),$Z22)))&lt;=Lists!F$21)*(EDATE($G22,((Lists!F$24-$AA22)-MOD((Lists!F$24-$AA22),$Z22)))&lt;=$AB22)+((((Lists!F$24-$AA22)-MOD((Lists!F$24-$AA22),$Z22))-$Z22)&gt;=0)*(EDATE($G22,(((Lists!F$24-$AA22)-MOD((Lists!F$24-$AA22),$Z22))-$Z22))&gt;Lists!F$23)*(EDATE($G22,(((Lists!F$24-$AA22)-MOD((Lists!F$24-$AA22),$Z22))-$Z22))&lt;=Lists!F$21)*(EDATE($G22,(((Lists!F$24-$AA22)-MOD((Lists!F$24-$AA22),$Z22))-$Z22))&lt;=$AB22)))))</f>
        <v>0</v>
      </c>
      <c r="N22" s="53" t="n">
        <f aca="false">IF(OR(N($E22)=0,$G22=""),0,$I22*IF($F22="Weekly",((Lists!G$21-MOD(Lists!G$21-$G22,7))&gt;=$G22)*((Lists!G$21-MOD(Lists!G$21-$G22,7))&lt;=$AB22),IF($F22="One-off",($G22&gt;Lists!G$23)*($G22&lt;=Lists!G$21),IF($F22="",0,(((Lists!G$24-$AA22)-MOD((Lists!G$24-$AA22),$Z22))&gt;=0)*(EDATE($G22,((Lists!G$24-$AA22)-MOD((Lists!G$24-$AA22),$Z22)))&gt;Lists!G$23)*(EDATE($G22,((Lists!G$24-$AA22)-MOD((Lists!G$24-$AA22),$Z22)))&lt;=Lists!G$21)*(EDATE($G22,((Lists!G$24-$AA22)-MOD((Lists!G$24-$AA22),$Z22)))&lt;=$AB22)+((((Lists!G$24-$AA22)-MOD((Lists!G$24-$AA22),$Z22))-$Z22)&gt;=0)*(EDATE($G22,(((Lists!G$24-$AA22)-MOD((Lists!G$24-$AA22),$Z22))-$Z22))&gt;Lists!G$23)*(EDATE($G22,(((Lists!G$24-$AA22)-MOD((Lists!G$24-$AA22),$Z22))-$Z22))&lt;=Lists!G$21)*(EDATE($G22,(((Lists!G$24-$AA22)-MOD((Lists!G$24-$AA22),$Z22))-$Z22))&lt;=$AB22)))))</f>
        <v>0</v>
      </c>
      <c r="O22" s="53" t="n">
        <f aca="false">IF(OR(N($E22)=0,$G22=""),0,$I22*IF($F22="Weekly",((Lists!H$21-MOD(Lists!H$21-$G22,7))&gt;=$G22)*((Lists!H$21-MOD(Lists!H$21-$G22,7))&lt;=$AB22),IF($F22="One-off",($G22&gt;Lists!H$23)*($G22&lt;=Lists!H$21),IF($F22="",0,(((Lists!H$24-$AA22)-MOD((Lists!H$24-$AA22),$Z22))&gt;=0)*(EDATE($G22,((Lists!H$24-$AA22)-MOD((Lists!H$24-$AA22),$Z22)))&gt;Lists!H$23)*(EDATE($G22,((Lists!H$24-$AA22)-MOD((Lists!H$24-$AA22),$Z22)))&lt;=Lists!H$21)*(EDATE($G22,((Lists!H$24-$AA22)-MOD((Lists!H$24-$AA22),$Z22)))&lt;=$AB22)+((((Lists!H$24-$AA22)-MOD((Lists!H$24-$AA22),$Z22))-$Z22)&gt;=0)*(EDATE($G22,(((Lists!H$24-$AA22)-MOD((Lists!H$24-$AA22),$Z22))-$Z22))&gt;Lists!H$23)*(EDATE($G22,(((Lists!H$24-$AA22)-MOD((Lists!H$24-$AA22),$Z22))-$Z22))&lt;=Lists!H$21)*(EDATE($G22,(((Lists!H$24-$AA22)-MOD((Lists!H$24-$AA22),$Z22))-$Z22))&lt;=$AB22)))))</f>
        <v>0</v>
      </c>
      <c r="P22" s="53" t="n">
        <f aca="false">IF(OR(N($E22)=0,$G22=""),0,$I22*IF($F22="Weekly",((Lists!I$21-MOD(Lists!I$21-$G22,7))&gt;=$G22)*((Lists!I$21-MOD(Lists!I$21-$G22,7))&lt;=$AB22),IF($F22="One-off",($G22&gt;Lists!I$23)*($G22&lt;=Lists!I$21),IF($F22="",0,(((Lists!I$24-$AA22)-MOD((Lists!I$24-$AA22),$Z22))&gt;=0)*(EDATE($G22,((Lists!I$24-$AA22)-MOD((Lists!I$24-$AA22),$Z22)))&gt;Lists!I$23)*(EDATE($G22,((Lists!I$24-$AA22)-MOD((Lists!I$24-$AA22),$Z22)))&lt;=Lists!I$21)*(EDATE($G22,((Lists!I$24-$AA22)-MOD((Lists!I$24-$AA22),$Z22)))&lt;=$AB22)+((((Lists!I$24-$AA22)-MOD((Lists!I$24-$AA22),$Z22))-$Z22)&gt;=0)*(EDATE($G22,(((Lists!I$24-$AA22)-MOD((Lists!I$24-$AA22),$Z22))-$Z22))&gt;Lists!I$23)*(EDATE($G22,(((Lists!I$24-$AA22)-MOD((Lists!I$24-$AA22),$Z22))-$Z22))&lt;=Lists!I$21)*(EDATE($G22,(((Lists!I$24-$AA22)-MOD((Lists!I$24-$AA22),$Z22))-$Z22))&lt;=$AB22)))))</f>
        <v>0</v>
      </c>
      <c r="Q22" s="53" t="n">
        <f aca="false">IF(OR(N($E22)=0,$G22=""),0,$I22*IF($F22="Weekly",((Lists!J$21-MOD(Lists!J$21-$G22,7))&gt;=$G22)*((Lists!J$21-MOD(Lists!J$21-$G22,7))&lt;=$AB22),IF($F22="One-off",($G22&gt;Lists!J$23)*($G22&lt;=Lists!J$21),IF($F22="",0,(((Lists!J$24-$AA22)-MOD((Lists!J$24-$AA22),$Z22))&gt;=0)*(EDATE($G22,((Lists!J$24-$AA22)-MOD((Lists!J$24-$AA22),$Z22)))&gt;Lists!J$23)*(EDATE($G22,((Lists!J$24-$AA22)-MOD((Lists!J$24-$AA22),$Z22)))&lt;=Lists!J$21)*(EDATE($G22,((Lists!J$24-$AA22)-MOD((Lists!J$24-$AA22),$Z22)))&lt;=$AB22)+((((Lists!J$24-$AA22)-MOD((Lists!J$24-$AA22),$Z22))-$Z22)&gt;=0)*(EDATE($G22,(((Lists!J$24-$AA22)-MOD((Lists!J$24-$AA22),$Z22))-$Z22))&gt;Lists!J$23)*(EDATE($G22,(((Lists!J$24-$AA22)-MOD((Lists!J$24-$AA22),$Z22))-$Z22))&lt;=Lists!J$21)*(EDATE($G22,(((Lists!J$24-$AA22)-MOD((Lists!J$24-$AA22),$Z22))-$Z22))&lt;=$AB22)))))</f>
        <v>0</v>
      </c>
      <c r="R22" s="53" t="n">
        <f aca="false">IF(OR(N($E22)=0,$G22=""),0,$I22*IF($F22="Weekly",((Lists!K$21-MOD(Lists!K$21-$G22,7))&gt;=$G22)*((Lists!K$21-MOD(Lists!K$21-$G22,7))&lt;=$AB22),IF($F22="One-off",($G22&gt;Lists!K$23)*($G22&lt;=Lists!K$21),IF($F22="",0,(((Lists!K$24-$AA22)-MOD((Lists!K$24-$AA22),$Z22))&gt;=0)*(EDATE($G22,((Lists!K$24-$AA22)-MOD((Lists!K$24-$AA22),$Z22)))&gt;Lists!K$23)*(EDATE($G22,((Lists!K$24-$AA22)-MOD((Lists!K$24-$AA22),$Z22)))&lt;=Lists!K$21)*(EDATE($G22,((Lists!K$24-$AA22)-MOD((Lists!K$24-$AA22),$Z22)))&lt;=$AB22)+((((Lists!K$24-$AA22)-MOD((Lists!K$24-$AA22),$Z22))-$Z22)&gt;=0)*(EDATE($G22,(((Lists!K$24-$AA22)-MOD((Lists!K$24-$AA22),$Z22))-$Z22))&gt;Lists!K$23)*(EDATE($G22,(((Lists!K$24-$AA22)-MOD((Lists!K$24-$AA22),$Z22))-$Z22))&lt;=Lists!K$21)*(EDATE($G22,(((Lists!K$24-$AA22)-MOD((Lists!K$24-$AA22),$Z22))-$Z22))&lt;=$AB22)))))</f>
        <v>0</v>
      </c>
      <c r="S22" s="53" t="n">
        <f aca="false">IF(OR(N($E22)=0,$G22=""),0,$I22*IF($F22="Weekly",((Lists!L$21-MOD(Lists!L$21-$G22,7))&gt;=$G22)*((Lists!L$21-MOD(Lists!L$21-$G22,7))&lt;=$AB22),IF($F22="One-off",($G22&gt;Lists!L$23)*($G22&lt;=Lists!L$21),IF($F22="",0,(((Lists!L$24-$AA22)-MOD((Lists!L$24-$AA22),$Z22))&gt;=0)*(EDATE($G22,((Lists!L$24-$AA22)-MOD((Lists!L$24-$AA22),$Z22)))&gt;Lists!L$23)*(EDATE($G22,((Lists!L$24-$AA22)-MOD((Lists!L$24-$AA22),$Z22)))&lt;=Lists!L$21)*(EDATE($G22,((Lists!L$24-$AA22)-MOD((Lists!L$24-$AA22),$Z22)))&lt;=$AB22)+((((Lists!L$24-$AA22)-MOD((Lists!L$24-$AA22),$Z22))-$Z22)&gt;=0)*(EDATE($G22,(((Lists!L$24-$AA22)-MOD((Lists!L$24-$AA22),$Z22))-$Z22))&gt;Lists!L$23)*(EDATE($G22,(((Lists!L$24-$AA22)-MOD((Lists!L$24-$AA22),$Z22))-$Z22))&lt;=Lists!L$21)*(EDATE($G22,(((Lists!L$24-$AA22)-MOD((Lists!L$24-$AA22),$Z22))-$Z22))&lt;=$AB22)))))</f>
        <v>0</v>
      </c>
      <c r="T22" s="53" t="n">
        <f aca="false">IF(OR(N($E22)=0,$G22=""),0,$I22*IF($F22="Weekly",((Lists!M$21-MOD(Lists!M$21-$G22,7))&gt;=$G22)*((Lists!M$21-MOD(Lists!M$21-$G22,7))&lt;=$AB22),IF($F22="One-off",($G22&gt;Lists!M$23)*($G22&lt;=Lists!M$21),IF($F22="",0,(((Lists!M$24-$AA22)-MOD((Lists!M$24-$AA22),$Z22))&gt;=0)*(EDATE($G22,((Lists!M$24-$AA22)-MOD((Lists!M$24-$AA22),$Z22)))&gt;Lists!M$23)*(EDATE($G22,((Lists!M$24-$AA22)-MOD((Lists!M$24-$AA22),$Z22)))&lt;=Lists!M$21)*(EDATE($G22,((Lists!M$24-$AA22)-MOD((Lists!M$24-$AA22),$Z22)))&lt;=$AB22)+((((Lists!M$24-$AA22)-MOD((Lists!M$24-$AA22),$Z22))-$Z22)&gt;=0)*(EDATE($G22,(((Lists!M$24-$AA22)-MOD((Lists!M$24-$AA22),$Z22))-$Z22))&gt;Lists!M$23)*(EDATE($G22,(((Lists!M$24-$AA22)-MOD((Lists!M$24-$AA22),$Z22))-$Z22))&lt;=Lists!M$21)*(EDATE($G22,(((Lists!M$24-$AA22)-MOD((Lists!M$24-$AA22),$Z22))-$Z22))&lt;=$AB22)))))</f>
        <v>0</v>
      </c>
      <c r="U22" s="53" t="n">
        <f aca="false">IF(OR(N($E22)=0,$G22=""),0,$I22*IF($F22="Weekly",((Lists!N$21-MOD(Lists!N$21-$G22,7))&gt;=$G22)*((Lists!N$21-MOD(Lists!N$21-$G22,7))&lt;=$AB22),IF($F22="One-off",($G22&gt;Lists!N$23)*($G22&lt;=Lists!N$21),IF($F22="",0,(((Lists!N$24-$AA22)-MOD((Lists!N$24-$AA22),$Z22))&gt;=0)*(EDATE($G22,((Lists!N$24-$AA22)-MOD((Lists!N$24-$AA22),$Z22)))&gt;Lists!N$23)*(EDATE($G22,((Lists!N$24-$AA22)-MOD((Lists!N$24-$AA22),$Z22)))&lt;=Lists!N$21)*(EDATE($G22,((Lists!N$24-$AA22)-MOD((Lists!N$24-$AA22),$Z22)))&lt;=$AB22)+((((Lists!N$24-$AA22)-MOD((Lists!N$24-$AA22),$Z22))-$Z22)&gt;=0)*(EDATE($G22,(((Lists!N$24-$AA22)-MOD((Lists!N$24-$AA22),$Z22))-$Z22))&gt;Lists!N$23)*(EDATE($G22,(((Lists!N$24-$AA22)-MOD((Lists!N$24-$AA22),$Z22))-$Z22))&lt;=Lists!N$21)*(EDATE($G22,(((Lists!N$24-$AA22)-MOD((Lists!N$24-$AA22),$Z22))-$Z22))&lt;=$AB22)))))</f>
        <v>0</v>
      </c>
      <c r="V22" s="53" t="n">
        <f aca="false">IF(OR(N($E22)=0,$G22=""),0,$I22*IF($F22="Weekly",((Lists!O$21-MOD(Lists!O$21-$G22,7))&gt;=$G22)*((Lists!O$21-MOD(Lists!O$21-$G22,7))&lt;=$AB22),IF($F22="One-off",($G22&gt;Lists!O$23)*($G22&lt;=Lists!O$21),IF($F22="",0,(((Lists!O$24-$AA22)-MOD((Lists!O$24-$AA22),$Z22))&gt;=0)*(EDATE($G22,((Lists!O$24-$AA22)-MOD((Lists!O$24-$AA22),$Z22)))&gt;Lists!O$23)*(EDATE($G22,((Lists!O$24-$AA22)-MOD((Lists!O$24-$AA22),$Z22)))&lt;=Lists!O$21)*(EDATE($G22,((Lists!O$24-$AA22)-MOD((Lists!O$24-$AA22),$Z22)))&lt;=$AB22)+((((Lists!O$24-$AA22)-MOD((Lists!O$24-$AA22),$Z22))-$Z22)&gt;=0)*(EDATE($G22,(((Lists!O$24-$AA22)-MOD((Lists!O$24-$AA22),$Z22))-$Z22))&gt;Lists!O$23)*(EDATE($G22,(((Lists!O$24-$AA22)-MOD((Lists!O$24-$AA22),$Z22))-$Z22))&lt;=Lists!O$21)*(EDATE($G22,(((Lists!O$24-$AA22)-MOD((Lists!O$24-$AA22),$Z22))-$Z22))&lt;=$AB22)))))</f>
        <v>0</v>
      </c>
      <c r="W22" s="46" t="n">
        <f aca="false">SUM(J22:V22)</f>
        <v>0</v>
      </c>
      <c r="X22" s="2"/>
      <c r="Y22" s="104" t="n">
        <f aca="false">1</f>
        <v>1</v>
      </c>
      <c r="Z22" s="94" t="n">
        <f aca="false">IF(F22="Quarterly",3,IF(F22="Annually",12,1))</f>
        <v>1</v>
      </c>
      <c r="AA22" s="94" t="n">
        <f aca="false">IF(G22="",0,YEAR(G22)*12+MONTH(G22))</f>
        <v>0</v>
      </c>
      <c r="AB22" s="93" t="n">
        <f aca="false">IF(H22="",2958465,H22)</f>
        <v>2958465</v>
      </c>
      <c r="AC22" s="95" t="str">
        <f aca="false">IF(C22="","Other tax",C22)</f>
        <v>Other tax</v>
      </c>
    </row>
    <row r="23" customFormat="false" ht="15" hidden="false" customHeight="false" outlineLevel="0" collapsed="false">
      <c r="A23" s="87" t="n">
        <v>15</v>
      </c>
      <c r="B23" s="55"/>
      <c r="C23" s="55"/>
      <c r="D23" s="2"/>
      <c r="E23" s="88"/>
      <c r="F23" s="58"/>
      <c r="G23" s="90"/>
      <c r="H23" s="90"/>
      <c r="I23" s="92" t="n">
        <f aca="false">N(E23)*Y23</f>
        <v>0</v>
      </c>
      <c r="J23" s="53" t="n">
        <f aca="false">IF(OR(N($E23)=0,$G23=""),0,$I23*IF($F23="Weekly",((Lists!C$21-MOD(Lists!C$21-$G23,7))&gt;=$G23)*((Lists!C$21-MOD(Lists!C$21-$G23,7))&lt;=$AB23),IF($F23="One-off",($G23&gt;Lists!C$23)*($G23&lt;=Lists!C$21),IF($F23="",0,(((Lists!C$24-$AA23)-MOD((Lists!C$24-$AA23),$Z23))&gt;=0)*(EDATE($G23,((Lists!C$24-$AA23)-MOD((Lists!C$24-$AA23),$Z23)))&gt;Lists!C$23)*(EDATE($G23,((Lists!C$24-$AA23)-MOD((Lists!C$24-$AA23),$Z23)))&lt;=Lists!C$21)*(EDATE($G23,((Lists!C$24-$AA23)-MOD((Lists!C$24-$AA23),$Z23)))&lt;=$AB23)+((((Lists!C$24-$AA23)-MOD((Lists!C$24-$AA23),$Z23))-$Z23)&gt;=0)*(EDATE($G23,(((Lists!C$24-$AA23)-MOD((Lists!C$24-$AA23),$Z23))-$Z23))&gt;Lists!C$23)*(EDATE($G23,(((Lists!C$24-$AA23)-MOD((Lists!C$24-$AA23),$Z23))-$Z23))&lt;=Lists!C$21)*(EDATE($G23,(((Lists!C$24-$AA23)-MOD((Lists!C$24-$AA23),$Z23))-$Z23))&lt;=$AB23)))))</f>
        <v>0</v>
      </c>
      <c r="K23" s="53" t="n">
        <f aca="false">IF(OR(N($E23)=0,$G23=""),0,$I23*IF($F23="Weekly",((Lists!D$21-MOD(Lists!D$21-$G23,7))&gt;=$G23)*((Lists!D$21-MOD(Lists!D$21-$G23,7))&lt;=$AB23),IF($F23="One-off",($G23&gt;Lists!D$23)*($G23&lt;=Lists!D$21),IF($F23="",0,(((Lists!D$24-$AA23)-MOD((Lists!D$24-$AA23),$Z23))&gt;=0)*(EDATE($G23,((Lists!D$24-$AA23)-MOD((Lists!D$24-$AA23),$Z23)))&gt;Lists!D$23)*(EDATE($G23,((Lists!D$24-$AA23)-MOD((Lists!D$24-$AA23),$Z23)))&lt;=Lists!D$21)*(EDATE($G23,((Lists!D$24-$AA23)-MOD((Lists!D$24-$AA23),$Z23)))&lt;=$AB23)+((((Lists!D$24-$AA23)-MOD((Lists!D$24-$AA23),$Z23))-$Z23)&gt;=0)*(EDATE($G23,(((Lists!D$24-$AA23)-MOD((Lists!D$24-$AA23),$Z23))-$Z23))&gt;Lists!D$23)*(EDATE($G23,(((Lists!D$24-$AA23)-MOD((Lists!D$24-$AA23),$Z23))-$Z23))&lt;=Lists!D$21)*(EDATE($G23,(((Lists!D$24-$AA23)-MOD((Lists!D$24-$AA23),$Z23))-$Z23))&lt;=$AB23)))))</f>
        <v>0</v>
      </c>
      <c r="L23" s="53" t="n">
        <f aca="false">IF(OR(N($E23)=0,$G23=""),0,$I23*IF($F23="Weekly",((Lists!E$21-MOD(Lists!E$21-$G23,7))&gt;=$G23)*((Lists!E$21-MOD(Lists!E$21-$G23,7))&lt;=$AB23),IF($F23="One-off",($G23&gt;Lists!E$23)*($G23&lt;=Lists!E$21),IF($F23="",0,(((Lists!E$24-$AA23)-MOD((Lists!E$24-$AA23),$Z23))&gt;=0)*(EDATE($G23,((Lists!E$24-$AA23)-MOD((Lists!E$24-$AA23),$Z23)))&gt;Lists!E$23)*(EDATE($G23,((Lists!E$24-$AA23)-MOD((Lists!E$24-$AA23),$Z23)))&lt;=Lists!E$21)*(EDATE($G23,((Lists!E$24-$AA23)-MOD((Lists!E$24-$AA23),$Z23)))&lt;=$AB23)+((((Lists!E$24-$AA23)-MOD((Lists!E$24-$AA23),$Z23))-$Z23)&gt;=0)*(EDATE($G23,(((Lists!E$24-$AA23)-MOD((Lists!E$24-$AA23),$Z23))-$Z23))&gt;Lists!E$23)*(EDATE($G23,(((Lists!E$24-$AA23)-MOD((Lists!E$24-$AA23),$Z23))-$Z23))&lt;=Lists!E$21)*(EDATE($G23,(((Lists!E$24-$AA23)-MOD((Lists!E$24-$AA23),$Z23))-$Z23))&lt;=$AB23)))))</f>
        <v>0</v>
      </c>
      <c r="M23" s="53" t="n">
        <f aca="false">IF(OR(N($E23)=0,$G23=""),0,$I23*IF($F23="Weekly",((Lists!F$21-MOD(Lists!F$21-$G23,7))&gt;=$G23)*((Lists!F$21-MOD(Lists!F$21-$G23,7))&lt;=$AB23),IF($F23="One-off",($G23&gt;Lists!F$23)*($G23&lt;=Lists!F$21),IF($F23="",0,(((Lists!F$24-$AA23)-MOD((Lists!F$24-$AA23),$Z23))&gt;=0)*(EDATE($G23,((Lists!F$24-$AA23)-MOD((Lists!F$24-$AA23),$Z23)))&gt;Lists!F$23)*(EDATE($G23,((Lists!F$24-$AA23)-MOD((Lists!F$24-$AA23),$Z23)))&lt;=Lists!F$21)*(EDATE($G23,((Lists!F$24-$AA23)-MOD((Lists!F$24-$AA23),$Z23)))&lt;=$AB23)+((((Lists!F$24-$AA23)-MOD((Lists!F$24-$AA23),$Z23))-$Z23)&gt;=0)*(EDATE($G23,(((Lists!F$24-$AA23)-MOD((Lists!F$24-$AA23),$Z23))-$Z23))&gt;Lists!F$23)*(EDATE($G23,(((Lists!F$24-$AA23)-MOD((Lists!F$24-$AA23),$Z23))-$Z23))&lt;=Lists!F$21)*(EDATE($G23,(((Lists!F$24-$AA23)-MOD((Lists!F$24-$AA23),$Z23))-$Z23))&lt;=$AB23)))))</f>
        <v>0</v>
      </c>
      <c r="N23" s="53" t="n">
        <f aca="false">IF(OR(N($E23)=0,$G23=""),0,$I23*IF($F23="Weekly",((Lists!G$21-MOD(Lists!G$21-$G23,7))&gt;=$G23)*((Lists!G$21-MOD(Lists!G$21-$G23,7))&lt;=$AB23),IF($F23="One-off",($G23&gt;Lists!G$23)*($G23&lt;=Lists!G$21),IF($F23="",0,(((Lists!G$24-$AA23)-MOD((Lists!G$24-$AA23),$Z23))&gt;=0)*(EDATE($G23,((Lists!G$24-$AA23)-MOD((Lists!G$24-$AA23),$Z23)))&gt;Lists!G$23)*(EDATE($G23,((Lists!G$24-$AA23)-MOD((Lists!G$24-$AA23),$Z23)))&lt;=Lists!G$21)*(EDATE($G23,((Lists!G$24-$AA23)-MOD((Lists!G$24-$AA23),$Z23)))&lt;=$AB23)+((((Lists!G$24-$AA23)-MOD((Lists!G$24-$AA23),$Z23))-$Z23)&gt;=0)*(EDATE($G23,(((Lists!G$24-$AA23)-MOD((Lists!G$24-$AA23),$Z23))-$Z23))&gt;Lists!G$23)*(EDATE($G23,(((Lists!G$24-$AA23)-MOD((Lists!G$24-$AA23),$Z23))-$Z23))&lt;=Lists!G$21)*(EDATE($G23,(((Lists!G$24-$AA23)-MOD((Lists!G$24-$AA23),$Z23))-$Z23))&lt;=$AB23)))))</f>
        <v>0</v>
      </c>
      <c r="O23" s="53" t="n">
        <f aca="false">IF(OR(N($E23)=0,$G23=""),0,$I23*IF($F23="Weekly",((Lists!H$21-MOD(Lists!H$21-$G23,7))&gt;=$G23)*((Lists!H$21-MOD(Lists!H$21-$G23,7))&lt;=$AB23),IF($F23="One-off",($G23&gt;Lists!H$23)*($G23&lt;=Lists!H$21),IF($F23="",0,(((Lists!H$24-$AA23)-MOD((Lists!H$24-$AA23),$Z23))&gt;=0)*(EDATE($G23,((Lists!H$24-$AA23)-MOD((Lists!H$24-$AA23),$Z23)))&gt;Lists!H$23)*(EDATE($G23,((Lists!H$24-$AA23)-MOD((Lists!H$24-$AA23),$Z23)))&lt;=Lists!H$21)*(EDATE($G23,((Lists!H$24-$AA23)-MOD((Lists!H$24-$AA23),$Z23)))&lt;=$AB23)+((((Lists!H$24-$AA23)-MOD((Lists!H$24-$AA23),$Z23))-$Z23)&gt;=0)*(EDATE($G23,(((Lists!H$24-$AA23)-MOD((Lists!H$24-$AA23),$Z23))-$Z23))&gt;Lists!H$23)*(EDATE($G23,(((Lists!H$24-$AA23)-MOD((Lists!H$24-$AA23),$Z23))-$Z23))&lt;=Lists!H$21)*(EDATE($G23,(((Lists!H$24-$AA23)-MOD((Lists!H$24-$AA23),$Z23))-$Z23))&lt;=$AB23)))))</f>
        <v>0</v>
      </c>
      <c r="P23" s="53" t="n">
        <f aca="false">IF(OR(N($E23)=0,$G23=""),0,$I23*IF($F23="Weekly",((Lists!I$21-MOD(Lists!I$21-$G23,7))&gt;=$G23)*((Lists!I$21-MOD(Lists!I$21-$G23,7))&lt;=$AB23),IF($F23="One-off",($G23&gt;Lists!I$23)*($G23&lt;=Lists!I$21),IF($F23="",0,(((Lists!I$24-$AA23)-MOD((Lists!I$24-$AA23),$Z23))&gt;=0)*(EDATE($G23,((Lists!I$24-$AA23)-MOD((Lists!I$24-$AA23),$Z23)))&gt;Lists!I$23)*(EDATE($G23,((Lists!I$24-$AA23)-MOD((Lists!I$24-$AA23),$Z23)))&lt;=Lists!I$21)*(EDATE($G23,((Lists!I$24-$AA23)-MOD((Lists!I$24-$AA23),$Z23)))&lt;=$AB23)+((((Lists!I$24-$AA23)-MOD((Lists!I$24-$AA23),$Z23))-$Z23)&gt;=0)*(EDATE($G23,(((Lists!I$24-$AA23)-MOD((Lists!I$24-$AA23),$Z23))-$Z23))&gt;Lists!I$23)*(EDATE($G23,(((Lists!I$24-$AA23)-MOD((Lists!I$24-$AA23),$Z23))-$Z23))&lt;=Lists!I$21)*(EDATE($G23,(((Lists!I$24-$AA23)-MOD((Lists!I$24-$AA23),$Z23))-$Z23))&lt;=$AB23)))))</f>
        <v>0</v>
      </c>
      <c r="Q23" s="53" t="n">
        <f aca="false">IF(OR(N($E23)=0,$G23=""),0,$I23*IF($F23="Weekly",((Lists!J$21-MOD(Lists!J$21-$G23,7))&gt;=$G23)*((Lists!J$21-MOD(Lists!J$21-$G23,7))&lt;=$AB23),IF($F23="One-off",($G23&gt;Lists!J$23)*($G23&lt;=Lists!J$21),IF($F23="",0,(((Lists!J$24-$AA23)-MOD((Lists!J$24-$AA23),$Z23))&gt;=0)*(EDATE($G23,((Lists!J$24-$AA23)-MOD((Lists!J$24-$AA23),$Z23)))&gt;Lists!J$23)*(EDATE($G23,((Lists!J$24-$AA23)-MOD((Lists!J$24-$AA23),$Z23)))&lt;=Lists!J$21)*(EDATE($G23,((Lists!J$24-$AA23)-MOD((Lists!J$24-$AA23),$Z23)))&lt;=$AB23)+((((Lists!J$24-$AA23)-MOD((Lists!J$24-$AA23),$Z23))-$Z23)&gt;=0)*(EDATE($G23,(((Lists!J$24-$AA23)-MOD((Lists!J$24-$AA23),$Z23))-$Z23))&gt;Lists!J$23)*(EDATE($G23,(((Lists!J$24-$AA23)-MOD((Lists!J$24-$AA23),$Z23))-$Z23))&lt;=Lists!J$21)*(EDATE($G23,(((Lists!J$24-$AA23)-MOD((Lists!J$24-$AA23),$Z23))-$Z23))&lt;=$AB23)))))</f>
        <v>0</v>
      </c>
      <c r="R23" s="53" t="n">
        <f aca="false">IF(OR(N($E23)=0,$G23=""),0,$I23*IF($F23="Weekly",((Lists!K$21-MOD(Lists!K$21-$G23,7))&gt;=$G23)*((Lists!K$21-MOD(Lists!K$21-$G23,7))&lt;=$AB23),IF($F23="One-off",($G23&gt;Lists!K$23)*($G23&lt;=Lists!K$21),IF($F23="",0,(((Lists!K$24-$AA23)-MOD((Lists!K$24-$AA23),$Z23))&gt;=0)*(EDATE($G23,((Lists!K$24-$AA23)-MOD((Lists!K$24-$AA23),$Z23)))&gt;Lists!K$23)*(EDATE($G23,((Lists!K$24-$AA23)-MOD((Lists!K$24-$AA23),$Z23)))&lt;=Lists!K$21)*(EDATE($G23,((Lists!K$24-$AA23)-MOD((Lists!K$24-$AA23),$Z23)))&lt;=$AB23)+((((Lists!K$24-$AA23)-MOD((Lists!K$24-$AA23),$Z23))-$Z23)&gt;=0)*(EDATE($G23,(((Lists!K$24-$AA23)-MOD((Lists!K$24-$AA23),$Z23))-$Z23))&gt;Lists!K$23)*(EDATE($G23,(((Lists!K$24-$AA23)-MOD((Lists!K$24-$AA23),$Z23))-$Z23))&lt;=Lists!K$21)*(EDATE($G23,(((Lists!K$24-$AA23)-MOD((Lists!K$24-$AA23),$Z23))-$Z23))&lt;=$AB23)))))</f>
        <v>0</v>
      </c>
      <c r="S23" s="53" t="n">
        <f aca="false">IF(OR(N($E23)=0,$G23=""),0,$I23*IF($F23="Weekly",((Lists!L$21-MOD(Lists!L$21-$G23,7))&gt;=$G23)*((Lists!L$21-MOD(Lists!L$21-$G23,7))&lt;=$AB23),IF($F23="One-off",($G23&gt;Lists!L$23)*($G23&lt;=Lists!L$21),IF($F23="",0,(((Lists!L$24-$AA23)-MOD((Lists!L$24-$AA23),$Z23))&gt;=0)*(EDATE($G23,((Lists!L$24-$AA23)-MOD((Lists!L$24-$AA23),$Z23)))&gt;Lists!L$23)*(EDATE($G23,((Lists!L$24-$AA23)-MOD((Lists!L$24-$AA23),$Z23)))&lt;=Lists!L$21)*(EDATE($G23,((Lists!L$24-$AA23)-MOD((Lists!L$24-$AA23),$Z23)))&lt;=$AB23)+((((Lists!L$24-$AA23)-MOD((Lists!L$24-$AA23),$Z23))-$Z23)&gt;=0)*(EDATE($G23,(((Lists!L$24-$AA23)-MOD((Lists!L$24-$AA23),$Z23))-$Z23))&gt;Lists!L$23)*(EDATE($G23,(((Lists!L$24-$AA23)-MOD((Lists!L$24-$AA23),$Z23))-$Z23))&lt;=Lists!L$21)*(EDATE($G23,(((Lists!L$24-$AA23)-MOD((Lists!L$24-$AA23),$Z23))-$Z23))&lt;=$AB23)))))</f>
        <v>0</v>
      </c>
      <c r="T23" s="53" t="n">
        <f aca="false">IF(OR(N($E23)=0,$G23=""),0,$I23*IF($F23="Weekly",((Lists!M$21-MOD(Lists!M$21-$G23,7))&gt;=$G23)*((Lists!M$21-MOD(Lists!M$21-$G23,7))&lt;=$AB23),IF($F23="One-off",($G23&gt;Lists!M$23)*($G23&lt;=Lists!M$21),IF($F23="",0,(((Lists!M$24-$AA23)-MOD((Lists!M$24-$AA23),$Z23))&gt;=0)*(EDATE($G23,((Lists!M$24-$AA23)-MOD((Lists!M$24-$AA23),$Z23)))&gt;Lists!M$23)*(EDATE($G23,((Lists!M$24-$AA23)-MOD((Lists!M$24-$AA23),$Z23)))&lt;=Lists!M$21)*(EDATE($G23,((Lists!M$24-$AA23)-MOD((Lists!M$24-$AA23),$Z23)))&lt;=$AB23)+((((Lists!M$24-$AA23)-MOD((Lists!M$24-$AA23),$Z23))-$Z23)&gt;=0)*(EDATE($G23,(((Lists!M$24-$AA23)-MOD((Lists!M$24-$AA23),$Z23))-$Z23))&gt;Lists!M$23)*(EDATE($G23,(((Lists!M$24-$AA23)-MOD((Lists!M$24-$AA23),$Z23))-$Z23))&lt;=Lists!M$21)*(EDATE($G23,(((Lists!M$24-$AA23)-MOD((Lists!M$24-$AA23),$Z23))-$Z23))&lt;=$AB23)))))</f>
        <v>0</v>
      </c>
      <c r="U23" s="53" t="n">
        <f aca="false">IF(OR(N($E23)=0,$G23=""),0,$I23*IF($F23="Weekly",((Lists!N$21-MOD(Lists!N$21-$G23,7))&gt;=$G23)*((Lists!N$21-MOD(Lists!N$21-$G23,7))&lt;=$AB23),IF($F23="One-off",($G23&gt;Lists!N$23)*($G23&lt;=Lists!N$21),IF($F23="",0,(((Lists!N$24-$AA23)-MOD((Lists!N$24-$AA23),$Z23))&gt;=0)*(EDATE($G23,((Lists!N$24-$AA23)-MOD((Lists!N$24-$AA23),$Z23)))&gt;Lists!N$23)*(EDATE($G23,((Lists!N$24-$AA23)-MOD((Lists!N$24-$AA23),$Z23)))&lt;=Lists!N$21)*(EDATE($G23,((Lists!N$24-$AA23)-MOD((Lists!N$24-$AA23),$Z23)))&lt;=$AB23)+((((Lists!N$24-$AA23)-MOD((Lists!N$24-$AA23),$Z23))-$Z23)&gt;=0)*(EDATE($G23,(((Lists!N$24-$AA23)-MOD((Lists!N$24-$AA23),$Z23))-$Z23))&gt;Lists!N$23)*(EDATE($G23,(((Lists!N$24-$AA23)-MOD((Lists!N$24-$AA23),$Z23))-$Z23))&lt;=Lists!N$21)*(EDATE($G23,(((Lists!N$24-$AA23)-MOD((Lists!N$24-$AA23),$Z23))-$Z23))&lt;=$AB23)))))</f>
        <v>0</v>
      </c>
      <c r="V23" s="53" t="n">
        <f aca="false">IF(OR(N($E23)=0,$G23=""),0,$I23*IF($F23="Weekly",((Lists!O$21-MOD(Lists!O$21-$G23,7))&gt;=$G23)*((Lists!O$21-MOD(Lists!O$21-$G23,7))&lt;=$AB23),IF($F23="One-off",($G23&gt;Lists!O$23)*($G23&lt;=Lists!O$21),IF($F23="",0,(((Lists!O$24-$AA23)-MOD((Lists!O$24-$AA23),$Z23))&gt;=0)*(EDATE($G23,((Lists!O$24-$AA23)-MOD((Lists!O$24-$AA23),$Z23)))&gt;Lists!O$23)*(EDATE($G23,((Lists!O$24-$AA23)-MOD((Lists!O$24-$AA23),$Z23)))&lt;=Lists!O$21)*(EDATE($G23,((Lists!O$24-$AA23)-MOD((Lists!O$24-$AA23),$Z23)))&lt;=$AB23)+((((Lists!O$24-$AA23)-MOD((Lists!O$24-$AA23),$Z23))-$Z23)&gt;=0)*(EDATE($G23,(((Lists!O$24-$AA23)-MOD((Lists!O$24-$AA23),$Z23))-$Z23))&gt;Lists!O$23)*(EDATE($G23,(((Lists!O$24-$AA23)-MOD((Lists!O$24-$AA23),$Z23))-$Z23))&lt;=Lists!O$21)*(EDATE($G23,(((Lists!O$24-$AA23)-MOD((Lists!O$24-$AA23),$Z23))-$Z23))&lt;=$AB23)))))</f>
        <v>0</v>
      </c>
      <c r="W23" s="46" t="n">
        <f aca="false">SUM(J23:V23)</f>
        <v>0</v>
      </c>
      <c r="X23" s="2"/>
      <c r="Y23" s="104" t="n">
        <f aca="false">1</f>
        <v>1</v>
      </c>
      <c r="Z23" s="94" t="n">
        <f aca="false">IF(F23="Quarterly",3,IF(F23="Annually",12,1))</f>
        <v>1</v>
      </c>
      <c r="AA23" s="94" t="n">
        <f aca="false">IF(G23="",0,YEAR(G23)*12+MONTH(G23))</f>
        <v>0</v>
      </c>
      <c r="AB23" s="93" t="n">
        <f aca="false">IF(H23="",2958465,H23)</f>
        <v>2958465</v>
      </c>
      <c r="AC23" s="95" t="str">
        <f aca="false">IF(C23="","Other tax",C23)</f>
        <v>Other tax</v>
      </c>
    </row>
    <row r="24" customFormat="false" ht="15" hidden="false" customHeight="false" outlineLevel="0" collapsed="false">
      <c r="A24" s="87" t="n">
        <v>16</v>
      </c>
      <c r="B24" s="55"/>
      <c r="C24" s="55"/>
      <c r="D24" s="2"/>
      <c r="E24" s="88"/>
      <c r="F24" s="58"/>
      <c r="G24" s="90"/>
      <c r="H24" s="90"/>
      <c r="I24" s="92" t="n">
        <f aca="false">N(E24)*Y24</f>
        <v>0</v>
      </c>
      <c r="J24" s="53" t="n">
        <f aca="false">IF(OR(N($E24)=0,$G24=""),0,$I24*IF($F24="Weekly",((Lists!C$21-MOD(Lists!C$21-$G24,7))&gt;=$G24)*((Lists!C$21-MOD(Lists!C$21-$G24,7))&lt;=$AB24),IF($F24="One-off",($G24&gt;Lists!C$23)*($G24&lt;=Lists!C$21),IF($F24="",0,(((Lists!C$24-$AA24)-MOD((Lists!C$24-$AA24),$Z24))&gt;=0)*(EDATE($G24,((Lists!C$24-$AA24)-MOD((Lists!C$24-$AA24),$Z24)))&gt;Lists!C$23)*(EDATE($G24,((Lists!C$24-$AA24)-MOD((Lists!C$24-$AA24),$Z24)))&lt;=Lists!C$21)*(EDATE($G24,((Lists!C$24-$AA24)-MOD((Lists!C$24-$AA24),$Z24)))&lt;=$AB24)+((((Lists!C$24-$AA24)-MOD((Lists!C$24-$AA24),$Z24))-$Z24)&gt;=0)*(EDATE($G24,(((Lists!C$24-$AA24)-MOD((Lists!C$24-$AA24),$Z24))-$Z24))&gt;Lists!C$23)*(EDATE($G24,(((Lists!C$24-$AA24)-MOD((Lists!C$24-$AA24),$Z24))-$Z24))&lt;=Lists!C$21)*(EDATE($G24,(((Lists!C$24-$AA24)-MOD((Lists!C$24-$AA24),$Z24))-$Z24))&lt;=$AB24)))))</f>
        <v>0</v>
      </c>
      <c r="K24" s="53" t="n">
        <f aca="false">IF(OR(N($E24)=0,$G24=""),0,$I24*IF($F24="Weekly",((Lists!D$21-MOD(Lists!D$21-$G24,7))&gt;=$G24)*((Lists!D$21-MOD(Lists!D$21-$G24,7))&lt;=$AB24),IF($F24="One-off",($G24&gt;Lists!D$23)*($G24&lt;=Lists!D$21),IF($F24="",0,(((Lists!D$24-$AA24)-MOD((Lists!D$24-$AA24),$Z24))&gt;=0)*(EDATE($G24,((Lists!D$24-$AA24)-MOD((Lists!D$24-$AA24),$Z24)))&gt;Lists!D$23)*(EDATE($G24,((Lists!D$24-$AA24)-MOD((Lists!D$24-$AA24),$Z24)))&lt;=Lists!D$21)*(EDATE($G24,((Lists!D$24-$AA24)-MOD((Lists!D$24-$AA24),$Z24)))&lt;=$AB24)+((((Lists!D$24-$AA24)-MOD((Lists!D$24-$AA24),$Z24))-$Z24)&gt;=0)*(EDATE($G24,(((Lists!D$24-$AA24)-MOD((Lists!D$24-$AA24),$Z24))-$Z24))&gt;Lists!D$23)*(EDATE($G24,(((Lists!D$24-$AA24)-MOD((Lists!D$24-$AA24),$Z24))-$Z24))&lt;=Lists!D$21)*(EDATE($G24,(((Lists!D$24-$AA24)-MOD((Lists!D$24-$AA24),$Z24))-$Z24))&lt;=$AB24)))))</f>
        <v>0</v>
      </c>
      <c r="L24" s="53" t="n">
        <f aca="false">IF(OR(N($E24)=0,$G24=""),0,$I24*IF($F24="Weekly",((Lists!E$21-MOD(Lists!E$21-$G24,7))&gt;=$G24)*((Lists!E$21-MOD(Lists!E$21-$G24,7))&lt;=$AB24),IF($F24="One-off",($G24&gt;Lists!E$23)*($G24&lt;=Lists!E$21),IF($F24="",0,(((Lists!E$24-$AA24)-MOD((Lists!E$24-$AA24),$Z24))&gt;=0)*(EDATE($G24,((Lists!E$24-$AA24)-MOD((Lists!E$24-$AA24),$Z24)))&gt;Lists!E$23)*(EDATE($G24,((Lists!E$24-$AA24)-MOD((Lists!E$24-$AA24),$Z24)))&lt;=Lists!E$21)*(EDATE($G24,((Lists!E$24-$AA24)-MOD((Lists!E$24-$AA24),$Z24)))&lt;=$AB24)+((((Lists!E$24-$AA24)-MOD((Lists!E$24-$AA24),$Z24))-$Z24)&gt;=0)*(EDATE($G24,(((Lists!E$24-$AA24)-MOD((Lists!E$24-$AA24),$Z24))-$Z24))&gt;Lists!E$23)*(EDATE($G24,(((Lists!E$24-$AA24)-MOD((Lists!E$24-$AA24),$Z24))-$Z24))&lt;=Lists!E$21)*(EDATE($G24,(((Lists!E$24-$AA24)-MOD((Lists!E$24-$AA24),$Z24))-$Z24))&lt;=$AB24)))))</f>
        <v>0</v>
      </c>
      <c r="M24" s="53" t="n">
        <f aca="false">IF(OR(N($E24)=0,$G24=""),0,$I24*IF($F24="Weekly",((Lists!F$21-MOD(Lists!F$21-$G24,7))&gt;=$G24)*((Lists!F$21-MOD(Lists!F$21-$G24,7))&lt;=$AB24),IF($F24="One-off",($G24&gt;Lists!F$23)*($G24&lt;=Lists!F$21),IF($F24="",0,(((Lists!F$24-$AA24)-MOD((Lists!F$24-$AA24),$Z24))&gt;=0)*(EDATE($G24,((Lists!F$24-$AA24)-MOD((Lists!F$24-$AA24),$Z24)))&gt;Lists!F$23)*(EDATE($G24,((Lists!F$24-$AA24)-MOD((Lists!F$24-$AA24),$Z24)))&lt;=Lists!F$21)*(EDATE($G24,((Lists!F$24-$AA24)-MOD((Lists!F$24-$AA24),$Z24)))&lt;=$AB24)+((((Lists!F$24-$AA24)-MOD((Lists!F$24-$AA24),$Z24))-$Z24)&gt;=0)*(EDATE($G24,(((Lists!F$24-$AA24)-MOD((Lists!F$24-$AA24),$Z24))-$Z24))&gt;Lists!F$23)*(EDATE($G24,(((Lists!F$24-$AA24)-MOD((Lists!F$24-$AA24),$Z24))-$Z24))&lt;=Lists!F$21)*(EDATE($G24,(((Lists!F$24-$AA24)-MOD((Lists!F$24-$AA24),$Z24))-$Z24))&lt;=$AB24)))))</f>
        <v>0</v>
      </c>
      <c r="N24" s="53" t="n">
        <f aca="false">IF(OR(N($E24)=0,$G24=""),0,$I24*IF($F24="Weekly",((Lists!G$21-MOD(Lists!G$21-$G24,7))&gt;=$G24)*((Lists!G$21-MOD(Lists!G$21-$G24,7))&lt;=$AB24),IF($F24="One-off",($G24&gt;Lists!G$23)*($G24&lt;=Lists!G$21),IF($F24="",0,(((Lists!G$24-$AA24)-MOD((Lists!G$24-$AA24),$Z24))&gt;=0)*(EDATE($G24,((Lists!G$24-$AA24)-MOD((Lists!G$24-$AA24),$Z24)))&gt;Lists!G$23)*(EDATE($G24,((Lists!G$24-$AA24)-MOD((Lists!G$24-$AA24),$Z24)))&lt;=Lists!G$21)*(EDATE($G24,((Lists!G$24-$AA24)-MOD((Lists!G$24-$AA24),$Z24)))&lt;=$AB24)+((((Lists!G$24-$AA24)-MOD((Lists!G$24-$AA24),$Z24))-$Z24)&gt;=0)*(EDATE($G24,(((Lists!G$24-$AA24)-MOD((Lists!G$24-$AA24),$Z24))-$Z24))&gt;Lists!G$23)*(EDATE($G24,(((Lists!G$24-$AA24)-MOD((Lists!G$24-$AA24),$Z24))-$Z24))&lt;=Lists!G$21)*(EDATE($G24,(((Lists!G$24-$AA24)-MOD((Lists!G$24-$AA24),$Z24))-$Z24))&lt;=$AB24)))))</f>
        <v>0</v>
      </c>
      <c r="O24" s="53" t="n">
        <f aca="false">IF(OR(N($E24)=0,$G24=""),0,$I24*IF($F24="Weekly",((Lists!H$21-MOD(Lists!H$21-$G24,7))&gt;=$G24)*((Lists!H$21-MOD(Lists!H$21-$G24,7))&lt;=$AB24),IF($F24="One-off",($G24&gt;Lists!H$23)*($G24&lt;=Lists!H$21),IF($F24="",0,(((Lists!H$24-$AA24)-MOD((Lists!H$24-$AA24),$Z24))&gt;=0)*(EDATE($G24,((Lists!H$24-$AA24)-MOD((Lists!H$24-$AA24),$Z24)))&gt;Lists!H$23)*(EDATE($G24,((Lists!H$24-$AA24)-MOD((Lists!H$24-$AA24),$Z24)))&lt;=Lists!H$21)*(EDATE($G24,((Lists!H$24-$AA24)-MOD((Lists!H$24-$AA24),$Z24)))&lt;=$AB24)+((((Lists!H$24-$AA24)-MOD((Lists!H$24-$AA24),$Z24))-$Z24)&gt;=0)*(EDATE($G24,(((Lists!H$24-$AA24)-MOD((Lists!H$24-$AA24),$Z24))-$Z24))&gt;Lists!H$23)*(EDATE($G24,(((Lists!H$24-$AA24)-MOD((Lists!H$24-$AA24),$Z24))-$Z24))&lt;=Lists!H$21)*(EDATE($G24,(((Lists!H$24-$AA24)-MOD((Lists!H$24-$AA24),$Z24))-$Z24))&lt;=$AB24)))))</f>
        <v>0</v>
      </c>
      <c r="P24" s="53" t="n">
        <f aca="false">IF(OR(N($E24)=0,$G24=""),0,$I24*IF($F24="Weekly",((Lists!I$21-MOD(Lists!I$21-$G24,7))&gt;=$G24)*((Lists!I$21-MOD(Lists!I$21-$G24,7))&lt;=$AB24),IF($F24="One-off",($G24&gt;Lists!I$23)*($G24&lt;=Lists!I$21),IF($F24="",0,(((Lists!I$24-$AA24)-MOD((Lists!I$24-$AA24),$Z24))&gt;=0)*(EDATE($G24,((Lists!I$24-$AA24)-MOD((Lists!I$24-$AA24),$Z24)))&gt;Lists!I$23)*(EDATE($G24,((Lists!I$24-$AA24)-MOD((Lists!I$24-$AA24),$Z24)))&lt;=Lists!I$21)*(EDATE($G24,((Lists!I$24-$AA24)-MOD((Lists!I$24-$AA24),$Z24)))&lt;=$AB24)+((((Lists!I$24-$AA24)-MOD((Lists!I$24-$AA24),$Z24))-$Z24)&gt;=0)*(EDATE($G24,(((Lists!I$24-$AA24)-MOD((Lists!I$24-$AA24),$Z24))-$Z24))&gt;Lists!I$23)*(EDATE($G24,(((Lists!I$24-$AA24)-MOD((Lists!I$24-$AA24),$Z24))-$Z24))&lt;=Lists!I$21)*(EDATE($G24,(((Lists!I$24-$AA24)-MOD((Lists!I$24-$AA24),$Z24))-$Z24))&lt;=$AB24)))))</f>
        <v>0</v>
      </c>
      <c r="Q24" s="53" t="n">
        <f aca="false">IF(OR(N($E24)=0,$G24=""),0,$I24*IF($F24="Weekly",((Lists!J$21-MOD(Lists!J$21-$G24,7))&gt;=$G24)*((Lists!J$21-MOD(Lists!J$21-$G24,7))&lt;=$AB24),IF($F24="One-off",($G24&gt;Lists!J$23)*($G24&lt;=Lists!J$21),IF($F24="",0,(((Lists!J$24-$AA24)-MOD((Lists!J$24-$AA24),$Z24))&gt;=0)*(EDATE($G24,((Lists!J$24-$AA24)-MOD((Lists!J$24-$AA24),$Z24)))&gt;Lists!J$23)*(EDATE($G24,((Lists!J$24-$AA24)-MOD((Lists!J$24-$AA24),$Z24)))&lt;=Lists!J$21)*(EDATE($G24,((Lists!J$24-$AA24)-MOD((Lists!J$24-$AA24),$Z24)))&lt;=$AB24)+((((Lists!J$24-$AA24)-MOD((Lists!J$24-$AA24),$Z24))-$Z24)&gt;=0)*(EDATE($G24,(((Lists!J$24-$AA24)-MOD((Lists!J$24-$AA24),$Z24))-$Z24))&gt;Lists!J$23)*(EDATE($G24,(((Lists!J$24-$AA24)-MOD((Lists!J$24-$AA24),$Z24))-$Z24))&lt;=Lists!J$21)*(EDATE($G24,(((Lists!J$24-$AA24)-MOD((Lists!J$24-$AA24),$Z24))-$Z24))&lt;=$AB24)))))</f>
        <v>0</v>
      </c>
      <c r="R24" s="53" t="n">
        <f aca="false">IF(OR(N($E24)=0,$G24=""),0,$I24*IF($F24="Weekly",((Lists!K$21-MOD(Lists!K$21-$G24,7))&gt;=$G24)*((Lists!K$21-MOD(Lists!K$21-$G24,7))&lt;=$AB24),IF($F24="One-off",($G24&gt;Lists!K$23)*($G24&lt;=Lists!K$21),IF($F24="",0,(((Lists!K$24-$AA24)-MOD((Lists!K$24-$AA24),$Z24))&gt;=0)*(EDATE($G24,((Lists!K$24-$AA24)-MOD((Lists!K$24-$AA24),$Z24)))&gt;Lists!K$23)*(EDATE($G24,((Lists!K$24-$AA24)-MOD((Lists!K$24-$AA24),$Z24)))&lt;=Lists!K$21)*(EDATE($G24,((Lists!K$24-$AA24)-MOD((Lists!K$24-$AA24),$Z24)))&lt;=$AB24)+((((Lists!K$24-$AA24)-MOD((Lists!K$24-$AA24),$Z24))-$Z24)&gt;=0)*(EDATE($G24,(((Lists!K$24-$AA24)-MOD((Lists!K$24-$AA24),$Z24))-$Z24))&gt;Lists!K$23)*(EDATE($G24,(((Lists!K$24-$AA24)-MOD((Lists!K$24-$AA24),$Z24))-$Z24))&lt;=Lists!K$21)*(EDATE($G24,(((Lists!K$24-$AA24)-MOD((Lists!K$24-$AA24),$Z24))-$Z24))&lt;=$AB24)))))</f>
        <v>0</v>
      </c>
      <c r="S24" s="53" t="n">
        <f aca="false">IF(OR(N($E24)=0,$G24=""),0,$I24*IF($F24="Weekly",((Lists!L$21-MOD(Lists!L$21-$G24,7))&gt;=$G24)*((Lists!L$21-MOD(Lists!L$21-$G24,7))&lt;=$AB24),IF($F24="One-off",($G24&gt;Lists!L$23)*($G24&lt;=Lists!L$21),IF($F24="",0,(((Lists!L$24-$AA24)-MOD((Lists!L$24-$AA24),$Z24))&gt;=0)*(EDATE($G24,((Lists!L$24-$AA24)-MOD((Lists!L$24-$AA24),$Z24)))&gt;Lists!L$23)*(EDATE($G24,((Lists!L$24-$AA24)-MOD((Lists!L$24-$AA24),$Z24)))&lt;=Lists!L$21)*(EDATE($G24,((Lists!L$24-$AA24)-MOD((Lists!L$24-$AA24),$Z24)))&lt;=$AB24)+((((Lists!L$24-$AA24)-MOD((Lists!L$24-$AA24),$Z24))-$Z24)&gt;=0)*(EDATE($G24,(((Lists!L$24-$AA24)-MOD((Lists!L$24-$AA24),$Z24))-$Z24))&gt;Lists!L$23)*(EDATE($G24,(((Lists!L$24-$AA24)-MOD((Lists!L$24-$AA24),$Z24))-$Z24))&lt;=Lists!L$21)*(EDATE($G24,(((Lists!L$24-$AA24)-MOD((Lists!L$24-$AA24),$Z24))-$Z24))&lt;=$AB24)))))</f>
        <v>0</v>
      </c>
      <c r="T24" s="53" t="n">
        <f aca="false">IF(OR(N($E24)=0,$G24=""),0,$I24*IF($F24="Weekly",((Lists!M$21-MOD(Lists!M$21-$G24,7))&gt;=$G24)*((Lists!M$21-MOD(Lists!M$21-$G24,7))&lt;=$AB24),IF($F24="One-off",($G24&gt;Lists!M$23)*($G24&lt;=Lists!M$21),IF($F24="",0,(((Lists!M$24-$AA24)-MOD((Lists!M$24-$AA24),$Z24))&gt;=0)*(EDATE($G24,((Lists!M$24-$AA24)-MOD((Lists!M$24-$AA24),$Z24)))&gt;Lists!M$23)*(EDATE($G24,((Lists!M$24-$AA24)-MOD((Lists!M$24-$AA24),$Z24)))&lt;=Lists!M$21)*(EDATE($G24,((Lists!M$24-$AA24)-MOD((Lists!M$24-$AA24),$Z24)))&lt;=$AB24)+((((Lists!M$24-$AA24)-MOD((Lists!M$24-$AA24),$Z24))-$Z24)&gt;=0)*(EDATE($G24,(((Lists!M$24-$AA24)-MOD((Lists!M$24-$AA24),$Z24))-$Z24))&gt;Lists!M$23)*(EDATE($G24,(((Lists!M$24-$AA24)-MOD((Lists!M$24-$AA24),$Z24))-$Z24))&lt;=Lists!M$21)*(EDATE($G24,(((Lists!M$24-$AA24)-MOD((Lists!M$24-$AA24),$Z24))-$Z24))&lt;=$AB24)))))</f>
        <v>0</v>
      </c>
      <c r="U24" s="53" t="n">
        <f aca="false">IF(OR(N($E24)=0,$G24=""),0,$I24*IF($F24="Weekly",((Lists!N$21-MOD(Lists!N$21-$G24,7))&gt;=$G24)*((Lists!N$21-MOD(Lists!N$21-$G24,7))&lt;=$AB24),IF($F24="One-off",($G24&gt;Lists!N$23)*($G24&lt;=Lists!N$21),IF($F24="",0,(((Lists!N$24-$AA24)-MOD((Lists!N$24-$AA24),$Z24))&gt;=0)*(EDATE($G24,((Lists!N$24-$AA24)-MOD((Lists!N$24-$AA24),$Z24)))&gt;Lists!N$23)*(EDATE($G24,((Lists!N$24-$AA24)-MOD((Lists!N$24-$AA24),$Z24)))&lt;=Lists!N$21)*(EDATE($G24,((Lists!N$24-$AA24)-MOD((Lists!N$24-$AA24),$Z24)))&lt;=$AB24)+((((Lists!N$24-$AA24)-MOD((Lists!N$24-$AA24),$Z24))-$Z24)&gt;=0)*(EDATE($G24,(((Lists!N$24-$AA24)-MOD((Lists!N$24-$AA24),$Z24))-$Z24))&gt;Lists!N$23)*(EDATE($G24,(((Lists!N$24-$AA24)-MOD((Lists!N$24-$AA24),$Z24))-$Z24))&lt;=Lists!N$21)*(EDATE($G24,(((Lists!N$24-$AA24)-MOD((Lists!N$24-$AA24),$Z24))-$Z24))&lt;=$AB24)))))</f>
        <v>0</v>
      </c>
      <c r="V24" s="53" t="n">
        <f aca="false">IF(OR(N($E24)=0,$G24=""),0,$I24*IF($F24="Weekly",((Lists!O$21-MOD(Lists!O$21-$G24,7))&gt;=$G24)*((Lists!O$21-MOD(Lists!O$21-$G24,7))&lt;=$AB24),IF($F24="One-off",($G24&gt;Lists!O$23)*($G24&lt;=Lists!O$21),IF($F24="",0,(((Lists!O$24-$AA24)-MOD((Lists!O$24-$AA24),$Z24))&gt;=0)*(EDATE($G24,((Lists!O$24-$AA24)-MOD((Lists!O$24-$AA24),$Z24)))&gt;Lists!O$23)*(EDATE($G24,((Lists!O$24-$AA24)-MOD((Lists!O$24-$AA24),$Z24)))&lt;=Lists!O$21)*(EDATE($G24,((Lists!O$24-$AA24)-MOD((Lists!O$24-$AA24),$Z24)))&lt;=$AB24)+((((Lists!O$24-$AA24)-MOD((Lists!O$24-$AA24),$Z24))-$Z24)&gt;=0)*(EDATE($G24,(((Lists!O$24-$AA24)-MOD((Lists!O$24-$AA24),$Z24))-$Z24))&gt;Lists!O$23)*(EDATE($G24,(((Lists!O$24-$AA24)-MOD((Lists!O$24-$AA24),$Z24))-$Z24))&lt;=Lists!O$21)*(EDATE($G24,(((Lists!O$24-$AA24)-MOD((Lists!O$24-$AA24),$Z24))-$Z24))&lt;=$AB24)))))</f>
        <v>0</v>
      </c>
      <c r="W24" s="46" t="n">
        <f aca="false">SUM(J24:V24)</f>
        <v>0</v>
      </c>
      <c r="X24" s="2"/>
      <c r="Y24" s="104" t="n">
        <f aca="false">1</f>
        <v>1</v>
      </c>
      <c r="Z24" s="94" t="n">
        <f aca="false">IF(F24="Quarterly",3,IF(F24="Annually",12,1))</f>
        <v>1</v>
      </c>
      <c r="AA24" s="94" t="n">
        <f aca="false">IF(G24="",0,YEAR(G24)*12+MONTH(G24))</f>
        <v>0</v>
      </c>
      <c r="AB24" s="93" t="n">
        <f aca="false">IF(H24="",2958465,H24)</f>
        <v>2958465</v>
      </c>
      <c r="AC24" s="95" t="str">
        <f aca="false">IF(C24="","Other tax",C24)</f>
        <v>Other tax</v>
      </c>
    </row>
    <row r="25" customFormat="false" ht="15" hidden="false" customHeight="false" outlineLevel="0" collapsed="false">
      <c r="A25" s="87" t="n">
        <v>17</v>
      </c>
      <c r="B25" s="55"/>
      <c r="C25" s="55"/>
      <c r="D25" s="2"/>
      <c r="E25" s="88"/>
      <c r="F25" s="58"/>
      <c r="G25" s="90"/>
      <c r="H25" s="90"/>
      <c r="I25" s="92" t="n">
        <f aca="false">N(E25)*Y25</f>
        <v>0</v>
      </c>
      <c r="J25" s="53" t="n">
        <f aca="false">IF(OR(N($E25)=0,$G25=""),0,$I25*IF($F25="Weekly",((Lists!C$21-MOD(Lists!C$21-$G25,7))&gt;=$G25)*((Lists!C$21-MOD(Lists!C$21-$G25,7))&lt;=$AB25),IF($F25="One-off",($G25&gt;Lists!C$23)*($G25&lt;=Lists!C$21),IF($F25="",0,(((Lists!C$24-$AA25)-MOD((Lists!C$24-$AA25),$Z25))&gt;=0)*(EDATE($G25,((Lists!C$24-$AA25)-MOD((Lists!C$24-$AA25),$Z25)))&gt;Lists!C$23)*(EDATE($G25,((Lists!C$24-$AA25)-MOD((Lists!C$24-$AA25),$Z25)))&lt;=Lists!C$21)*(EDATE($G25,((Lists!C$24-$AA25)-MOD((Lists!C$24-$AA25),$Z25)))&lt;=$AB25)+((((Lists!C$24-$AA25)-MOD((Lists!C$24-$AA25),$Z25))-$Z25)&gt;=0)*(EDATE($G25,(((Lists!C$24-$AA25)-MOD((Lists!C$24-$AA25),$Z25))-$Z25))&gt;Lists!C$23)*(EDATE($G25,(((Lists!C$24-$AA25)-MOD((Lists!C$24-$AA25),$Z25))-$Z25))&lt;=Lists!C$21)*(EDATE($G25,(((Lists!C$24-$AA25)-MOD((Lists!C$24-$AA25),$Z25))-$Z25))&lt;=$AB25)))))</f>
        <v>0</v>
      </c>
      <c r="K25" s="53" t="n">
        <f aca="false">IF(OR(N($E25)=0,$G25=""),0,$I25*IF($F25="Weekly",((Lists!D$21-MOD(Lists!D$21-$G25,7))&gt;=$G25)*((Lists!D$21-MOD(Lists!D$21-$G25,7))&lt;=$AB25),IF($F25="One-off",($G25&gt;Lists!D$23)*($G25&lt;=Lists!D$21),IF($F25="",0,(((Lists!D$24-$AA25)-MOD((Lists!D$24-$AA25),$Z25))&gt;=0)*(EDATE($G25,((Lists!D$24-$AA25)-MOD((Lists!D$24-$AA25),$Z25)))&gt;Lists!D$23)*(EDATE($G25,((Lists!D$24-$AA25)-MOD((Lists!D$24-$AA25),$Z25)))&lt;=Lists!D$21)*(EDATE($G25,((Lists!D$24-$AA25)-MOD((Lists!D$24-$AA25),$Z25)))&lt;=$AB25)+((((Lists!D$24-$AA25)-MOD((Lists!D$24-$AA25),$Z25))-$Z25)&gt;=0)*(EDATE($G25,(((Lists!D$24-$AA25)-MOD((Lists!D$24-$AA25),$Z25))-$Z25))&gt;Lists!D$23)*(EDATE($G25,(((Lists!D$24-$AA25)-MOD((Lists!D$24-$AA25),$Z25))-$Z25))&lt;=Lists!D$21)*(EDATE($G25,(((Lists!D$24-$AA25)-MOD((Lists!D$24-$AA25),$Z25))-$Z25))&lt;=$AB25)))))</f>
        <v>0</v>
      </c>
      <c r="L25" s="53" t="n">
        <f aca="false">IF(OR(N($E25)=0,$G25=""),0,$I25*IF($F25="Weekly",((Lists!E$21-MOD(Lists!E$21-$G25,7))&gt;=$G25)*((Lists!E$21-MOD(Lists!E$21-$G25,7))&lt;=$AB25),IF($F25="One-off",($G25&gt;Lists!E$23)*($G25&lt;=Lists!E$21),IF($F25="",0,(((Lists!E$24-$AA25)-MOD((Lists!E$24-$AA25),$Z25))&gt;=0)*(EDATE($G25,((Lists!E$24-$AA25)-MOD((Lists!E$24-$AA25),$Z25)))&gt;Lists!E$23)*(EDATE($G25,((Lists!E$24-$AA25)-MOD((Lists!E$24-$AA25),$Z25)))&lt;=Lists!E$21)*(EDATE($G25,((Lists!E$24-$AA25)-MOD((Lists!E$24-$AA25),$Z25)))&lt;=$AB25)+((((Lists!E$24-$AA25)-MOD((Lists!E$24-$AA25),$Z25))-$Z25)&gt;=0)*(EDATE($G25,(((Lists!E$24-$AA25)-MOD((Lists!E$24-$AA25),$Z25))-$Z25))&gt;Lists!E$23)*(EDATE($G25,(((Lists!E$24-$AA25)-MOD((Lists!E$24-$AA25),$Z25))-$Z25))&lt;=Lists!E$21)*(EDATE($G25,(((Lists!E$24-$AA25)-MOD((Lists!E$24-$AA25),$Z25))-$Z25))&lt;=$AB25)))))</f>
        <v>0</v>
      </c>
      <c r="M25" s="53" t="n">
        <f aca="false">IF(OR(N($E25)=0,$G25=""),0,$I25*IF($F25="Weekly",((Lists!F$21-MOD(Lists!F$21-$G25,7))&gt;=$G25)*((Lists!F$21-MOD(Lists!F$21-$G25,7))&lt;=$AB25),IF($F25="One-off",($G25&gt;Lists!F$23)*($G25&lt;=Lists!F$21),IF($F25="",0,(((Lists!F$24-$AA25)-MOD((Lists!F$24-$AA25),$Z25))&gt;=0)*(EDATE($G25,((Lists!F$24-$AA25)-MOD((Lists!F$24-$AA25),$Z25)))&gt;Lists!F$23)*(EDATE($G25,((Lists!F$24-$AA25)-MOD((Lists!F$24-$AA25),$Z25)))&lt;=Lists!F$21)*(EDATE($G25,((Lists!F$24-$AA25)-MOD((Lists!F$24-$AA25),$Z25)))&lt;=$AB25)+((((Lists!F$24-$AA25)-MOD((Lists!F$24-$AA25),$Z25))-$Z25)&gt;=0)*(EDATE($G25,(((Lists!F$24-$AA25)-MOD((Lists!F$24-$AA25),$Z25))-$Z25))&gt;Lists!F$23)*(EDATE($G25,(((Lists!F$24-$AA25)-MOD((Lists!F$24-$AA25),$Z25))-$Z25))&lt;=Lists!F$21)*(EDATE($G25,(((Lists!F$24-$AA25)-MOD((Lists!F$24-$AA25),$Z25))-$Z25))&lt;=$AB25)))))</f>
        <v>0</v>
      </c>
      <c r="N25" s="53" t="n">
        <f aca="false">IF(OR(N($E25)=0,$G25=""),0,$I25*IF($F25="Weekly",((Lists!G$21-MOD(Lists!G$21-$G25,7))&gt;=$G25)*((Lists!G$21-MOD(Lists!G$21-$G25,7))&lt;=$AB25),IF($F25="One-off",($G25&gt;Lists!G$23)*($G25&lt;=Lists!G$21),IF($F25="",0,(((Lists!G$24-$AA25)-MOD((Lists!G$24-$AA25),$Z25))&gt;=0)*(EDATE($G25,((Lists!G$24-$AA25)-MOD((Lists!G$24-$AA25),$Z25)))&gt;Lists!G$23)*(EDATE($G25,((Lists!G$24-$AA25)-MOD((Lists!G$24-$AA25),$Z25)))&lt;=Lists!G$21)*(EDATE($G25,((Lists!G$24-$AA25)-MOD((Lists!G$24-$AA25),$Z25)))&lt;=$AB25)+((((Lists!G$24-$AA25)-MOD((Lists!G$24-$AA25),$Z25))-$Z25)&gt;=0)*(EDATE($G25,(((Lists!G$24-$AA25)-MOD((Lists!G$24-$AA25),$Z25))-$Z25))&gt;Lists!G$23)*(EDATE($G25,(((Lists!G$24-$AA25)-MOD((Lists!G$24-$AA25),$Z25))-$Z25))&lt;=Lists!G$21)*(EDATE($G25,(((Lists!G$24-$AA25)-MOD((Lists!G$24-$AA25),$Z25))-$Z25))&lt;=$AB25)))))</f>
        <v>0</v>
      </c>
      <c r="O25" s="53" t="n">
        <f aca="false">IF(OR(N($E25)=0,$G25=""),0,$I25*IF($F25="Weekly",((Lists!H$21-MOD(Lists!H$21-$G25,7))&gt;=$G25)*((Lists!H$21-MOD(Lists!H$21-$G25,7))&lt;=$AB25),IF($F25="One-off",($G25&gt;Lists!H$23)*($G25&lt;=Lists!H$21),IF($F25="",0,(((Lists!H$24-$AA25)-MOD((Lists!H$24-$AA25),$Z25))&gt;=0)*(EDATE($G25,((Lists!H$24-$AA25)-MOD((Lists!H$24-$AA25),$Z25)))&gt;Lists!H$23)*(EDATE($G25,((Lists!H$24-$AA25)-MOD((Lists!H$24-$AA25),$Z25)))&lt;=Lists!H$21)*(EDATE($G25,((Lists!H$24-$AA25)-MOD((Lists!H$24-$AA25),$Z25)))&lt;=$AB25)+((((Lists!H$24-$AA25)-MOD((Lists!H$24-$AA25),$Z25))-$Z25)&gt;=0)*(EDATE($G25,(((Lists!H$24-$AA25)-MOD((Lists!H$24-$AA25),$Z25))-$Z25))&gt;Lists!H$23)*(EDATE($G25,(((Lists!H$24-$AA25)-MOD((Lists!H$24-$AA25),$Z25))-$Z25))&lt;=Lists!H$21)*(EDATE($G25,(((Lists!H$24-$AA25)-MOD((Lists!H$24-$AA25),$Z25))-$Z25))&lt;=$AB25)))))</f>
        <v>0</v>
      </c>
      <c r="P25" s="53" t="n">
        <f aca="false">IF(OR(N($E25)=0,$G25=""),0,$I25*IF($F25="Weekly",((Lists!I$21-MOD(Lists!I$21-$G25,7))&gt;=$G25)*((Lists!I$21-MOD(Lists!I$21-$G25,7))&lt;=$AB25),IF($F25="One-off",($G25&gt;Lists!I$23)*($G25&lt;=Lists!I$21),IF($F25="",0,(((Lists!I$24-$AA25)-MOD((Lists!I$24-$AA25),$Z25))&gt;=0)*(EDATE($G25,((Lists!I$24-$AA25)-MOD((Lists!I$24-$AA25),$Z25)))&gt;Lists!I$23)*(EDATE($G25,((Lists!I$24-$AA25)-MOD((Lists!I$24-$AA25),$Z25)))&lt;=Lists!I$21)*(EDATE($G25,((Lists!I$24-$AA25)-MOD((Lists!I$24-$AA25),$Z25)))&lt;=$AB25)+((((Lists!I$24-$AA25)-MOD((Lists!I$24-$AA25),$Z25))-$Z25)&gt;=0)*(EDATE($G25,(((Lists!I$24-$AA25)-MOD((Lists!I$24-$AA25),$Z25))-$Z25))&gt;Lists!I$23)*(EDATE($G25,(((Lists!I$24-$AA25)-MOD((Lists!I$24-$AA25),$Z25))-$Z25))&lt;=Lists!I$21)*(EDATE($G25,(((Lists!I$24-$AA25)-MOD((Lists!I$24-$AA25),$Z25))-$Z25))&lt;=$AB25)))))</f>
        <v>0</v>
      </c>
      <c r="Q25" s="53" t="n">
        <f aca="false">IF(OR(N($E25)=0,$G25=""),0,$I25*IF($F25="Weekly",((Lists!J$21-MOD(Lists!J$21-$G25,7))&gt;=$G25)*((Lists!J$21-MOD(Lists!J$21-$G25,7))&lt;=$AB25),IF($F25="One-off",($G25&gt;Lists!J$23)*($G25&lt;=Lists!J$21),IF($F25="",0,(((Lists!J$24-$AA25)-MOD((Lists!J$24-$AA25),$Z25))&gt;=0)*(EDATE($G25,((Lists!J$24-$AA25)-MOD((Lists!J$24-$AA25),$Z25)))&gt;Lists!J$23)*(EDATE($G25,((Lists!J$24-$AA25)-MOD((Lists!J$24-$AA25),$Z25)))&lt;=Lists!J$21)*(EDATE($G25,((Lists!J$24-$AA25)-MOD((Lists!J$24-$AA25),$Z25)))&lt;=$AB25)+((((Lists!J$24-$AA25)-MOD((Lists!J$24-$AA25),$Z25))-$Z25)&gt;=0)*(EDATE($G25,(((Lists!J$24-$AA25)-MOD((Lists!J$24-$AA25),$Z25))-$Z25))&gt;Lists!J$23)*(EDATE($G25,(((Lists!J$24-$AA25)-MOD((Lists!J$24-$AA25),$Z25))-$Z25))&lt;=Lists!J$21)*(EDATE($G25,(((Lists!J$24-$AA25)-MOD((Lists!J$24-$AA25),$Z25))-$Z25))&lt;=$AB25)))))</f>
        <v>0</v>
      </c>
      <c r="R25" s="53" t="n">
        <f aca="false">IF(OR(N($E25)=0,$G25=""),0,$I25*IF($F25="Weekly",((Lists!K$21-MOD(Lists!K$21-$G25,7))&gt;=$G25)*((Lists!K$21-MOD(Lists!K$21-$G25,7))&lt;=$AB25),IF($F25="One-off",($G25&gt;Lists!K$23)*($G25&lt;=Lists!K$21),IF($F25="",0,(((Lists!K$24-$AA25)-MOD((Lists!K$24-$AA25),$Z25))&gt;=0)*(EDATE($G25,((Lists!K$24-$AA25)-MOD((Lists!K$24-$AA25),$Z25)))&gt;Lists!K$23)*(EDATE($G25,((Lists!K$24-$AA25)-MOD((Lists!K$24-$AA25),$Z25)))&lt;=Lists!K$21)*(EDATE($G25,((Lists!K$24-$AA25)-MOD((Lists!K$24-$AA25),$Z25)))&lt;=$AB25)+((((Lists!K$24-$AA25)-MOD((Lists!K$24-$AA25),$Z25))-$Z25)&gt;=0)*(EDATE($G25,(((Lists!K$24-$AA25)-MOD((Lists!K$24-$AA25),$Z25))-$Z25))&gt;Lists!K$23)*(EDATE($G25,(((Lists!K$24-$AA25)-MOD((Lists!K$24-$AA25),$Z25))-$Z25))&lt;=Lists!K$21)*(EDATE($G25,(((Lists!K$24-$AA25)-MOD((Lists!K$24-$AA25),$Z25))-$Z25))&lt;=$AB25)))))</f>
        <v>0</v>
      </c>
      <c r="S25" s="53" t="n">
        <f aca="false">IF(OR(N($E25)=0,$G25=""),0,$I25*IF($F25="Weekly",((Lists!L$21-MOD(Lists!L$21-$G25,7))&gt;=$G25)*((Lists!L$21-MOD(Lists!L$21-$G25,7))&lt;=$AB25),IF($F25="One-off",($G25&gt;Lists!L$23)*($G25&lt;=Lists!L$21),IF($F25="",0,(((Lists!L$24-$AA25)-MOD((Lists!L$24-$AA25),$Z25))&gt;=0)*(EDATE($G25,((Lists!L$24-$AA25)-MOD((Lists!L$24-$AA25),$Z25)))&gt;Lists!L$23)*(EDATE($G25,((Lists!L$24-$AA25)-MOD((Lists!L$24-$AA25),$Z25)))&lt;=Lists!L$21)*(EDATE($G25,((Lists!L$24-$AA25)-MOD((Lists!L$24-$AA25),$Z25)))&lt;=$AB25)+((((Lists!L$24-$AA25)-MOD((Lists!L$24-$AA25),$Z25))-$Z25)&gt;=0)*(EDATE($G25,(((Lists!L$24-$AA25)-MOD((Lists!L$24-$AA25),$Z25))-$Z25))&gt;Lists!L$23)*(EDATE($G25,(((Lists!L$24-$AA25)-MOD((Lists!L$24-$AA25),$Z25))-$Z25))&lt;=Lists!L$21)*(EDATE($G25,(((Lists!L$24-$AA25)-MOD((Lists!L$24-$AA25),$Z25))-$Z25))&lt;=$AB25)))))</f>
        <v>0</v>
      </c>
      <c r="T25" s="53" t="n">
        <f aca="false">IF(OR(N($E25)=0,$G25=""),0,$I25*IF($F25="Weekly",((Lists!M$21-MOD(Lists!M$21-$G25,7))&gt;=$G25)*((Lists!M$21-MOD(Lists!M$21-$G25,7))&lt;=$AB25),IF($F25="One-off",($G25&gt;Lists!M$23)*($G25&lt;=Lists!M$21),IF($F25="",0,(((Lists!M$24-$AA25)-MOD((Lists!M$24-$AA25),$Z25))&gt;=0)*(EDATE($G25,((Lists!M$24-$AA25)-MOD((Lists!M$24-$AA25),$Z25)))&gt;Lists!M$23)*(EDATE($G25,((Lists!M$24-$AA25)-MOD((Lists!M$24-$AA25),$Z25)))&lt;=Lists!M$21)*(EDATE($G25,((Lists!M$24-$AA25)-MOD((Lists!M$24-$AA25),$Z25)))&lt;=$AB25)+((((Lists!M$24-$AA25)-MOD((Lists!M$24-$AA25),$Z25))-$Z25)&gt;=0)*(EDATE($G25,(((Lists!M$24-$AA25)-MOD((Lists!M$24-$AA25),$Z25))-$Z25))&gt;Lists!M$23)*(EDATE($G25,(((Lists!M$24-$AA25)-MOD((Lists!M$24-$AA25),$Z25))-$Z25))&lt;=Lists!M$21)*(EDATE($G25,(((Lists!M$24-$AA25)-MOD((Lists!M$24-$AA25),$Z25))-$Z25))&lt;=$AB25)))))</f>
        <v>0</v>
      </c>
      <c r="U25" s="53" t="n">
        <f aca="false">IF(OR(N($E25)=0,$G25=""),0,$I25*IF($F25="Weekly",((Lists!N$21-MOD(Lists!N$21-$G25,7))&gt;=$G25)*((Lists!N$21-MOD(Lists!N$21-$G25,7))&lt;=$AB25),IF($F25="One-off",($G25&gt;Lists!N$23)*($G25&lt;=Lists!N$21),IF($F25="",0,(((Lists!N$24-$AA25)-MOD((Lists!N$24-$AA25),$Z25))&gt;=0)*(EDATE($G25,((Lists!N$24-$AA25)-MOD((Lists!N$24-$AA25),$Z25)))&gt;Lists!N$23)*(EDATE($G25,((Lists!N$24-$AA25)-MOD((Lists!N$24-$AA25),$Z25)))&lt;=Lists!N$21)*(EDATE($G25,((Lists!N$24-$AA25)-MOD((Lists!N$24-$AA25),$Z25)))&lt;=$AB25)+((((Lists!N$24-$AA25)-MOD((Lists!N$24-$AA25),$Z25))-$Z25)&gt;=0)*(EDATE($G25,(((Lists!N$24-$AA25)-MOD((Lists!N$24-$AA25),$Z25))-$Z25))&gt;Lists!N$23)*(EDATE($G25,(((Lists!N$24-$AA25)-MOD((Lists!N$24-$AA25),$Z25))-$Z25))&lt;=Lists!N$21)*(EDATE($G25,(((Lists!N$24-$AA25)-MOD((Lists!N$24-$AA25),$Z25))-$Z25))&lt;=$AB25)))))</f>
        <v>0</v>
      </c>
      <c r="V25" s="53" t="n">
        <f aca="false">IF(OR(N($E25)=0,$G25=""),0,$I25*IF($F25="Weekly",((Lists!O$21-MOD(Lists!O$21-$G25,7))&gt;=$G25)*((Lists!O$21-MOD(Lists!O$21-$G25,7))&lt;=$AB25),IF($F25="One-off",($G25&gt;Lists!O$23)*($G25&lt;=Lists!O$21),IF($F25="",0,(((Lists!O$24-$AA25)-MOD((Lists!O$24-$AA25),$Z25))&gt;=0)*(EDATE($G25,((Lists!O$24-$AA25)-MOD((Lists!O$24-$AA25),$Z25)))&gt;Lists!O$23)*(EDATE($G25,((Lists!O$24-$AA25)-MOD((Lists!O$24-$AA25),$Z25)))&lt;=Lists!O$21)*(EDATE($G25,((Lists!O$24-$AA25)-MOD((Lists!O$24-$AA25),$Z25)))&lt;=$AB25)+((((Lists!O$24-$AA25)-MOD((Lists!O$24-$AA25),$Z25))-$Z25)&gt;=0)*(EDATE($G25,(((Lists!O$24-$AA25)-MOD((Lists!O$24-$AA25),$Z25))-$Z25))&gt;Lists!O$23)*(EDATE($G25,(((Lists!O$24-$AA25)-MOD((Lists!O$24-$AA25),$Z25))-$Z25))&lt;=Lists!O$21)*(EDATE($G25,(((Lists!O$24-$AA25)-MOD((Lists!O$24-$AA25),$Z25))-$Z25))&lt;=$AB25)))))</f>
        <v>0</v>
      </c>
      <c r="W25" s="46" t="n">
        <f aca="false">SUM(J25:V25)</f>
        <v>0</v>
      </c>
      <c r="X25" s="2"/>
      <c r="Y25" s="104" t="n">
        <f aca="false">1</f>
        <v>1</v>
      </c>
      <c r="Z25" s="94" t="n">
        <f aca="false">IF(F25="Quarterly",3,IF(F25="Annually",12,1))</f>
        <v>1</v>
      </c>
      <c r="AA25" s="94" t="n">
        <f aca="false">IF(G25="",0,YEAR(G25)*12+MONTH(G25))</f>
        <v>0</v>
      </c>
      <c r="AB25" s="93" t="n">
        <f aca="false">IF(H25="",2958465,H25)</f>
        <v>2958465</v>
      </c>
      <c r="AC25" s="95" t="str">
        <f aca="false">IF(C25="","Other tax",C25)</f>
        <v>Other tax</v>
      </c>
    </row>
    <row r="26" customFormat="false" ht="15" hidden="false" customHeight="false" outlineLevel="0" collapsed="false">
      <c r="A26" s="87" t="n">
        <v>18</v>
      </c>
      <c r="B26" s="55"/>
      <c r="C26" s="55"/>
      <c r="D26" s="2"/>
      <c r="E26" s="88"/>
      <c r="F26" s="58"/>
      <c r="G26" s="90"/>
      <c r="H26" s="90"/>
      <c r="I26" s="92" t="n">
        <f aca="false">N(E26)*Y26</f>
        <v>0</v>
      </c>
      <c r="J26" s="53" t="n">
        <f aca="false">IF(OR(N($E26)=0,$G26=""),0,$I26*IF($F26="Weekly",((Lists!C$21-MOD(Lists!C$21-$G26,7))&gt;=$G26)*((Lists!C$21-MOD(Lists!C$21-$G26,7))&lt;=$AB26),IF($F26="One-off",($G26&gt;Lists!C$23)*($G26&lt;=Lists!C$21),IF($F26="",0,(((Lists!C$24-$AA26)-MOD((Lists!C$24-$AA26),$Z26))&gt;=0)*(EDATE($G26,((Lists!C$24-$AA26)-MOD((Lists!C$24-$AA26),$Z26)))&gt;Lists!C$23)*(EDATE($G26,((Lists!C$24-$AA26)-MOD((Lists!C$24-$AA26),$Z26)))&lt;=Lists!C$21)*(EDATE($G26,((Lists!C$24-$AA26)-MOD((Lists!C$24-$AA26),$Z26)))&lt;=$AB26)+((((Lists!C$24-$AA26)-MOD((Lists!C$24-$AA26),$Z26))-$Z26)&gt;=0)*(EDATE($G26,(((Lists!C$24-$AA26)-MOD((Lists!C$24-$AA26),$Z26))-$Z26))&gt;Lists!C$23)*(EDATE($G26,(((Lists!C$24-$AA26)-MOD((Lists!C$24-$AA26),$Z26))-$Z26))&lt;=Lists!C$21)*(EDATE($G26,(((Lists!C$24-$AA26)-MOD((Lists!C$24-$AA26),$Z26))-$Z26))&lt;=$AB26)))))</f>
        <v>0</v>
      </c>
      <c r="K26" s="53" t="n">
        <f aca="false">IF(OR(N($E26)=0,$G26=""),0,$I26*IF($F26="Weekly",((Lists!D$21-MOD(Lists!D$21-$G26,7))&gt;=$G26)*((Lists!D$21-MOD(Lists!D$21-$G26,7))&lt;=$AB26),IF($F26="One-off",($G26&gt;Lists!D$23)*($G26&lt;=Lists!D$21),IF($F26="",0,(((Lists!D$24-$AA26)-MOD((Lists!D$24-$AA26),$Z26))&gt;=0)*(EDATE($G26,((Lists!D$24-$AA26)-MOD((Lists!D$24-$AA26),$Z26)))&gt;Lists!D$23)*(EDATE($G26,((Lists!D$24-$AA26)-MOD((Lists!D$24-$AA26),$Z26)))&lt;=Lists!D$21)*(EDATE($G26,((Lists!D$24-$AA26)-MOD((Lists!D$24-$AA26),$Z26)))&lt;=$AB26)+((((Lists!D$24-$AA26)-MOD((Lists!D$24-$AA26),$Z26))-$Z26)&gt;=0)*(EDATE($G26,(((Lists!D$24-$AA26)-MOD((Lists!D$24-$AA26),$Z26))-$Z26))&gt;Lists!D$23)*(EDATE($G26,(((Lists!D$24-$AA26)-MOD((Lists!D$24-$AA26),$Z26))-$Z26))&lt;=Lists!D$21)*(EDATE($G26,(((Lists!D$24-$AA26)-MOD((Lists!D$24-$AA26),$Z26))-$Z26))&lt;=$AB26)))))</f>
        <v>0</v>
      </c>
      <c r="L26" s="53" t="n">
        <f aca="false">IF(OR(N($E26)=0,$G26=""),0,$I26*IF($F26="Weekly",((Lists!E$21-MOD(Lists!E$21-$G26,7))&gt;=$G26)*((Lists!E$21-MOD(Lists!E$21-$G26,7))&lt;=$AB26),IF($F26="One-off",($G26&gt;Lists!E$23)*($G26&lt;=Lists!E$21),IF($F26="",0,(((Lists!E$24-$AA26)-MOD((Lists!E$24-$AA26),$Z26))&gt;=0)*(EDATE($G26,((Lists!E$24-$AA26)-MOD((Lists!E$24-$AA26),$Z26)))&gt;Lists!E$23)*(EDATE($G26,((Lists!E$24-$AA26)-MOD((Lists!E$24-$AA26),$Z26)))&lt;=Lists!E$21)*(EDATE($G26,((Lists!E$24-$AA26)-MOD((Lists!E$24-$AA26),$Z26)))&lt;=$AB26)+((((Lists!E$24-$AA26)-MOD((Lists!E$24-$AA26),$Z26))-$Z26)&gt;=0)*(EDATE($G26,(((Lists!E$24-$AA26)-MOD((Lists!E$24-$AA26),$Z26))-$Z26))&gt;Lists!E$23)*(EDATE($G26,(((Lists!E$24-$AA26)-MOD((Lists!E$24-$AA26),$Z26))-$Z26))&lt;=Lists!E$21)*(EDATE($G26,(((Lists!E$24-$AA26)-MOD((Lists!E$24-$AA26),$Z26))-$Z26))&lt;=$AB26)))))</f>
        <v>0</v>
      </c>
      <c r="M26" s="53" t="n">
        <f aca="false">IF(OR(N($E26)=0,$G26=""),0,$I26*IF($F26="Weekly",((Lists!F$21-MOD(Lists!F$21-$G26,7))&gt;=$G26)*((Lists!F$21-MOD(Lists!F$21-$G26,7))&lt;=$AB26),IF($F26="One-off",($G26&gt;Lists!F$23)*($G26&lt;=Lists!F$21),IF($F26="",0,(((Lists!F$24-$AA26)-MOD((Lists!F$24-$AA26),$Z26))&gt;=0)*(EDATE($G26,((Lists!F$24-$AA26)-MOD((Lists!F$24-$AA26),$Z26)))&gt;Lists!F$23)*(EDATE($G26,((Lists!F$24-$AA26)-MOD((Lists!F$24-$AA26),$Z26)))&lt;=Lists!F$21)*(EDATE($G26,((Lists!F$24-$AA26)-MOD((Lists!F$24-$AA26),$Z26)))&lt;=$AB26)+((((Lists!F$24-$AA26)-MOD((Lists!F$24-$AA26),$Z26))-$Z26)&gt;=0)*(EDATE($G26,(((Lists!F$24-$AA26)-MOD((Lists!F$24-$AA26),$Z26))-$Z26))&gt;Lists!F$23)*(EDATE($G26,(((Lists!F$24-$AA26)-MOD((Lists!F$24-$AA26),$Z26))-$Z26))&lt;=Lists!F$21)*(EDATE($G26,(((Lists!F$24-$AA26)-MOD((Lists!F$24-$AA26),$Z26))-$Z26))&lt;=$AB26)))))</f>
        <v>0</v>
      </c>
      <c r="N26" s="53" t="n">
        <f aca="false">IF(OR(N($E26)=0,$G26=""),0,$I26*IF($F26="Weekly",((Lists!G$21-MOD(Lists!G$21-$G26,7))&gt;=$G26)*((Lists!G$21-MOD(Lists!G$21-$G26,7))&lt;=$AB26),IF($F26="One-off",($G26&gt;Lists!G$23)*($G26&lt;=Lists!G$21),IF($F26="",0,(((Lists!G$24-$AA26)-MOD((Lists!G$24-$AA26),$Z26))&gt;=0)*(EDATE($G26,((Lists!G$24-$AA26)-MOD((Lists!G$24-$AA26),$Z26)))&gt;Lists!G$23)*(EDATE($G26,((Lists!G$24-$AA26)-MOD((Lists!G$24-$AA26),$Z26)))&lt;=Lists!G$21)*(EDATE($G26,((Lists!G$24-$AA26)-MOD((Lists!G$24-$AA26),$Z26)))&lt;=$AB26)+((((Lists!G$24-$AA26)-MOD((Lists!G$24-$AA26),$Z26))-$Z26)&gt;=0)*(EDATE($G26,(((Lists!G$24-$AA26)-MOD((Lists!G$24-$AA26),$Z26))-$Z26))&gt;Lists!G$23)*(EDATE($G26,(((Lists!G$24-$AA26)-MOD((Lists!G$24-$AA26),$Z26))-$Z26))&lt;=Lists!G$21)*(EDATE($G26,(((Lists!G$24-$AA26)-MOD((Lists!G$24-$AA26),$Z26))-$Z26))&lt;=$AB26)))))</f>
        <v>0</v>
      </c>
      <c r="O26" s="53" t="n">
        <f aca="false">IF(OR(N($E26)=0,$G26=""),0,$I26*IF($F26="Weekly",((Lists!H$21-MOD(Lists!H$21-$G26,7))&gt;=$G26)*((Lists!H$21-MOD(Lists!H$21-$G26,7))&lt;=$AB26),IF($F26="One-off",($G26&gt;Lists!H$23)*($G26&lt;=Lists!H$21),IF($F26="",0,(((Lists!H$24-$AA26)-MOD((Lists!H$24-$AA26),$Z26))&gt;=0)*(EDATE($G26,((Lists!H$24-$AA26)-MOD((Lists!H$24-$AA26),$Z26)))&gt;Lists!H$23)*(EDATE($G26,((Lists!H$24-$AA26)-MOD((Lists!H$24-$AA26),$Z26)))&lt;=Lists!H$21)*(EDATE($G26,((Lists!H$24-$AA26)-MOD((Lists!H$24-$AA26),$Z26)))&lt;=$AB26)+((((Lists!H$24-$AA26)-MOD((Lists!H$24-$AA26),$Z26))-$Z26)&gt;=0)*(EDATE($G26,(((Lists!H$24-$AA26)-MOD((Lists!H$24-$AA26),$Z26))-$Z26))&gt;Lists!H$23)*(EDATE($G26,(((Lists!H$24-$AA26)-MOD((Lists!H$24-$AA26),$Z26))-$Z26))&lt;=Lists!H$21)*(EDATE($G26,(((Lists!H$24-$AA26)-MOD((Lists!H$24-$AA26),$Z26))-$Z26))&lt;=$AB26)))))</f>
        <v>0</v>
      </c>
      <c r="P26" s="53" t="n">
        <f aca="false">IF(OR(N($E26)=0,$G26=""),0,$I26*IF($F26="Weekly",((Lists!I$21-MOD(Lists!I$21-$G26,7))&gt;=$G26)*((Lists!I$21-MOD(Lists!I$21-$G26,7))&lt;=$AB26),IF($F26="One-off",($G26&gt;Lists!I$23)*($G26&lt;=Lists!I$21),IF($F26="",0,(((Lists!I$24-$AA26)-MOD((Lists!I$24-$AA26),$Z26))&gt;=0)*(EDATE($G26,((Lists!I$24-$AA26)-MOD((Lists!I$24-$AA26),$Z26)))&gt;Lists!I$23)*(EDATE($G26,((Lists!I$24-$AA26)-MOD((Lists!I$24-$AA26),$Z26)))&lt;=Lists!I$21)*(EDATE($G26,((Lists!I$24-$AA26)-MOD((Lists!I$24-$AA26),$Z26)))&lt;=$AB26)+((((Lists!I$24-$AA26)-MOD((Lists!I$24-$AA26),$Z26))-$Z26)&gt;=0)*(EDATE($G26,(((Lists!I$24-$AA26)-MOD((Lists!I$24-$AA26),$Z26))-$Z26))&gt;Lists!I$23)*(EDATE($G26,(((Lists!I$24-$AA26)-MOD((Lists!I$24-$AA26),$Z26))-$Z26))&lt;=Lists!I$21)*(EDATE($G26,(((Lists!I$24-$AA26)-MOD((Lists!I$24-$AA26),$Z26))-$Z26))&lt;=$AB26)))))</f>
        <v>0</v>
      </c>
      <c r="Q26" s="53" t="n">
        <f aca="false">IF(OR(N($E26)=0,$G26=""),0,$I26*IF($F26="Weekly",((Lists!J$21-MOD(Lists!J$21-$G26,7))&gt;=$G26)*((Lists!J$21-MOD(Lists!J$21-$G26,7))&lt;=$AB26),IF($F26="One-off",($G26&gt;Lists!J$23)*($G26&lt;=Lists!J$21),IF($F26="",0,(((Lists!J$24-$AA26)-MOD((Lists!J$24-$AA26),$Z26))&gt;=0)*(EDATE($G26,((Lists!J$24-$AA26)-MOD((Lists!J$24-$AA26),$Z26)))&gt;Lists!J$23)*(EDATE($G26,((Lists!J$24-$AA26)-MOD((Lists!J$24-$AA26),$Z26)))&lt;=Lists!J$21)*(EDATE($G26,((Lists!J$24-$AA26)-MOD((Lists!J$24-$AA26),$Z26)))&lt;=$AB26)+((((Lists!J$24-$AA26)-MOD((Lists!J$24-$AA26),$Z26))-$Z26)&gt;=0)*(EDATE($G26,(((Lists!J$24-$AA26)-MOD((Lists!J$24-$AA26),$Z26))-$Z26))&gt;Lists!J$23)*(EDATE($G26,(((Lists!J$24-$AA26)-MOD((Lists!J$24-$AA26),$Z26))-$Z26))&lt;=Lists!J$21)*(EDATE($G26,(((Lists!J$24-$AA26)-MOD((Lists!J$24-$AA26),$Z26))-$Z26))&lt;=$AB26)))))</f>
        <v>0</v>
      </c>
      <c r="R26" s="53" t="n">
        <f aca="false">IF(OR(N($E26)=0,$G26=""),0,$I26*IF($F26="Weekly",((Lists!K$21-MOD(Lists!K$21-$G26,7))&gt;=$G26)*((Lists!K$21-MOD(Lists!K$21-$G26,7))&lt;=$AB26),IF($F26="One-off",($G26&gt;Lists!K$23)*($G26&lt;=Lists!K$21),IF($F26="",0,(((Lists!K$24-$AA26)-MOD((Lists!K$24-$AA26),$Z26))&gt;=0)*(EDATE($G26,((Lists!K$24-$AA26)-MOD((Lists!K$24-$AA26),$Z26)))&gt;Lists!K$23)*(EDATE($G26,((Lists!K$24-$AA26)-MOD((Lists!K$24-$AA26),$Z26)))&lt;=Lists!K$21)*(EDATE($G26,((Lists!K$24-$AA26)-MOD((Lists!K$24-$AA26),$Z26)))&lt;=$AB26)+((((Lists!K$24-$AA26)-MOD((Lists!K$24-$AA26),$Z26))-$Z26)&gt;=0)*(EDATE($G26,(((Lists!K$24-$AA26)-MOD((Lists!K$24-$AA26),$Z26))-$Z26))&gt;Lists!K$23)*(EDATE($G26,(((Lists!K$24-$AA26)-MOD((Lists!K$24-$AA26),$Z26))-$Z26))&lt;=Lists!K$21)*(EDATE($G26,(((Lists!K$24-$AA26)-MOD((Lists!K$24-$AA26),$Z26))-$Z26))&lt;=$AB26)))))</f>
        <v>0</v>
      </c>
      <c r="S26" s="53" t="n">
        <f aca="false">IF(OR(N($E26)=0,$G26=""),0,$I26*IF($F26="Weekly",((Lists!L$21-MOD(Lists!L$21-$G26,7))&gt;=$G26)*((Lists!L$21-MOD(Lists!L$21-$G26,7))&lt;=$AB26),IF($F26="One-off",($G26&gt;Lists!L$23)*($G26&lt;=Lists!L$21),IF($F26="",0,(((Lists!L$24-$AA26)-MOD((Lists!L$24-$AA26),$Z26))&gt;=0)*(EDATE($G26,((Lists!L$24-$AA26)-MOD((Lists!L$24-$AA26),$Z26)))&gt;Lists!L$23)*(EDATE($G26,((Lists!L$24-$AA26)-MOD((Lists!L$24-$AA26),$Z26)))&lt;=Lists!L$21)*(EDATE($G26,((Lists!L$24-$AA26)-MOD((Lists!L$24-$AA26),$Z26)))&lt;=$AB26)+((((Lists!L$24-$AA26)-MOD((Lists!L$24-$AA26),$Z26))-$Z26)&gt;=0)*(EDATE($G26,(((Lists!L$24-$AA26)-MOD((Lists!L$24-$AA26),$Z26))-$Z26))&gt;Lists!L$23)*(EDATE($G26,(((Lists!L$24-$AA26)-MOD((Lists!L$24-$AA26),$Z26))-$Z26))&lt;=Lists!L$21)*(EDATE($G26,(((Lists!L$24-$AA26)-MOD((Lists!L$24-$AA26),$Z26))-$Z26))&lt;=$AB26)))))</f>
        <v>0</v>
      </c>
      <c r="T26" s="53" t="n">
        <f aca="false">IF(OR(N($E26)=0,$G26=""),0,$I26*IF($F26="Weekly",((Lists!M$21-MOD(Lists!M$21-$G26,7))&gt;=$G26)*((Lists!M$21-MOD(Lists!M$21-$G26,7))&lt;=$AB26),IF($F26="One-off",($G26&gt;Lists!M$23)*($G26&lt;=Lists!M$21),IF($F26="",0,(((Lists!M$24-$AA26)-MOD((Lists!M$24-$AA26),$Z26))&gt;=0)*(EDATE($G26,((Lists!M$24-$AA26)-MOD((Lists!M$24-$AA26),$Z26)))&gt;Lists!M$23)*(EDATE($G26,((Lists!M$24-$AA26)-MOD((Lists!M$24-$AA26),$Z26)))&lt;=Lists!M$21)*(EDATE($G26,((Lists!M$24-$AA26)-MOD((Lists!M$24-$AA26),$Z26)))&lt;=$AB26)+((((Lists!M$24-$AA26)-MOD((Lists!M$24-$AA26),$Z26))-$Z26)&gt;=0)*(EDATE($G26,(((Lists!M$24-$AA26)-MOD((Lists!M$24-$AA26),$Z26))-$Z26))&gt;Lists!M$23)*(EDATE($G26,(((Lists!M$24-$AA26)-MOD((Lists!M$24-$AA26),$Z26))-$Z26))&lt;=Lists!M$21)*(EDATE($G26,(((Lists!M$24-$AA26)-MOD((Lists!M$24-$AA26),$Z26))-$Z26))&lt;=$AB26)))))</f>
        <v>0</v>
      </c>
      <c r="U26" s="53" t="n">
        <f aca="false">IF(OR(N($E26)=0,$G26=""),0,$I26*IF($F26="Weekly",((Lists!N$21-MOD(Lists!N$21-$G26,7))&gt;=$G26)*((Lists!N$21-MOD(Lists!N$21-$G26,7))&lt;=$AB26),IF($F26="One-off",($G26&gt;Lists!N$23)*($G26&lt;=Lists!N$21),IF($F26="",0,(((Lists!N$24-$AA26)-MOD((Lists!N$24-$AA26),$Z26))&gt;=0)*(EDATE($G26,((Lists!N$24-$AA26)-MOD((Lists!N$24-$AA26),$Z26)))&gt;Lists!N$23)*(EDATE($G26,((Lists!N$24-$AA26)-MOD((Lists!N$24-$AA26),$Z26)))&lt;=Lists!N$21)*(EDATE($G26,((Lists!N$24-$AA26)-MOD((Lists!N$24-$AA26),$Z26)))&lt;=$AB26)+((((Lists!N$24-$AA26)-MOD((Lists!N$24-$AA26),$Z26))-$Z26)&gt;=0)*(EDATE($G26,(((Lists!N$24-$AA26)-MOD((Lists!N$24-$AA26),$Z26))-$Z26))&gt;Lists!N$23)*(EDATE($G26,(((Lists!N$24-$AA26)-MOD((Lists!N$24-$AA26),$Z26))-$Z26))&lt;=Lists!N$21)*(EDATE($G26,(((Lists!N$24-$AA26)-MOD((Lists!N$24-$AA26),$Z26))-$Z26))&lt;=$AB26)))))</f>
        <v>0</v>
      </c>
      <c r="V26" s="53" t="n">
        <f aca="false">IF(OR(N($E26)=0,$G26=""),0,$I26*IF($F26="Weekly",((Lists!O$21-MOD(Lists!O$21-$G26,7))&gt;=$G26)*((Lists!O$21-MOD(Lists!O$21-$G26,7))&lt;=$AB26),IF($F26="One-off",($G26&gt;Lists!O$23)*($G26&lt;=Lists!O$21),IF($F26="",0,(((Lists!O$24-$AA26)-MOD((Lists!O$24-$AA26),$Z26))&gt;=0)*(EDATE($G26,((Lists!O$24-$AA26)-MOD((Lists!O$24-$AA26),$Z26)))&gt;Lists!O$23)*(EDATE($G26,((Lists!O$24-$AA26)-MOD((Lists!O$24-$AA26),$Z26)))&lt;=Lists!O$21)*(EDATE($G26,((Lists!O$24-$AA26)-MOD((Lists!O$24-$AA26),$Z26)))&lt;=$AB26)+((((Lists!O$24-$AA26)-MOD((Lists!O$24-$AA26),$Z26))-$Z26)&gt;=0)*(EDATE($G26,(((Lists!O$24-$AA26)-MOD((Lists!O$24-$AA26),$Z26))-$Z26))&gt;Lists!O$23)*(EDATE($G26,(((Lists!O$24-$AA26)-MOD((Lists!O$24-$AA26),$Z26))-$Z26))&lt;=Lists!O$21)*(EDATE($G26,(((Lists!O$24-$AA26)-MOD((Lists!O$24-$AA26),$Z26))-$Z26))&lt;=$AB26)))))</f>
        <v>0</v>
      </c>
      <c r="W26" s="46" t="n">
        <f aca="false">SUM(J26:V26)</f>
        <v>0</v>
      </c>
      <c r="X26" s="2"/>
      <c r="Y26" s="104" t="n">
        <f aca="false">1</f>
        <v>1</v>
      </c>
      <c r="Z26" s="94" t="n">
        <f aca="false">IF(F26="Quarterly",3,IF(F26="Annually",12,1))</f>
        <v>1</v>
      </c>
      <c r="AA26" s="94" t="n">
        <f aca="false">IF(G26="",0,YEAR(G26)*12+MONTH(G26))</f>
        <v>0</v>
      </c>
      <c r="AB26" s="93" t="n">
        <f aca="false">IF(H26="",2958465,H26)</f>
        <v>2958465</v>
      </c>
      <c r="AC26" s="95" t="str">
        <f aca="false">IF(C26="","Other tax",C26)</f>
        <v>Other tax</v>
      </c>
    </row>
    <row r="27" customFormat="false" ht="15" hidden="false" customHeight="false" outlineLevel="0" collapsed="false">
      <c r="A27" s="87" t="n">
        <v>19</v>
      </c>
      <c r="B27" s="55"/>
      <c r="C27" s="55"/>
      <c r="D27" s="2"/>
      <c r="E27" s="88"/>
      <c r="F27" s="58"/>
      <c r="G27" s="90"/>
      <c r="H27" s="90"/>
      <c r="I27" s="92" t="n">
        <f aca="false">N(E27)*Y27</f>
        <v>0</v>
      </c>
      <c r="J27" s="53" t="n">
        <f aca="false">IF(OR(N($E27)=0,$G27=""),0,$I27*IF($F27="Weekly",((Lists!C$21-MOD(Lists!C$21-$G27,7))&gt;=$G27)*((Lists!C$21-MOD(Lists!C$21-$G27,7))&lt;=$AB27),IF($F27="One-off",($G27&gt;Lists!C$23)*($G27&lt;=Lists!C$21),IF($F27="",0,(((Lists!C$24-$AA27)-MOD((Lists!C$24-$AA27),$Z27))&gt;=0)*(EDATE($G27,((Lists!C$24-$AA27)-MOD((Lists!C$24-$AA27),$Z27)))&gt;Lists!C$23)*(EDATE($G27,((Lists!C$24-$AA27)-MOD((Lists!C$24-$AA27),$Z27)))&lt;=Lists!C$21)*(EDATE($G27,((Lists!C$24-$AA27)-MOD((Lists!C$24-$AA27),$Z27)))&lt;=$AB27)+((((Lists!C$24-$AA27)-MOD((Lists!C$24-$AA27),$Z27))-$Z27)&gt;=0)*(EDATE($G27,(((Lists!C$24-$AA27)-MOD((Lists!C$24-$AA27),$Z27))-$Z27))&gt;Lists!C$23)*(EDATE($G27,(((Lists!C$24-$AA27)-MOD((Lists!C$24-$AA27),$Z27))-$Z27))&lt;=Lists!C$21)*(EDATE($G27,(((Lists!C$24-$AA27)-MOD((Lists!C$24-$AA27),$Z27))-$Z27))&lt;=$AB27)))))</f>
        <v>0</v>
      </c>
      <c r="K27" s="53" t="n">
        <f aca="false">IF(OR(N($E27)=0,$G27=""),0,$I27*IF($F27="Weekly",((Lists!D$21-MOD(Lists!D$21-$G27,7))&gt;=$G27)*((Lists!D$21-MOD(Lists!D$21-$G27,7))&lt;=$AB27),IF($F27="One-off",($G27&gt;Lists!D$23)*($G27&lt;=Lists!D$21),IF($F27="",0,(((Lists!D$24-$AA27)-MOD((Lists!D$24-$AA27),$Z27))&gt;=0)*(EDATE($G27,((Lists!D$24-$AA27)-MOD((Lists!D$24-$AA27),$Z27)))&gt;Lists!D$23)*(EDATE($G27,((Lists!D$24-$AA27)-MOD((Lists!D$24-$AA27),$Z27)))&lt;=Lists!D$21)*(EDATE($G27,((Lists!D$24-$AA27)-MOD((Lists!D$24-$AA27),$Z27)))&lt;=$AB27)+((((Lists!D$24-$AA27)-MOD((Lists!D$24-$AA27),$Z27))-$Z27)&gt;=0)*(EDATE($G27,(((Lists!D$24-$AA27)-MOD((Lists!D$24-$AA27),$Z27))-$Z27))&gt;Lists!D$23)*(EDATE($G27,(((Lists!D$24-$AA27)-MOD((Lists!D$24-$AA27),$Z27))-$Z27))&lt;=Lists!D$21)*(EDATE($G27,(((Lists!D$24-$AA27)-MOD((Lists!D$24-$AA27),$Z27))-$Z27))&lt;=$AB27)))))</f>
        <v>0</v>
      </c>
      <c r="L27" s="53" t="n">
        <f aca="false">IF(OR(N($E27)=0,$G27=""),0,$I27*IF($F27="Weekly",((Lists!E$21-MOD(Lists!E$21-$G27,7))&gt;=$G27)*((Lists!E$21-MOD(Lists!E$21-$G27,7))&lt;=$AB27),IF($F27="One-off",($G27&gt;Lists!E$23)*($G27&lt;=Lists!E$21),IF($F27="",0,(((Lists!E$24-$AA27)-MOD((Lists!E$24-$AA27),$Z27))&gt;=0)*(EDATE($G27,((Lists!E$24-$AA27)-MOD((Lists!E$24-$AA27),$Z27)))&gt;Lists!E$23)*(EDATE($G27,((Lists!E$24-$AA27)-MOD((Lists!E$24-$AA27),$Z27)))&lt;=Lists!E$21)*(EDATE($G27,((Lists!E$24-$AA27)-MOD((Lists!E$24-$AA27),$Z27)))&lt;=$AB27)+((((Lists!E$24-$AA27)-MOD((Lists!E$24-$AA27),$Z27))-$Z27)&gt;=0)*(EDATE($G27,(((Lists!E$24-$AA27)-MOD((Lists!E$24-$AA27),$Z27))-$Z27))&gt;Lists!E$23)*(EDATE($G27,(((Lists!E$24-$AA27)-MOD((Lists!E$24-$AA27),$Z27))-$Z27))&lt;=Lists!E$21)*(EDATE($G27,(((Lists!E$24-$AA27)-MOD((Lists!E$24-$AA27),$Z27))-$Z27))&lt;=$AB27)))))</f>
        <v>0</v>
      </c>
      <c r="M27" s="53" t="n">
        <f aca="false">IF(OR(N($E27)=0,$G27=""),0,$I27*IF($F27="Weekly",((Lists!F$21-MOD(Lists!F$21-$G27,7))&gt;=$G27)*((Lists!F$21-MOD(Lists!F$21-$G27,7))&lt;=$AB27),IF($F27="One-off",($G27&gt;Lists!F$23)*($G27&lt;=Lists!F$21),IF($F27="",0,(((Lists!F$24-$AA27)-MOD((Lists!F$24-$AA27),$Z27))&gt;=0)*(EDATE($G27,((Lists!F$24-$AA27)-MOD((Lists!F$24-$AA27),$Z27)))&gt;Lists!F$23)*(EDATE($G27,((Lists!F$24-$AA27)-MOD((Lists!F$24-$AA27),$Z27)))&lt;=Lists!F$21)*(EDATE($G27,((Lists!F$24-$AA27)-MOD((Lists!F$24-$AA27),$Z27)))&lt;=$AB27)+((((Lists!F$24-$AA27)-MOD((Lists!F$24-$AA27),$Z27))-$Z27)&gt;=0)*(EDATE($G27,(((Lists!F$24-$AA27)-MOD((Lists!F$24-$AA27),$Z27))-$Z27))&gt;Lists!F$23)*(EDATE($G27,(((Lists!F$24-$AA27)-MOD((Lists!F$24-$AA27),$Z27))-$Z27))&lt;=Lists!F$21)*(EDATE($G27,(((Lists!F$24-$AA27)-MOD((Lists!F$24-$AA27),$Z27))-$Z27))&lt;=$AB27)))))</f>
        <v>0</v>
      </c>
      <c r="N27" s="53" t="n">
        <f aca="false">IF(OR(N($E27)=0,$G27=""),0,$I27*IF($F27="Weekly",((Lists!G$21-MOD(Lists!G$21-$G27,7))&gt;=$G27)*((Lists!G$21-MOD(Lists!G$21-$G27,7))&lt;=$AB27),IF($F27="One-off",($G27&gt;Lists!G$23)*($G27&lt;=Lists!G$21),IF($F27="",0,(((Lists!G$24-$AA27)-MOD((Lists!G$24-$AA27),$Z27))&gt;=0)*(EDATE($G27,((Lists!G$24-$AA27)-MOD((Lists!G$24-$AA27),$Z27)))&gt;Lists!G$23)*(EDATE($G27,((Lists!G$24-$AA27)-MOD((Lists!G$24-$AA27),$Z27)))&lt;=Lists!G$21)*(EDATE($G27,((Lists!G$24-$AA27)-MOD((Lists!G$24-$AA27),$Z27)))&lt;=$AB27)+((((Lists!G$24-$AA27)-MOD((Lists!G$24-$AA27),$Z27))-$Z27)&gt;=0)*(EDATE($G27,(((Lists!G$24-$AA27)-MOD((Lists!G$24-$AA27),$Z27))-$Z27))&gt;Lists!G$23)*(EDATE($G27,(((Lists!G$24-$AA27)-MOD((Lists!G$24-$AA27),$Z27))-$Z27))&lt;=Lists!G$21)*(EDATE($G27,(((Lists!G$24-$AA27)-MOD((Lists!G$24-$AA27),$Z27))-$Z27))&lt;=$AB27)))))</f>
        <v>0</v>
      </c>
      <c r="O27" s="53" t="n">
        <f aca="false">IF(OR(N($E27)=0,$G27=""),0,$I27*IF($F27="Weekly",((Lists!H$21-MOD(Lists!H$21-$G27,7))&gt;=$G27)*((Lists!H$21-MOD(Lists!H$21-$G27,7))&lt;=$AB27),IF($F27="One-off",($G27&gt;Lists!H$23)*($G27&lt;=Lists!H$21),IF($F27="",0,(((Lists!H$24-$AA27)-MOD((Lists!H$24-$AA27),$Z27))&gt;=0)*(EDATE($G27,((Lists!H$24-$AA27)-MOD((Lists!H$24-$AA27),$Z27)))&gt;Lists!H$23)*(EDATE($G27,((Lists!H$24-$AA27)-MOD((Lists!H$24-$AA27),$Z27)))&lt;=Lists!H$21)*(EDATE($G27,((Lists!H$24-$AA27)-MOD((Lists!H$24-$AA27),$Z27)))&lt;=$AB27)+((((Lists!H$24-$AA27)-MOD((Lists!H$24-$AA27),$Z27))-$Z27)&gt;=0)*(EDATE($G27,(((Lists!H$24-$AA27)-MOD((Lists!H$24-$AA27),$Z27))-$Z27))&gt;Lists!H$23)*(EDATE($G27,(((Lists!H$24-$AA27)-MOD((Lists!H$24-$AA27),$Z27))-$Z27))&lt;=Lists!H$21)*(EDATE($G27,(((Lists!H$24-$AA27)-MOD((Lists!H$24-$AA27),$Z27))-$Z27))&lt;=$AB27)))))</f>
        <v>0</v>
      </c>
      <c r="P27" s="53" t="n">
        <f aca="false">IF(OR(N($E27)=0,$G27=""),0,$I27*IF($F27="Weekly",((Lists!I$21-MOD(Lists!I$21-$G27,7))&gt;=$G27)*((Lists!I$21-MOD(Lists!I$21-$G27,7))&lt;=$AB27),IF($F27="One-off",($G27&gt;Lists!I$23)*($G27&lt;=Lists!I$21),IF($F27="",0,(((Lists!I$24-$AA27)-MOD((Lists!I$24-$AA27),$Z27))&gt;=0)*(EDATE($G27,((Lists!I$24-$AA27)-MOD((Lists!I$24-$AA27),$Z27)))&gt;Lists!I$23)*(EDATE($G27,((Lists!I$24-$AA27)-MOD((Lists!I$24-$AA27),$Z27)))&lt;=Lists!I$21)*(EDATE($G27,((Lists!I$24-$AA27)-MOD((Lists!I$24-$AA27),$Z27)))&lt;=$AB27)+((((Lists!I$24-$AA27)-MOD((Lists!I$24-$AA27),$Z27))-$Z27)&gt;=0)*(EDATE($G27,(((Lists!I$24-$AA27)-MOD((Lists!I$24-$AA27),$Z27))-$Z27))&gt;Lists!I$23)*(EDATE($G27,(((Lists!I$24-$AA27)-MOD((Lists!I$24-$AA27),$Z27))-$Z27))&lt;=Lists!I$21)*(EDATE($G27,(((Lists!I$24-$AA27)-MOD((Lists!I$24-$AA27),$Z27))-$Z27))&lt;=$AB27)))))</f>
        <v>0</v>
      </c>
      <c r="Q27" s="53" t="n">
        <f aca="false">IF(OR(N($E27)=0,$G27=""),0,$I27*IF($F27="Weekly",((Lists!J$21-MOD(Lists!J$21-$G27,7))&gt;=$G27)*((Lists!J$21-MOD(Lists!J$21-$G27,7))&lt;=$AB27),IF($F27="One-off",($G27&gt;Lists!J$23)*($G27&lt;=Lists!J$21),IF($F27="",0,(((Lists!J$24-$AA27)-MOD((Lists!J$24-$AA27),$Z27))&gt;=0)*(EDATE($G27,((Lists!J$24-$AA27)-MOD((Lists!J$24-$AA27),$Z27)))&gt;Lists!J$23)*(EDATE($G27,((Lists!J$24-$AA27)-MOD((Lists!J$24-$AA27),$Z27)))&lt;=Lists!J$21)*(EDATE($G27,((Lists!J$24-$AA27)-MOD((Lists!J$24-$AA27),$Z27)))&lt;=$AB27)+((((Lists!J$24-$AA27)-MOD((Lists!J$24-$AA27),$Z27))-$Z27)&gt;=0)*(EDATE($G27,(((Lists!J$24-$AA27)-MOD((Lists!J$24-$AA27),$Z27))-$Z27))&gt;Lists!J$23)*(EDATE($G27,(((Lists!J$24-$AA27)-MOD((Lists!J$24-$AA27),$Z27))-$Z27))&lt;=Lists!J$21)*(EDATE($G27,(((Lists!J$24-$AA27)-MOD((Lists!J$24-$AA27),$Z27))-$Z27))&lt;=$AB27)))))</f>
        <v>0</v>
      </c>
      <c r="R27" s="53" t="n">
        <f aca="false">IF(OR(N($E27)=0,$G27=""),0,$I27*IF($F27="Weekly",((Lists!K$21-MOD(Lists!K$21-$G27,7))&gt;=$G27)*((Lists!K$21-MOD(Lists!K$21-$G27,7))&lt;=$AB27),IF($F27="One-off",($G27&gt;Lists!K$23)*($G27&lt;=Lists!K$21),IF($F27="",0,(((Lists!K$24-$AA27)-MOD((Lists!K$24-$AA27),$Z27))&gt;=0)*(EDATE($G27,((Lists!K$24-$AA27)-MOD((Lists!K$24-$AA27),$Z27)))&gt;Lists!K$23)*(EDATE($G27,((Lists!K$24-$AA27)-MOD((Lists!K$24-$AA27),$Z27)))&lt;=Lists!K$21)*(EDATE($G27,((Lists!K$24-$AA27)-MOD((Lists!K$24-$AA27),$Z27)))&lt;=$AB27)+((((Lists!K$24-$AA27)-MOD((Lists!K$24-$AA27),$Z27))-$Z27)&gt;=0)*(EDATE($G27,(((Lists!K$24-$AA27)-MOD((Lists!K$24-$AA27),$Z27))-$Z27))&gt;Lists!K$23)*(EDATE($G27,(((Lists!K$24-$AA27)-MOD((Lists!K$24-$AA27),$Z27))-$Z27))&lt;=Lists!K$21)*(EDATE($G27,(((Lists!K$24-$AA27)-MOD((Lists!K$24-$AA27),$Z27))-$Z27))&lt;=$AB27)))))</f>
        <v>0</v>
      </c>
      <c r="S27" s="53" t="n">
        <f aca="false">IF(OR(N($E27)=0,$G27=""),0,$I27*IF($F27="Weekly",((Lists!L$21-MOD(Lists!L$21-$G27,7))&gt;=$G27)*((Lists!L$21-MOD(Lists!L$21-$G27,7))&lt;=$AB27),IF($F27="One-off",($G27&gt;Lists!L$23)*($G27&lt;=Lists!L$21),IF($F27="",0,(((Lists!L$24-$AA27)-MOD((Lists!L$24-$AA27),$Z27))&gt;=0)*(EDATE($G27,((Lists!L$24-$AA27)-MOD((Lists!L$24-$AA27),$Z27)))&gt;Lists!L$23)*(EDATE($G27,((Lists!L$24-$AA27)-MOD((Lists!L$24-$AA27),$Z27)))&lt;=Lists!L$21)*(EDATE($G27,((Lists!L$24-$AA27)-MOD((Lists!L$24-$AA27),$Z27)))&lt;=$AB27)+((((Lists!L$24-$AA27)-MOD((Lists!L$24-$AA27),$Z27))-$Z27)&gt;=0)*(EDATE($G27,(((Lists!L$24-$AA27)-MOD((Lists!L$24-$AA27),$Z27))-$Z27))&gt;Lists!L$23)*(EDATE($G27,(((Lists!L$24-$AA27)-MOD((Lists!L$24-$AA27),$Z27))-$Z27))&lt;=Lists!L$21)*(EDATE($G27,(((Lists!L$24-$AA27)-MOD((Lists!L$24-$AA27),$Z27))-$Z27))&lt;=$AB27)))))</f>
        <v>0</v>
      </c>
      <c r="T27" s="53" t="n">
        <f aca="false">IF(OR(N($E27)=0,$G27=""),0,$I27*IF($F27="Weekly",((Lists!M$21-MOD(Lists!M$21-$G27,7))&gt;=$G27)*((Lists!M$21-MOD(Lists!M$21-$G27,7))&lt;=$AB27),IF($F27="One-off",($G27&gt;Lists!M$23)*($G27&lt;=Lists!M$21),IF($F27="",0,(((Lists!M$24-$AA27)-MOD((Lists!M$24-$AA27),$Z27))&gt;=0)*(EDATE($G27,((Lists!M$24-$AA27)-MOD((Lists!M$24-$AA27),$Z27)))&gt;Lists!M$23)*(EDATE($G27,((Lists!M$24-$AA27)-MOD((Lists!M$24-$AA27),$Z27)))&lt;=Lists!M$21)*(EDATE($G27,((Lists!M$24-$AA27)-MOD((Lists!M$24-$AA27),$Z27)))&lt;=$AB27)+((((Lists!M$24-$AA27)-MOD((Lists!M$24-$AA27),$Z27))-$Z27)&gt;=0)*(EDATE($G27,(((Lists!M$24-$AA27)-MOD((Lists!M$24-$AA27),$Z27))-$Z27))&gt;Lists!M$23)*(EDATE($G27,(((Lists!M$24-$AA27)-MOD((Lists!M$24-$AA27),$Z27))-$Z27))&lt;=Lists!M$21)*(EDATE($G27,(((Lists!M$24-$AA27)-MOD((Lists!M$24-$AA27),$Z27))-$Z27))&lt;=$AB27)))))</f>
        <v>0</v>
      </c>
      <c r="U27" s="53" t="n">
        <f aca="false">IF(OR(N($E27)=0,$G27=""),0,$I27*IF($F27="Weekly",((Lists!N$21-MOD(Lists!N$21-$G27,7))&gt;=$G27)*((Lists!N$21-MOD(Lists!N$21-$G27,7))&lt;=$AB27),IF($F27="One-off",($G27&gt;Lists!N$23)*($G27&lt;=Lists!N$21),IF($F27="",0,(((Lists!N$24-$AA27)-MOD((Lists!N$24-$AA27),$Z27))&gt;=0)*(EDATE($G27,((Lists!N$24-$AA27)-MOD((Lists!N$24-$AA27),$Z27)))&gt;Lists!N$23)*(EDATE($G27,((Lists!N$24-$AA27)-MOD((Lists!N$24-$AA27),$Z27)))&lt;=Lists!N$21)*(EDATE($G27,((Lists!N$24-$AA27)-MOD((Lists!N$24-$AA27),$Z27)))&lt;=$AB27)+((((Lists!N$24-$AA27)-MOD((Lists!N$24-$AA27),$Z27))-$Z27)&gt;=0)*(EDATE($G27,(((Lists!N$24-$AA27)-MOD((Lists!N$24-$AA27),$Z27))-$Z27))&gt;Lists!N$23)*(EDATE($G27,(((Lists!N$24-$AA27)-MOD((Lists!N$24-$AA27),$Z27))-$Z27))&lt;=Lists!N$21)*(EDATE($G27,(((Lists!N$24-$AA27)-MOD((Lists!N$24-$AA27),$Z27))-$Z27))&lt;=$AB27)))))</f>
        <v>0</v>
      </c>
      <c r="V27" s="53" t="n">
        <f aca="false">IF(OR(N($E27)=0,$G27=""),0,$I27*IF($F27="Weekly",((Lists!O$21-MOD(Lists!O$21-$G27,7))&gt;=$G27)*((Lists!O$21-MOD(Lists!O$21-$G27,7))&lt;=$AB27),IF($F27="One-off",($G27&gt;Lists!O$23)*($G27&lt;=Lists!O$21),IF($F27="",0,(((Lists!O$24-$AA27)-MOD((Lists!O$24-$AA27),$Z27))&gt;=0)*(EDATE($G27,((Lists!O$24-$AA27)-MOD((Lists!O$24-$AA27),$Z27)))&gt;Lists!O$23)*(EDATE($G27,((Lists!O$24-$AA27)-MOD((Lists!O$24-$AA27),$Z27)))&lt;=Lists!O$21)*(EDATE($G27,((Lists!O$24-$AA27)-MOD((Lists!O$24-$AA27),$Z27)))&lt;=$AB27)+((((Lists!O$24-$AA27)-MOD((Lists!O$24-$AA27),$Z27))-$Z27)&gt;=0)*(EDATE($G27,(((Lists!O$24-$AA27)-MOD((Lists!O$24-$AA27),$Z27))-$Z27))&gt;Lists!O$23)*(EDATE($G27,(((Lists!O$24-$AA27)-MOD((Lists!O$24-$AA27),$Z27))-$Z27))&lt;=Lists!O$21)*(EDATE($G27,(((Lists!O$24-$AA27)-MOD((Lists!O$24-$AA27),$Z27))-$Z27))&lt;=$AB27)))))</f>
        <v>0</v>
      </c>
      <c r="W27" s="46" t="n">
        <f aca="false">SUM(J27:V27)</f>
        <v>0</v>
      </c>
      <c r="X27" s="2"/>
      <c r="Y27" s="104" t="n">
        <f aca="false">1</f>
        <v>1</v>
      </c>
      <c r="Z27" s="94" t="n">
        <f aca="false">IF(F27="Quarterly",3,IF(F27="Annually",12,1))</f>
        <v>1</v>
      </c>
      <c r="AA27" s="94" t="n">
        <f aca="false">IF(G27="",0,YEAR(G27)*12+MONTH(G27))</f>
        <v>0</v>
      </c>
      <c r="AB27" s="93" t="n">
        <f aca="false">IF(H27="",2958465,H27)</f>
        <v>2958465</v>
      </c>
      <c r="AC27" s="95" t="str">
        <f aca="false">IF(C27="","Other tax",C27)</f>
        <v>Other tax</v>
      </c>
    </row>
    <row r="28" customFormat="false" ht="15" hidden="false" customHeight="false" outlineLevel="0" collapsed="false">
      <c r="A28" s="87" t="n">
        <v>20</v>
      </c>
      <c r="B28" s="55"/>
      <c r="C28" s="55"/>
      <c r="D28" s="2"/>
      <c r="E28" s="88"/>
      <c r="F28" s="58"/>
      <c r="G28" s="90"/>
      <c r="H28" s="90"/>
      <c r="I28" s="92" t="n">
        <f aca="false">N(E28)*Y28</f>
        <v>0</v>
      </c>
      <c r="J28" s="53" t="n">
        <f aca="false">IF(OR(N($E28)=0,$G28=""),0,$I28*IF($F28="Weekly",((Lists!C$21-MOD(Lists!C$21-$G28,7))&gt;=$G28)*((Lists!C$21-MOD(Lists!C$21-$G28,7))&lt;=$AB28),IF($F28="One-off",($G28&gt;Lists!C$23)*($G28&lt;=Lists!C$21),IF($F28="",0,(((Lists!C$24-$AA28)-MOD((Lists!C$24-$AA28),$Z28))&gt;=0)*(EDATE($G28,((Lists!C$24-$AA28)-MOD((Lists!C$24-$AA28),$Z28)))&gt;Lists!C$23)*(EDATE($G28,((Lists!C$24-$AA28)-MOD((Lists!C$24-$AA28),$Z28)))&lt;=Lists!C$21)*(EDATE($G28,((Lists!C$24-$AA28)-MOD((Lists!C$24-$AA28),$Z28)))&lt;=$AB28)+((((Lists!C$24-$AA28)-MOD((Lists!C$24-$AA28),$Z28))-$Z28)&gt;=0)*(EDATE($G28,(((Lists!C$24-$AA28)-MOD((Lists!C$24-$AA28),$Z28))-$Z28))&gt;Lists!C$23)*(EDATE($G28,(((Lists!C$24-$AA28)-MOD((Lists!C$24-$AA28),$Z28))-$Z28))&lt;=Lists!C$21)*(EDATE($G28,(((Lists!C$24-$AA28)-MOD((Lists!C$24-$AA28),$Z28))-$Z28))&lt;=$AB28)))))</f>
        <v>0</v>
      </c>
      <c r="K28" s="53" t="n">
        <f aca="false">IF(OR(N($E28)=0,$G28=""),0,$I28*IF($F28="Weekly",((Lists!D$21-MOD(Lists!D$21-$G28,7))&gt;=$G28)*((Lists!D$21-MOD(Lists!D$21-$G28,7))&lt;=$AB28),IF($F28="One-off",($G28&gt;Lists!D$23)*($G28&lt;=Lists!D$21),IF($F28="",0,(((Lists!D$24-$AA28)-MOD((Lists!D$24-$AA28),$Z28))&gt;=0)*(EDATE($G28,((Lists!D$24-$AA28)-MOD((Lists!D$24-$AA28),$Z28)))&gt;Lists!D$23)*(EDATE($G28,((Lists!D$24-$AA28)-MOD((Lists!D$24-$AA28),$Z28)))&lt;=Lists!D$21)*(EDATE($G28,((Lists!D$24-$AA28)-MOD((Lists!D$24-$AA28),$Z28)))&lt;=$AB28)+((((Lists!D$24-$AA28)-MOD((Lists!D$24-$AA28),$Z28))-$Z28)&gt;=0)*(EDATE($G28,(((Lists!D$24-$AA28)-MOD((Lists!D$24-$AA28),$Z28))-$Z28))&gt;Lists!D$23)*(EDATE($G28,(((Lists!D$24-$AA28)-MOD((Lists!D$24-$AA28),$Z28))-$Z28))&lt;=Lists!D$21)*(EDATE($G28,(((Lists!D$24-$AA28)-MOD((Lists!D$24-$AA28),$Z28))-$Z28))&lt;=$AB28)))))</f>
        <v>0</v>
      </c>
      <c r="L28" s="53" t="n">
        <f aca="false">IF(OR(N($E28)=0,$G28=""),0,$I28*IF($F28="Weekly",((Lists!E$21-MOD(Lists!E$21-$G28,7))&gt;=$G28)*((Lists!E$21-MOD(Lists!E$21-$G28,7))&lt;=$AB28),IF($F28="One-off",($G28&gt;Lists!E$23)*($G28&lt;=Lists!E$21),IF($F28="",0,(((Lists!E$24-$AA28)-MOD((Lists!E$24-$AA28),$Z28))&gt;=0)*(EDATE($G28,((Lists!E$24-$AA28)-MOD((Lists!E$24-$AA28),$Z28)))&gt;Lists!E$23)*(EDATE($G28,((Lists!E$24-$AA28)-MOD((Lists!E$24-$AA28),$Z28)))&lt;=Lists!E$21)*(EDATE($G28,((Lists!E$24-$AA28)-MOD((Lists!E$24-$AA28),$Z28)))&lt;=$AB28)+((((Lists!E$24-$AA28)-MOD((Lists!E$24-$AA28),$Z28))-$Z28)&gt;=0)*(EDATE($G28,(((Lists!E$24-$AA28)-MOD((Lists!E$24-$AA28),$Z28))-$Z28))&gt;Lists!E$23)*(EDATE($G28,(((Lists!E$24-$AA28)-MOD((Lists!E$24-$AA28),$Z28))-$Z28))&lt;=Lists!E$21)*(EDATE($G28,(((Lists!E$24-$AA28)-MOD((Lists!E$24-$AA28),$Z28))-$Z28))&lt;=$AB28)))))</f>
        <v>0</v>
      </c>
      <c r="M28" s="53" t="n">
        <f aca="false">IF(OR(N($E28)=0,$G28=""),0,$I28*IF($F28="Weekly",((Lists!F$21-MOD(Lists!F$21-$G28,7))&gt;=$G28)*((Lists!F$21-MOD(Lists!F$21-$G28,7))&lt;=$AB28),IF($F28="One-off",($G28&gt;Lists!F$23)*($G28&lt;=Lists!F$21),IF($F28="",0,(((Lists!F$24-$AA28)-MOD((Lists!F$24-$AA28),$Z28))&gt;=0)*(EDATE($G28,((Lists!F$24-$AA28)-MOD((Lists!F$24-$AA28),$Z28)))&gt;Lists!F$23)*(EDATE($G28,((Lists!F$24-$AA28)-MOD((Lists!F$24-$AA28),$Z28)))&lt;=Lists!F$21)*(EDATE($G28,((Lists!F$24-$AA28)-MOD((Lists!F$24-$AA28),$Z28)))&lt;=$AB28)+((((Lists!F$24-$AA28)-MOD((Lists!F$24-$AA28),$Z28))-$Z28)&gt;=0)*(EDATE($G28,(((Lists!F$24-$AA28)-MOD((Lists!F$24-$AA28),$Z28))-$Z28))&gt;Lists!F$23)*(EDATE($G28,(((Lists!F$24-$AA28)-MOD((Lists!F$24-$AA28),$Z28))-$Z28))&lt;=Lists!F$21)*(EDATE($G28,(((Lists!F$24-$AA28)-MOD((Lists!F$24-$AA28),$Z28))-$Z28))&lt;=$AB28)))))</f>
        <v>0</v>
      </c>
      <c r="N28" s="53" t="n">
        <f aca="false">IF(OR(N($E28)=0,$G28=""),0,$I28*IF($F28="Weekly",((Lists!G$21-MOD(Lists!G$21-$G28,7))&gt;=$G28)*((Lists!G$21-MOD(Lists!G$21-$G28,7))&lt;=$AB28),IF($F28="One-off",($G28&gt;Lists!G$23)*($G28&lt;=Lists!G$21),IF($F28="",0,(((Lists!G$24-$AA28)-MOD((Lists!G$24-$AA28),$Z28))&gt;=0)*(EDATE($G28,((Lists!G$24-$AA28)-MOD((Lists!G$24-$AA28),$Z28)))&gt;Lists!G$23)*(EDATE($G28,((Lists!G$24-$AA28)-MOD((Lists!G$24-$AA28),$Z28)))&lt;=Lists!G$21)*(EDATE($G28,((Lists!G$24-$AA28)-MOD((Lists!G$24-$AA28),$Z28)))&lt;=$AB28)+((((Lists!G$24-$AA28)-MOD((Lists!G$24-$AA28),$Z28))-$Z28)&gt;=0)*(EDATE($G28,(((Lists!G$24-$AA28)-MOD((Lists!G$24-$AA28),$Z28))-$Z28))&gt;Lists!G$23)*(EDATE($G28,(((Lists!G$24-$AA28)-MOD((Lists!G$24-$AA28),$Z28))-$Z28))&lt;=Lists!G$21)*(EDATE($G28,(((Lists!G$24-$AA28)-MOD((Lists!G$24-$AA28),$Z28))-$Z28))&lt;=$AB28)))))</f>
        <v>0</v>
      </c>
      <c r="O28" s="53" t="n">
        <f aca="false">IF(OR(N($E28)=0,$G28=""),0,$I28*IF($F28="Weekly",((Lists!H$21-MOD(Lists!H$21-$G28,7))&gt;=$G28)*((Lists!H$21-MOD(Lists!H$21-$G28,7))&lt;=$AB28),IF($F28="One-off",($G28&gt;Lists!H$23)*($G28&lt;=Lists!H$21),IF($F28="",0,(((Lists!H$24-$AA28)-MOD((Lists!H$24-$AA28),$Z28))&gt;=0)*(EDATE($G28,((Lists!H$24-$AA28)-MOD((Lists!H$24-$AA28),$Z28)))&gt;Lists!H$23)*(EDATE($G28,((Lists!H$24-$AA28)-MOD((Lists!H$24-$AA28),$Z28)))&lt;=Lists!H$21)*(EDATE($G28,((Lists!H$24-$AA28)-MOD((Lists!H$24-$AA28),$Z28)))&lt;=$AB28)+((((Lists!H$24-$AA28)-MOD((Lists!H$24-$AA28),$Z28))-$Z28)&gt;=0)*(EDATE($G28,(((Lists!H$24-$AA28)-MOD((Lists!H$24-$AA28),$Z28))-$Z28))&gt;Lists!H$23)*(EDATE($G28,(((Lists!H$24-$AA28)-MOD((Lists!H$24-$AA28),$Z28))-$Z28))&lt;=Lists!H$21)*(EDATE($G28,(((Lists!H$24-$AA28)-MOD((Lists!H$24-$AA28),$Z28))-$Z28))&lt;=$AB28)))))</f>
        <v>0</v>
      </c>
      <c r="P28" s="53" t="n">
        <f aca="false">IF(OR(N($E28)=0,$G28=""),0,$I28*IF($F28="Weekly",((Lists!I$21-MOD(Lists!I$21-$G28,7))&gt;=$G28)*((Lists!I$21-MOD(Lists!I$21-$G28,7))&lt;=$AB28),IF($F28="One-off",($G28&gt;Lists!I$23)*($G28&lt;=Lists!I$21),IF($F28="",0,(((Lists!I$24-$AA28)-MOD((Lists!I$24-$AA28),$Z28))&gt;=0)*(EDATE($G28,((Lists!I$24-$AA28)-MOD((Lists!I$24-$AA28),$Z28)))&gt;Lists!I$23)*(EDATE($G28,((Lists!I$24-$AA28)-MOD((Lists!I$24-$AA28),$Z28)))&lt;=Lists!I$21)*(EDATE($G28,((Lists!I$24-$AA28)-MOD((Lists!I$24-$AA28),$Z28)))&lt;=$AB28)+((((Lists!I$24-$AA28)-MOD((Lists!I$24-$AA28),$Z28))-$Z28)&gt;=0)*(EDATE($G28,(((Lists!I$24-$AA28)-MOD((Lists!I$24-$AA28),$Z28))-$Z28))&gt;Lists!I$23)*(EDATE($G28,(((Lists!I$24-$AA28)-MOD((Lists!I$24-$AA28),$Z28))-$Z28))&lt;=Lists!I$21)*(EDATE($G28,(((Lists!I$24-$AA28)-MOD((Lists!I$24-$AA28),$Z28))-$Z28))&lt;=$AB28)))))</f>
        <v>0</v>
      </c>
      <c r="Q28" s="53" t="n">
        <f aca="false">IF(OR(N($E28)=0,$G28=""),0,$I28*IF($F28="Weekly",((Lists!J$21-MOD(Lists!J$21-$G28,7))&gt;=$G28)*((Lists!J$21-MOD(Lists!J$21-$G28,7))&lt;=$AB28),IF($F28="One-off",($G28&gt;Lists!J$23)*($G28&lt;=Lists!J$21),IF($F28="",0,(((Lists!J$24-$AA28)-MOD((Lists!J$24-$AA28),$Z28))&gt;=0)*(EDATE($G28,((Lists!J$24-$AA28)-MOD((Lists!J$24-$AA28),$Z28)))&gt;Lists!J$23)*(EDATE($G28,((Lists!J$24-$AA28)-MOD((Lists!J$24-$AA28),$Z28)))&lt;=Lists!J$21)*(EDATE($G28,((Lists!J$24-$AA28)-MOD((Lists!J$24-$AA28),$Z28)))&lt;=$AB28)+((((Lists!J$24-$AA28)-MOD((Lists!J$24-$AA28),$Z28))-$Z28)&gt;=0)*(EDATE($G28,(((Lists!J$24-$AA28)-MOD((Lists!J$24-$AA28),$Z28))-$Z28))&gt;Lists!J$23)*(EDATE($G28,(((Lists!J$24-$AA28)-MOD((Lists!J$24-$AA28),$Z28))-$Z28))&lt;=Lists!J$21)*(EDATE($G28,(((Lists!J$24-$AA28)-MOD((Lists!J$24-$AA28),$Z28))-$Z28))&lt;=$AB28)))))</f>
        <v>0</v>
      </c>
      <c r="R28" s="53" t="n">
        <f aca="false">IF(OR(N($E28)=0,$G28=""),0,$I28*IF($F28="Weekly",((Lists!K$21-MOD(Lists!K$21-$G28,7))&gt;=$G28)*((Lists!K$21-MOD(Lists!K$21-$G28,7))&lt;=$AB28),IF($F28="One-off",($G28&gt;Lists!K$23)*($G28&lt;=Lists!K$21),IF($F28="",0,(((Lists!K$24-$AA28)-MOD((Lists!K$24-$AA28),$Z28))&gt;=0)*(EDATE($G28,((Lists!K$24-$AA28)-MOD((Lists!K$24-$AA28),$Z28)))&gt;Lists!K$23)*(EDATE($G28,((Lists!K$24-$AA28)-MOD((Lists!K$24-$AA28),$Z28)))&lt;=Lists!K$21)*(EDATE($G28,((Lists!K$24-$AA28)-MOD((Lists!K$24-$AA28),$Z28)))&lt;=$AB28)+((((Lists!K$24-$AA28)-MOD((Lists!K$24-$AA28),$Z28))-$Z28)&gt;=0)*(EDATE($G28,(((Lists!K$24-$AA28)-MOD((Lists!K$24-$AA28),$Z28))-$Z28))&gt;Lists!K$23)*(EDATE($G28,(((Lists!K$24-$AA28)-MOD((Lists!K$24-$AA28),$Z28))-$Z28))&lt;=Lists!K$21)*(EDATE($G28,(((Lists!K$24-$AA28)-MOD((Lists!K$24-$AA28),$Z28))-$Z28))&lt;=$AB28)))))</f>
        <v>0</v>
      </c>
      <c r="S28" s="53" t="n">
        <f aca="false">IF(OR(N($E28)=0,$G28=""),0,$I28*IF($F28="Weekly",((Lists!L$21-MOD(Lists!L$21-$G28,7))&gt;=$G28)*((Lists!L$21-MOD(Lists!L$21-$G28,7))&lt;=$AB28),IF($F28="One-off",($G28&gt;Lists!L$23)*($G28&lt;=Lists!L$21),IF($F28="",0,(((Lists!L$24-$AA28)-MOD((Lists!L$24-$AA28),$Z28))&gt;=0)*(EDATE($G28,((Lists!L$24-$AA28)-MOD((Lists!L$24-$AA28),$Z28)))&gt;Lists!L$23)*(EDATE($G28,((Lists!L$24-$AA28)-MOD((Lists!L$24-$AA28),$Z28)))&lt;=Lists!L$21)*(EDATE($G28,((Lists!L$24-$AA28)-MOD((Lists!L$24-$AA28),$Z28)))&lt;=$AB28)+((((Lists!L$24-$AA28)-MOD((Lists!L$24-$AA28),$Z28))-$Z28)&gt;=0)*(EDATE($G28,(((Lists!L$24-$AA28)-MOD((Lists!L$24-$AA28),$Z28))-$Z28))&gt;Lists!L$23)*(EDATE($G28,(((Lists!L$24-$AA28)-MOD((Lists!L$24-$AA28),$Z28))-$Z28))&lt;=Lists!L$21)*(EDATE($G28,(((Lists!L$24-$AA28)-MOD((Lists!L$24-$AA28),$Z28))-$Z28))&lt;=$AB28)))))</f>
        <v>0</v>
      </c>
      <c r="T28" s="53" t="n">
        <f aca="false">IF(OR(N($E28)=0,$G28=""),0,$I28*IF($F28="Weekly",((Lists!M$21-MOD(Lists!M$21-$G28,7))&gt;=$G28)*((Lists!M$21-MOD(Lists!M$21-$G28,7))&lt;=$AB28),IF($F28="One-off",($G28&gt;Lists!M$23)*($G28&lt;=Lists!M$21),IF($F28="",0,(((Lists!M$24-$AA28)-MOD((Lists!M$24-$AA28),$Z28))&gt;=0)*(EDATE($G28,((Lists!M$24-$AA28)-MOD((Lists!M$24-$AA28),$Z28)))&gt;Lists!M$23)*(EDATE($G28,((Lists!M$24-$AA28)-MOD((Lists!M$24-$AA28),$Z28)))&lt;=Lists!M$21)*(EDATE($G28,((Lists!M$24-$AA28)-MOD((Lists!M$24-$AA28),$Z28)))&lt;=$AB28)+((((Lists!M$24-$AA28)-MOD((Lists!M$24-$AA28),$Z28))-$Z28)&gt;=0)*(EDATE($G28,(((Lists!M$24-$AA28)-MOD((Lists!M$24-$AA28),$Z28))-$Z28))&gt;Lists!M$23)*(EDATE($G28,(((Lists!M$24-$AA28)-MOD((Lists!M$24-$AA28),$Z28))-$Z28))&lt;=Lists!M$21)*(EDATE($G28,(((Lists!M$24-$AA28)-MOD((Lists!M$24-$AA28),$Z28))-$Z28))&lt;=$AB28)))))</f>
        <v>0</v>
      </c>
      <c r="U28" s="53" t="n">
        <f aca="false">IF(OR(N($E28)=0,$G28=""),0,$I28*IF($F28="Weekly",((Lists!N$21-MOD(Lists!N$21-$G28,7))&gt;=$G28)*((Lists!N$21-MOD(Lists!N$21-$G28,7))&lt;=$AB28),IF($F28="One-off",($G28&gt;Lists!N$23)*($G28&lt;=Lists!N$21),IF($F28="",0,(((Lists!N$24-$AA28)-MOD((Lists!N$24-$AA28),$Z28))&gt;=0)*(EDATE($G28,((Lists!N$24-$AA28)-MOD((Lists!N$24-$AA28),$Z28)))&gt;Lists!N$23)*(EDATE($G28,((Lists!N$24-$AA28)-MOD((Lists!N$24-$AA28),$Z28)))&lt;=Lists!N$21)*(EDATE($G28,((Lists!N$24-$AA28)-MOD((Lists!N$24-$AA28),$Z28)))&lt;=$AB28)+((((Lists!N$24-$AA28)-MOD((Lists!N$24-$AA28),$Z28))-$Z28)&gt;=0)*(EDATE($G28,(((Lists!N$24-$AA28)-MOD((Lists!N$24-$AA28),$Z28))-$Z28))&gt;Lists!N$23)*(EDATE($G28,(((Lists!N$24-$AA28)-MOD((Lists!N$24-$AA28),$Z28))-$Z28))&lt;=Lists!N$21)*(EDATE($G28,(((Lists!N$24-$AA28)-MOD((Lists!N$24-$AA28),$Z28))-$Z28))&lt;=$AB28)))))</f>
        <v>0</v>
      </c>
      <c r="V28" s="53" t="n">
        <f aca="false">IF(OR(N($E28)=0,$G28=""),0,$I28*IF($F28="Weekly",((Lists!O$21-MOD(Lists!O$21-$G28,7))&gt;=$G28)*((Lists!O$21-MOD(Lists!O$21-$G28,7))&lt;=$AB28),IF($F28="One-off",($G28&gt;Lists!O$23)*($G28&lt;=Lists!O$21),IF($F28="",0,(((Lists!O$24-$AA28)-MOD((Lists!O$24-$AA28),$Z28))&gt;=0)*(EDATE($G28,((Lists!O$24-$AA28)-MOD((Lists!O$24-$AA28),$Z28)))&gt;Lists!O$23)*(EDATE($G28,((Lists!O$24-$AA28)-MOD((Lists!O$24-$AA28),$Z28)))&lt;=Lists!O$21)*(EDATE($G28,((Lists!O$24-$AA28)-MOD((Lists!O$24-$AA28),$Z28)))&lt;=$AB28)+((((Lists!O$24-$AA28)-MOD((Lists!O$24-$AA28),$Z28))-$Z28)&gt;=0)*(EDATE($G28,(((Lists!O$24-$AA28)-MOD((Lists!O$24-$AA28),$Z28))-$Z28))&gt;Lists!O$23)*(EDATE($G28,(((Lists!O$24-$AA28)-MOD((Lists!O$24-$AA28),$Z28))-$Z28))&lt;=Lists!O$21)*(EDATE($G28,(((Lists!O$24-$AA28)-MOD((Lists!O$24-$AA28),$Z28))-$Z28))&lt;=$AB28)))))</f>
        <v>0</v>
      </c>
      <c r="W28" s="46" t="n">
        <f aca="false">SUM(J28:V28)</f>
        <v>0</v>
      </c>
      <c r="X28" s="2"/>
      <c r="Y28" s="104" t="n">
        <f aca="false">1</f>
        <v>1</v>
      </c>
      <c r="Z28" s="94" t="n">
        <f aca="false">IF(F28="Quarterly",3,IF(F28="Annually",12,1))</f>
        <v>1</v>
      </c>
      <c r="AA28" s="94" t="n">
        <f aca="false">IF(G28="",0,YEAR(G28)*12+MONTH(G28))</f>
        <v>0</v>
      </c>
      <c r="AB28" s="93" t="n">
        <f aca="false">IF(H28="",2958465,H28)</f>
        <v>2958465</v>
      </c>
      <c r="AC28" s="95" t="str">
        <f aca="false">IF(C28="","Other tax",C28)</f>
        <v>Other tax</v>
      </c>
    </row>
    <row r="29" customFormat="false" ht="15" hidden="false" customHeight="false" outlineLevel="0" collapsed="false">
      <c r="A29" s="2"/>
      <c r="B29" s="15" t="s">
        <v>536</v>
      </c>
      <c r="C29" s="2"/>
      <c r="D29" s="2"/>
      <c r="E29" s="2"/>
      <c r="F29" s="2"/>
      <c r="G29" s="2"/>
      <c r="H29" s="2"/>
      <c r="I29" s="2"/>
      <c r="J29" s="48" t="n">
        <f aca="false">SUM(J9:J28)</f>
        <v>0</v>
      </c>
      <c r="K29" s="48" t="n">
        <f aca="false">SUM(K9:K28)</f>
        <v>0</v>
      </c>
      <c r="L29" s="48" t="n">
        <f aca="false">SUM(L9:L28)</f>
        <v>69000</v>
      </c>
      <c r="M29" s="48" t="n">
        <f aca="false">SUM(M9:M28)</f>
        <v>0</v>
      </c>
      <c r="N29" s="48" t="n">
        <f aca="false">SUM(N9:N28)</f>
        <v>0</v>
      </c>
      <c r="O29" s="48" t="n">
        <f aca="false">SUM(O9:O28)</f>
        <v>47000</v>
      </c>
      <c r="P29" s="48" t="n">
        <f aca="false">SUM(P9:P28)</f>
        <v>22000</v>
      </c>
      <c r="Q29" s="48" t="n">
        <f aca="false">SUM(Q9:Q28)</f>
        <v>0</v>
      </c>
      <c r="R29" s="48" t="n">
        <f aca="false">SUM(R9:R28)</f>
        <v>162000</v>
      </c>
      <c r="S29" s="48" t="n">
        <f aca="false">SUM(S9:S28)</f>
        <v>0</v>
      </c>
      <c r="T29" s="48" t="n">
        <f aca="false">SUM(T9:T28)</f>
        <v>22000</v>
      </c>
      <c r="U29" s="48" t="n">
        <f aca="false">SUM(U9:U28)</f>
        <v>47000</v>
      </c>
      <c r="V29" s="48" t="n">
        <f aca="false">SUM(V9:V28)</f>
        <v>0</v>
      </c>
      <c r="W29" s="48" t="n">
        <f aca="false">SUM(W9:W28)</f>
        <v>369000</v>
      </c>
      <c r="X29" s="2"/>
      <c r="Y29" s="2"/>
      <c r="Z29" s="2"/>
      <c r="AA29" s="2"/>
      <c r="AB29" s="2"/>
      <c r="AC29" s="2"/>
    </row>
    <row r="30" customFormat="false" ht="15" hidden="false" customHeight="false" outlineLevel="0" collapsed="false">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customFormat="false" ht="15" hidden="false" customHeight="false" outlineLevel="0" collapsed="false">
      <c r="A31" s="5" t="s">
        <v>537</v>
      </c>
      <c r="B31" s="6"/>
      <c r="C31" s="6"/>
      <c r="D31" s="6"/>
      <c r="E31" s="6"/>
      <c r="F31" s="6"/>
      <c r="G31" s="6"/>
      <c r="H31" s="6"/>
      <c r="I31" s="6"/>
      <c r="J31" s="6"/>
      <c r="K31" s="6"/>
      <c r="L31" s="6"/>
      <c r="M31" s="6"/>
      <c r="N31" s="6"/>
      <c r="O31" s="6"/>
      <c r="P31" s="6"/>
      <c r="Q31" s="6"/>
      <c r="R31" s="6"/>
      <c r="S31" s="6"/>
      <c r="T31" s="6"/>
      <c r="U31" s="6"/>
      <c r="V31" s="6"/>
      <c r="W31" s="6"/>
      <c r="X31" s="6"/>
      <c r="Y31" s="2"/>
      <c r="Z31" s="2"/>
      <c r="AA31" s="2"/>
      <c r="AB31" s="2"/>
      <c r="AC31" s="2"/>
    </row>
    <row r="32" customFormat="false" ht="15" hidden="false" customHeight="false" outlineLevel="0" collapsed="false">
      <c r="A32" s="2"/>
      <c r="B32" s="9" t="str">
        <f aca="false">Lists!$E$2</f>
        <v>Wages (net pay)</v>
      </c>
      <c r="C32" s="2"/>
      <c r="D32" s="2"/>
      <c r="E32" s="2"/>
      <c r="F32" s="2"/>
      <c r="G32" s="2"/>
      <c r="H32" s="2"/>
      <c r="I32" s="2"/>
      <c r="J32" s="53" t="n">
        <f aca="false">SUMIF($AC$9:$AC$28,$B32,J$9:J$28)</f>
        <v>0</v>
      </c>
      <c r="K32" s="53" t="n">
        <f aca="false">SUMIF($AC$9:$AC$28,$B32,K$9:K$28)</f>
        <v>0</v>
      </c>
      <c r="L32" s="53" t="n">
        <f aca="false">SUMIF($AC$9:$AC$28,$B32,L$9:L$28)</f>
        <v>47000</v>
      </c>
      <c r="M32" s="53" t="n">
        <f aca="false">SUMIF($AC$9:$AC$28,$B32,M$9:M$28)</f>
        <v>0</v>
      </c>
      <c r="N32" s="53" t="n">
        <f aca="false">SUMIF($AC$9:$AC$28,$B32,N$9:N$28)</f>
        <v>0</v>
      </c>
      <c r="O32" s="53" t="n">
        <f aca="false">SUMIF($AC$9:$AC$28,$B32,O$9:O$28)</f>
        <v>47000</v>
      </c>
      <c r="P32" s="53" t="n">
        <f aca="false">SUMIF($AC$9:$AC$28,$B32,P$9:P$28)</f>
        <v>0</v>
      </c>
      <c r="Q32" s="53" t="n">
        <f aca="false">SUMIF($AC$9:$AC$28,$B32,Q$9:Q$28)</f>
        <v>0</v>
      </c>
      <c r="R32" s="53" t="n">
        <f aca="false">SUMIF($AC$9:$AC$28,$B32,R$9:R$28)</f>
        <v>0</v>
      </c>
      <c r="S32" s="53" t="n">
        <f aca="false">SUMIF($AC$9:$AC$28,$B32,S$9:S$28)</f>
        <v>0</v>
      </c>
      <c r="T32" s="53" t="n">
        <f aca="false">SUMIF($AC$9:$AC$28,$B32,T$9:T$28)</f>
        <v>0</v>
      </c>
      <c r="U32" s="53" t="n">
        <f aca="false">SUMIF($AC$9:$AC$28,$B32,U$9:U$28)</f>
        <v>47000</v>
      </c>
      <c r="V32" s="53" t="n">
        <f aca="false">SUMIF($AC$9:$AC$28,$B32,V$9:V$28)</f>
        <v>0</v>
      </c>
      <c r="W32" s="53" t="n">
        <f aca="false">SUMIF($AC$9:$AC$28,$B32,W$9:W$28)</f>
        <v>141000</v>
      </c>
      <c r="X32" s="2"/>
      <c r="Y32" s="2"/>
      <c r="Z32" s="2"/>
      <c r="AA32" s="2"/>
      <c r="AB32" s="2"/>
      <c r="AC32" s="2"/>
    </row>
    <row r="33" customFormat="false" ht="15" hidden="false" customHeight="false" outlineLevel="0" collapsed="false">
      <c r="A33" s="2"/>
      <c r="B33" s="9" t="str">
        <f aca="false">Lists!$E$3</f>
        <v>PAYE &amp; NI</v>
      </c>
      <c r="C33" s="2"/>
      <c r="D33" s="2"/>
      <c r="E33" s="2"/>
      <c r="F33" s="2"/>
      <c r="G33" s="2"/>
      <c r="H33" s="2"/>
      <c r="I33" s="2"/>
      <c r="J33" s="53" t="n">
        <f aca="false">SUMIF($AC$9:$AC$28,$B33,J$9:J$28)</f>
        <v>0</v>
      </c>
      <c r="K33" s="53" t="n">
        <f aca="false">SUMIF($AC$9:$AC$28,$B33,K$9:K$28)</f>
        <v>0</v>
      </c>
      <c r="L33" s="53" t="n">
        <f aca="false">SUMIF($AC$9:$AC$28,$B33,L$9:L$28)</f>
        <v>19000</v>
      </c>
      <c r="M33" s="53" t="n">
        <f aca="false">SUMIF($AC$9:$AC$28,$B33,M$9:M$28)</f>
        <v>0</v>
      </c>
      <c r="N33" s="53" t="n">
        <f aca="false">SUMIF($AC$9:$AC$28,$B33,N$9:N$28)</f>
        <v>0</v>
      </c>
      <c r="O33" s="53" t="n">
        <f aca="false">SUMIF($AC$9:$AC$28,$B33,O$9:O$28)</f>
        <v>0</v>
      </c>
      <c r="P33" s="53" t="n">
        <f aca="false">SUMIF($AC$9:$AC$28,$B33,P$9:P$28)</f>
        <v>19000</v>
      </c>
      <c r="Q33" s="53" t="n">
        <f aca="false">SUMIF($AC$9:$AC$28,$B33,Q$9:Q$28)</f>
        <v>0</v>
      </c>
      <c r="R33" s="53" t="n">
        <f aca="false">SUMIF($AC$9:$AC$28,$B33,R$9:R$28)</f>
        <v>0</v>
      </c>
      <c r="S33" s="53" t="n">
        <f aca="false">SUMIF($AC$9:$AC$28,$B33,S$9:S$28)</f>
        <v>0</v>
      </c>
      <c r="T33" s="53" t="n">
        <f aca="false">SUMIF($AC$9:$AC$28,$B33,T$9:T$28)</f>
        <v>19000</v>
      </c>
      <c r="U33" s="53" t="n">
        <f aca="false">SUMIF($AC$9:$AC$28,$B33,U$9:U$28)</f>
        <v>0</v>
      </c>
      <c r="V33" s="53" t="n">
        <f aca="false">SUMIF($AC$9:$AC$28,$B33,V$9:V$28)</f>
        <v>0</v>
      </c>
      <c r="W33" s="53" t="n">
        <f aca="false">SUMIF($AC$9:$AC$28,$B33,W$9:W$28)</f>
        <v>57000</v>
      </c>
      <c r="X33" s="2"/>
      <c r="Y33" s="2"/>
      <c r="Z33" s="2"/>
      <c r="AA33" s="2"/>
      <c r="AB33" s="2"/>
      <c r="AC33" s="2"/>
    </row>
    <row r="34" customFormat="false" ht="15" hidden="false" customHeight="false" outlineLevel="0" collapsed="false">
      <c r="A34" s="2"/>
      <c r="B34" s="9" t="str">
        <f aca="false">Lists!$E$4</f>
        <v>Pension</v>
      </c>
      <c r="C34" s="2"/>
      <c r="D34" s="2"/>
      <c r="E34" s="2"/>
      <c r="F34" s="2"/>
      <c r="G34" s="2"/>
      <c r="H34" s="2"/>
      <c r="I34" s="2"/>
      <c r="J34" s="53" t="n">
        <f aca="false">SUMIF($AC$9:$AC$28,$B34,J$9:J$28)</f>
        <v>0</v>
      </c>
      <c r="K34" s="53" t="n">
        <f aca="false">SUMIF($AC$9:$AC$28,$B34,K$9:K$28)</f>
        <v>0</v>
      </c>
      <c r="L34" s="53" t="n">
        <f aca="false">SUMIF($AC$9:$AC$28,$B34,L$9:L$28)</f>
        <v>3000</v>
      </c>
      <c r="M34" s="53" t="n">
        <f aca="false">SUMIF($AC$9:$AC$28,$B34,M$9:M$28)</f>
        <v>0</v>
      </c>
      <c r="N34" s="53" t="n">
        <f aca="false">SUMIF($AC$9:$AC$28,$B34,N$9:N$28)</f>
        <v>0</v>
      </c>
      <c r="O34" s="53" t="n">
        <f aca="false">SUMIF($AC$9:$AC$28,$B34,O$9:O$28)</f>
        <v>0</v>
      </c>
      <c r="P34" s="53" t="n">
        <f aca="false">SUMIF($AC$9:$AC$28,$B34,P$9:P$28)</f>
        <v>3000</v>
      </c>
      <c r="Q34" s="53" t="n">
        <f aca="false">SUMIF($AC$9:$AC$28,$B34,Q$9:Q$28)</f>
        <v>0</v>
      </c>
      <c r="R34" s="53" t="n">
        <f aca="false">SUMIF($AC$9:$AC$28,$B34,R$9:R$28)</f>
        <v>0</v>
      </c>
      <c r="S34" s="53" t="n">
        <f aca="false">SUMIF($AC$9:$AC$28,$B34,S$9:S$28)</f>
        <v>0</v>
      </c>
      <c r="T34" s="53" t="n">
        <f aca="false">SUMIF($AC$9:$AC$28,$B34,T$9:T$28)</f>
        <v>3000</v>
      </c>
      <c r="U34" s="53" t="n">
        <f aca="false">SUMIF($AC$9:$AC$28,$B34,U$9:U$28)</f>
        <v>0</v>
      </c>
      <c r="V34" s="53" t="n">
        <f aca="false">SUMIF($AC$9:$AC$28,$B34,V$9:V$28)</f>
        <v>0</v>
      </c>
      <c r="W34" s="53" t="n">
        <f aca="false">SUMIF($AC$9:$AC$28,$B34,W$9:W$28)</f>
        <v>9000</v>
      </c>
      <c r="X34" s="2"/>
      <c r="Y34" s="2"/>
      <c r="Z34" s="2"/>
      <c r="AA34" s="2"/>
      <c r="AB34" s="2"/>
      <c r="AC34" s="2"/>
    </row>
    <row r="35" customFormat="false" ht="15" hidden="false" customHeight="false" outlineLevel="0" collapsed="false">
      <c r="A35" s="2"/>
      <c r="B35" s="9" t="str">
        <f aca="false">Lists!$E$5</f>
        <v>VAT</v>
      </c>
      <c r="C35" s="2"/>
      <c r="D35" s="2"/>
      <c r="E35" s="2"/>
      <c r="F35" s="2"/>
      <c r="G35" s="2"/>
      <c r="H35" s="2"/>
      <c r="I35" s="2"/>
      <c r="J35" s="53" t="n">
        <f aca="false">SUMIF($AC$9:$AC$28,$B35,J$9:J$28)</f>
        <v>0</v>
      </c>
      <c r="K35" s="53" t="n">
        <f aca="false">SUMIF($AC$9:$AC$28,$B35,K$9:K$28)</f>
        <v>0</v>
      </c>
      <c r="L35" s="53" t="n">
        <f aca="false">SUMIF($AC$9:$AC$28,$B35,L$9:L$28)</f>
        <v>0</v>
      </c>
      <c r="M35" s="53" t="n">
        <f aca="false">SUMIF($AC$9:$AC$28,$B35,M$9:M$28)</f>
        <v>0</v>
      </c>
      <c r="N35" s="53" t="n">
        <f aca="false">SUMIF($AC$9:$AC$28,$B35,N$9:N$28)</f>
        <v>0</v>
      </c>
      <c r="O35" s="53" t="n">
        <f aca="false">SUMIF($AC$9:$AC$28,$B35,O$9:O$28)</f>
        <v>0</v>
      </c>
      <c r="P35" s="53" t="n">
        <f aca="false">SUMIF($AC$9:$AC$28,$B35,P$9:P$28)</f>
        <v>0</v>
      </c>
      <c r="Q35" s="53" t="n">
        <f aca="false">SUMIF($AC$9:$AC$28,$B35,Q$9:Q$28)</f>
        <v>0</v>
      </c>
      <c r="R35" s="53" t="n">
        <f aca="false">SUMIF($AC$9:$AC$28,$B35,R$9:R$28)</f>
        <v>72000</v>
      </c>
      <c r="S35" s="53" t="n">
        <f aca="false">SUMIF($AC$9:$AC$28,$B35,S$9:S$28)</f>
        <v>0</v>
      </c>
      <c r="T35" s="53" t="n">
        <f aca="false">SUMIF($AC$9:$AC$28,$B35,T$9:T$28)</f>
        <v>0</v>
      </c>
      <c r="U35" s="53" t="n">
        <f aca="false">SUMIF($AC$9:$AC$28,$B35,U$9:U$28)</f>
        <v>0</v>
      </c>
      <c r="V35" s="53" t="n">
        <f aca="false">SUMIF($AC$9:$AC$28,$B35,V$9:V$28)</f>
        <v>0</v>
      </c>
      <c r="W35" s="53" t="n">
        <f aca="false">SUMIF($AC$9:$AC$28,$B35,W$9:W$28)</f>
        <v>72000</v>
      </c>
      <c r="X35" s="2"/>
      <c r="Y35" s="2"/>
      <c r="Z35" s="2"/>
      <c r="AA35" s="2"/>
      <c r="AB35" s="2"/>
      <c r="AC35" s="2"/>
    </row>
    <row r="36" customFormat="false" ht="15" hidden="false" customHeight="false" outlineLevel="0" collapsed="false">
      <c r="A36" s="2"/>
      <c r="B36" s="9" t="str">
        <f aca="false">Lists!$E$6</f>
        <v>Corporation tax</v>
      </c>
      <c r="C36" s="2"/>
      <c r="D36" s="2"/>
      <c r="E36" s="2"/>
      <c r="F36" s="2"/>
      <c r="G36" s="2"/>
      <c r="H36" s="2"/>
      <c r="I36" s="2"/>
      <c r="J36" s="53" t="n">
        <f aca="false">SUMIF($AC$9:$AC$28,$B36,J$9:J$28)</f>
        <v>0</v>
      </c>
      <c r="K36" s="53" t="n">
        <f aca="false">SUMIF($AC$9:$AC$28,$B36,K$9:K$28)</f>
        <v>0</v>
      </c>
      <c r="L36" s="53" t="n">
        <f aca="false">SUMIF($AC$9:$AC$28,$B36,L$9:L$28)</f>
        <v>0</v>
      </c>
      <c r="M36" s="53" t="n">
        <f aca="false">SUMIF($AC$9:$AC$28,$B36,M$9:M$28)</f>
        <v>0</v>
      </c>
      <c r="N36" s="53" t="n">
        <f aca="false">SUMIF($AC$9:$AC$28,$B36,N$9:N$28)</f>
        <v>0</v>
      </c>
      <c r="O36" s="53" t="n">
        <f aca="false">SUMIF($AC$9:$AC$28,$B36,O$9:O$28)</f>
        <v>0</v>
      </c>
      <c r="P36" s="53" t="n">
        <f aca="false">SUMIF($AC$9:$AC$28,$B36,P$9:P$28)</f>
        <v>0</v>
      </c>
      <c r="Q36" s="53" t="n">
        <f aca="false">SUMIF($AC$9:$AC$28,$B36,Q$9:Q$28)</f>
        <v>0</v>
      </c>
      <c r="R36" s="53" t="n">
        <f aca="false">SUMIF($AC$9:$AC$28,$B36,R$9:R$28)</f>
        <v>90000</v>
      </c>
      <c r="S36" s="53" t="n">
        <f aca="false">SUMIF($AC$9:$AC$28,$B36,S$9:S$28)</f>
        <v>0</v>
      </c>
      <c r="T36" s="53" t="n">
        <f aca="false">SUMIF($AC$9:$AC$28,$B36,T$9:T$28)</f>
        <v>0</v>
      </c>
      <c r="U36" s="53" t="n">
        <f aca="false">SUMIF($AC$9:$AC$28,$B36,U$9:U$28)</f>
        <v>0</v>
      </c>
      <c r="V36" s="53" t="n">
        <f aca="false">SUMIF($AC$9:$AC$28,$B36,V$9:V$28)</f>
        <v>0</v>
      </c>
      <c r="W36" s="53" t="n">
        <f aca="false">SUMIF($AC$9:$AC$28,$B36,W$9:W$28)</f>
        <v>90000</v>
      </c>
      <c r="X36" s="2"/>
      <c r="Y36" s="2"/>
      <c r="Z36" s="2"/>
      <c r="AA36" s="2"/>
      <c r="AB36" s="2"/>
      <c r="AC36" s="2"/>
    </row>
    <row r="37" customFormat="false" ht="15" hidden="false" customHeight="false" outlineLevel="0" collapsed="false">
      <c r="A37" s="2"/>
      <c r="B37" s="9" t="str">
        <f aca="false">Lists!$E$7</f>
        <v>HMRC time to pay</v>
      </c>
      <c r="C37" s="2"/>
      <c r="D37" s="2"/>
      <c r="E37" s="2"/>
      <c r="F37" s="2"/>
      <c r="G37" s="2"/>
      <c r="H37" s="2"/>
      <c r="I37" s="2"/>
      <c r="J37" s="53" t="n">
        <f aca="false">SUMIF($AC$9:$AC$28,$B37,J$9:J$28)</f>
        <v>0</v>
      </c>
      <c r="K37" s="53" t="n">
        <f aca="false">SUMIF($AC$9:$AC$28,$B37,K$9:K$28)</f>
        <v>0</v>
      </c>
      <c r="L37" s="53" t="n">
        <f aca="false">SUMIF($AC$9:$AC$28,$B37,L$9:L$28)</f>
        <v>0</v>
      </c>
      <c r="M37" s="53" t="n">
        <f aca="false">SUMIF($AC$9:$AC$28,$B37,M$9:M$28)</f>
        <v>0</v>
      </c>
      <c r="N37" s="53" t="n">
        <f aca="false">SUMIF($AC$9:$AC$28,$B37,N$9:N$28)</f>
        <v>0</v>
      </c>
      <c r="O37" s="53" t="n">
        <f aca="false">SUMIF($AC$9:$AC$28,$B37,O$9:O$28)</f>
        <v>0</v>
      </c>
      <c r="P37" s="53" t="n">
        <f aca="false">SUMIF($AC$9:$AC$28,$B37,P$9:P$28)</f>
        <v>0</v>
      </c>
      <c r="Q37" s="53" t="n">
        <f aca="false">SUMIF($AC$9:$AC$28,$B37,Q$9:Q$28)</f>
        <v>0</v>
      </c>
      <c r="R37" s="53" t="n">
        <f aca="false">SUMIF($AC$9:$AC$28,$B37,R$9:R$28)</f>
        <v>0</v>
      </c>
      <c r="S37" s="53" t="n">
        <f aca="false">SUMIF($AC$9:$AC$28,$B37,S$9:S$28)</f>
        <v>0</v>
      </c>
      <c r="T37" s="53" t="n">
        <f aca="false">SUMIF($AC$9:$AC$28,$B37,T$9:T$28)</f>
        <v>0</v>
      </c>
      <c r="U37" s="53" t="n">
        <f aca="false">SUMIF($AC$9:$AC$28,$B37,U$9:U$28)</f>
        <v>0</v>
      </c>
      <c r="V37" s="53" t="n">
        <f aca="false">SUMIF($AC$9:$AC$28,$B37,V$9:V$28)</f>
        <v>0</v>
      </c>
      <c r="W37" s="53" t="n">
        <f aca="false">SUMIF($AC$9:$AC$28,$B37,W$9:W$28)</f>
        <v>0</v>
      </c>
      <c r="X37" s="2"/>
      <c r="Y37" s="2"/>
      <c r="Z37" s="2"/>
      <c r="AA37" s="2"/>
      <c r="AB37" s="2"/>
      <c r="AC37" s="2"/>
    </row>
    <row r="38" customFormat="false" ht="15" hidden="false" customHeight="false" outlineLevel="0" collapsed="false">
      <c r="A38" s="2"/>
      <c r="B38" s="9" t="str">
        <f aca="false">Lists!$E$8</f>
        <v>Other tax</v>
      </c>
      <c r="C38" s="2"/>
      <c r="D38" s="2"/>
      <c r="E38" s="2"/>
      <c r="F38" s="2"/>
      <c r="G38" s="2"/>
      <c r="H38" s="2"/>
      <c r="I38" s="2"/>
      <c r="J38" s="53" t="n">
        <f aca="false">SUMIF($AC$9:$AC$28,$B38,J$9:J$28)</f>
        <v>0</v>
      </c>
      <c r="K38" s="53" t="n">
        <f aca="false">SUMIF($AC$9:$AC$28,$B38,K$9:K$28)</f>
        <v>0</v>
      </c>
      <c r="L38" s="53" t="n">
        <f aca="false">SUMIF($AC$9:$AC$28,$B38,L$9:L$28)</f>
        <v>0</v>
      </c>
      <c r="M38" s="53" t="n">
        <f aca="false">SUMIF($AC$9:$AC$28,$B38,M$9:M$28)</f>
        <v>0</v>
      </c>
      <c r="N38" s="53" t="n">
        <f aca="false">SUMIF($AC$9:$AC$28,$B38,N$9:N$28)</f>
        <v>0</v>
      </c>
      <c r="O38" s="53" t="n">
        <f aca="false">SUMIF($AC$9:$AC$28,$B38,O$9:O$28)</f>
        <v>0</v>
      </c>
      <c r="P38" s="53" t="n">
        <f aca="false">SUMIF($AC$9:$AC$28,$B38,P$9:P$28)</f>
        <v>0</v>
      </c>
      <c r="Q38" s="53" t="n">
        <f aca="false">SUMIF($AC$9:$AC$28,$B38,Q$9:Q$28)</f>
        <v>0</v>
      </c>
      <c r="R38" s="53" t="n">
        <f aca="false">SUMIF($AC$9:$AC$28,$B38,R$9:R$28)</f>
        <v>0</v>
      </c>
      <c r="S38" s="53" t="n">
        <f aca="false">SUMIF($AC$9:$AC$28,$B38,S$9:S$28)</f>
        <v>0</v>
      </c>
      <c r="T38" s="53" t="n">
        <f aca="false">SUMIF($AC$9:$AC$28,$B38,T$9:T$28)</f>
        <v>0</v>
      </c>
      <c r="U38" s="53" t="n">
        <f aca="false">SUMIF($AC$9:$AC$28,$B38,U$9:U$28)</f>
        <v>0</v>
      </c>
      <c r="V38" s="53" t="n">
        <f aca="false">SUMIF($AC$9:$AC$28,$B38,V$9:V$28)</f>
        <v>0</v>
      </c>
      <c r="W38" s="53" t="n">
        <f aca="false">SUMIF($AC$9:$AC$28,$B38,W$9:W$28)</f>
        <v>0</v>
      </c>
      <c r="X38" s="2"/>
      <c r="Y38" s="2"/>
      <c r="Z38" s="2"/>
      <c r="AA38" s="2"/>
      <c r="AB38" s="2"/>
      <c r="AC38" s="2"/>
    </row>
    <row r="39" customFormat="false" ht="15" hidden="false" customHeight="false" outlineLevel="0" collapsed="false">
      <c r="A39" s="2"/>
      <c r="B39" s="15" t="s">
        <v>254</v>
      </c>
      <c r="C39" s="2"/>
      <c r="D39" s="2"/>
      <c r="E39" s="2"/>
      <c r="F39" s="2"/>
      <c r="G39" s="2"/>
      <c r="H39" s="2"/>
      <c r="I39" s="2"/>
      <c r="J39" s="48" t="n">
        <f aca="false">SUM(J32:J38)</f>
        <v>0</v>
      </c>
      <c r="K39" s="48" t="n">
        <f aca="false">SUM(K32:K38)</f>
        <v>0</v>
      </c>
      <c r="L39" s="48" t="n">
        <f aca="false">SUM(L32:L38)</f>
        <v>69000</v>
      </c>
      <c r="M39" s="48" t="n">
        <f aca="false">SUM(M32:M38)</f>
        <v>0</v>
      </c>
      <c r="N39" s="48" t="n">
        <f aca="false">SUM(N32:N38)</f>
        <v>0</v>
      </c>
      <c r="O39" s="48" t="n">
        <f aca="false">SUM(O32:O38)</f>
        <v>47000</v>
      </c>
      <c r="P39" s="48" t="n">
        <f aca="false">SUM(P32:P38)</f>
        <v>22000</v>
      </c>
      <c r="Q39" s="48" t="n">
        <f aca="false">SUM(Q32:Q38)</f>
        <v>0</v>
      </c>
      <c r="R39" s="48" t="n">
        <f aca="false">SUM(R32:R38)</f>
        <v>162000</v>
      </c>
      <c r="S39" s="48" t="n">
        <f aca="false">SUM(S32:S38)</f>
        <v>0</v>
      </c>
      <c r="T39" s="48" t="n">
        <f aca="false">SUM(T32:T38)</f>
        <v>22000</v>
      </c>
      <c r="U39" s="48" t="n">
        <f aca="false">SUM(U32:U38)</f>
        <v>47000</v>
      </c>
      <c r="V39" s="48" t="n">
        <f aca="false">SUM(V32:V38)</f>
        <v>0</v>
      </c>
      <c r="W39" s="48" t="n">
        <f aca="false">SUM(W32:W38)</f>
        <v>369000</v>
      </c>
      <c r="X39" s="2"/>
      <c r="Y39" s="2"/>
      <c r="Z39" s="2"/>
      <c r="AA39" s="2"/>
      <c r="AB39" s="2"/>
      <c r="AC39" s="2"/>
    </row>
    <row r="40" customFormat="false" ht="15" hidden="false" customHeight="false" outlineLevel="0" collapsed="false">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customFormat="false" ht="15" hidden="false" customHeight="false" outlineLevel="0" collapsed="false">
      <c r="A41" s="5" t="s">
        <v>538</v>
      </c>
      <c r="B41" s="6"/>
      <c r="C41" s="6"/>
      <c r="D41" s="6"/>
      <c r="E41" s="6"/>
      <c r="F41" s="6"/>
      <c r="G41" s="6"/>
      <c r="H41" s="6"/>
      <c r="I41" s="6"/>
      <c r="J41" s="6"/>
      <c r="K41" s="6"/>
      <c r="L41" s="6"/>
      <c r="M41" s="6"/>
      <c r="N41" s="6"/>
      <c r="O41" s="6"/>
      <c r="P41" s="6"/>
      <c r="Q41" s="6"/>
      <c r="R41" s="6"/>
      <c r="S41" s="6"/>
      <c r="T41" s="6"/>
      <c r="U41" s="6"/>
      <c r="V41" s="6"/>
      <c r="W41" s="6"/>
      <c r="X41" s="6"/>
      <c r="Y41" s="2"/>
      <c r="Z41" s="2"/>
      <c r="AA41" s="2"/>
      <c r="AB41" s="2"/>
      <c r="AC41" s="2"/>
    </row>
    <row r="42" customFormat="false" ht="15" hidden="false" customHeight="false" outlineLevel="0" collapsed="false">
      <c r="A42" s="2"/>
      <c r="B42" s="9" t="s">
        <v>539</v>
      </c>
      <c r="C42" s="2"/>
      <c r="D42" s="2"/>
      <c r="E42" s="2"/>
      <c r="F42" s="2"/>
      <c r="G42" s="2"/>
      <c r="H42" s="2"/>
      <c r="I42" s="2"/>
      <c r="J42" s="47" t="n">
        <f aca="false">SUMPRODUCT(Sales!J$23:J$32,Sales!$C$23:$C$32-1)</f>
        <v>15400</v>
      </c>
      <c r="K42" s="47" t="n">
        <f aca="false">SUMPRODUCT(Sales!K$23:K$32,Sales!$C$23:$C$32-1)</f>
        <v>15400</v>
      </c>
      <c r="L42" s="47" t="n">
        <f aca="false">SUMPRODUCT(Sales!L$23:L$32,Sales!$C$23:$C$32-1)</f>
        <v>15400</v>
      </c>
      <c r="M42" s="47" t="n">
        <f aca="false">SUMPRODUCT(Sales!M$23:M$32,Sales!$C$23:$C$32-1)</f>
        <v>15400</v>
      </c>
      <c r="N42" s="47" t="n">
        <f aca="false">SUMPRODUCT(Sales!N$23:N$32,Sales!$C$23:$C$32-1)</f>
        <v>15400</v>
      </c>
      <c r="O42" s="47" t="n">
        <f aca="false">SUMPRODUCT(Sales!O$23:O$32,Sales!$C$23:$C$32-1)</f>
        <v>15400</v>
      </c>
      <c r="P42" s="47" t="n">
        <f aca="false">SUMPRODUCT(Sales!P$23:P$32,Sales!$C$23:$C$32-1)</f>
        <v>6000</v>
      </c>
      <c r="Q42" s="47" t="n">
        <f aca="false">SUMPRODUCT(Sales!Q$23:Q$32,Sales!$C$23:$C$32-1)</f>
        <v>3200</v>
      </c>
      <c r="R42" s="47" t="n">
        <f aca="false">SUMPRODUCT(Sales!R$23:R$32,Sales!$C$23:$C$32-1)</f>
        <v>15400</v>
      </c>
      <c r="S42" s="47" t="n">
        <f aca="false">SUMPRODUCT(Sales!S$23:S$32,Sales!$C$23:$C$32-1)</f>
        <v>15400</v>
      </c>
      <c r="T42" s="47" t="n">
        <f aca="false">SUMPRODUCT(Sales!T$23:T$32,Sales!$C$23:$C$32-1)</f>
        <v>15400</v>
      </c>
      <c r="U42" s="47" t="n">
        <f aca="false">SUMPRODUCT(Sales!U$23:U$32,Sales!$C$23:$C$32-1)</f>
        <v>15400</v>
      </c>
      <c r="V42" s="47" t="n">
        <f aca="false">SUMPRODUCT(Sales!V$23:V$32,Sales!$C$23:$C$32-1)</f>
        <v>15400</v>
      </c>
      <c r="W42" s="47" t="n">
        <f aca="false">SUMPRODUCT(Sales!W$23:W$32,Sales!$C$23:$C$32-1)</f>
        <v>178600</v>
      </c>
      <c r="X42" s="2"/>
      <c r="Y42" s="2"/>
      <c r="Z42" s="2"/>
      <c r="AA42" s="2"/>
      <c r="AB42" s="2"/>
      <c r="AC42" s="2"/>
    </row>
    <row r="43" customFormat="false" ht="15" hidden="false" customHeight="false" outlineLevel="0" collapsed="false">
      <c r="A43" s="2"/>
      <c r="B43" s="9" t="s">
        <v>540</v>
      </c>
      <c r="C43" s="2"/>
      <c r="D43" s="2"/>
      <c r="E43" s="2"/>
      <c r="F43" s="2"/>
      <c r="G43" s="2"/>
      <c r="H43" s="2"/>
      <c r="I43" s="2"/>
      <c r="J43" s="47" t="n">
        <f aca="false">-SUMPRODUCT('Direct Costs'!J$23:J$32,'Direct Costs'!$C$23:$C$32-1)</f>
        <v>-9240</v>
      </c>
      <c r="K43" s="47" t="n">
        <f aca="false">-SUMPRODUCT('Direct Costs'!K$23:K$32,'Direct Costs'!$C$23:$C$32-1)</f>
        <v>-9240</v>
      </c>
      <c r="L43" s="47" t="n">
        <f aca="false">-SUMPRODUCT('Direct Costs'!L$23:L$32,'Direct Costs'!$C$23:$C$32-1)</f>
        <v>-9240</v>
      </c>
      <c r="M43" s="47" t="n">
        <f aca="false">-SUMPRODUCT('Direct Costs'!M$23:M$32,'Direct Costs'!$C$23:$C$32-1)</f>
        <v>-9240</v>
      </c>
      <c r="N43" s="47" t="n">
        <f aca="false">-SUMPRODUCT('Direct Costs'!N$23:N$32,'Direct Costs'!$C$23:$C$32-1)</f>
        <v>-9240</v>
      </c>
      <c r="O43" s="47" t="n">
        <f aca="false">-SUMPRODUCT('Direct Costs'!O$23:O$32,'Direct Costs'!$C$23:$C$32-1)</f>
        <v>-9240</v>
      </c>
      <c r="P43" s="47" t="n">
        <f aca="false">-SUMPRODUCT('Direct Costs'!P$23:P$32,'Direct Costs'!$C$23:$C$32-1)</f>
        <v>-3600</v>
      </c>
      <c r="Q43" s="47" t="n">
        <f aca="false">-SUMPRODUCT('Direct Costs'!Q$23:Q$32,'Direct Costs'!$C$23:$C$32-1)</f>
        <v>-1920</v>
      </c>
      <c r="R43" s="47" t="n">
        <f aca="false">-SUMPRODUCT('Direct Costs'!R$23:R$32,'Direct Costs'!$C$23:$C$32-1)</f>
        <v>-9240</v>
      </c>
      <c r="S43" s="47" t="n">
        <f aca="false">-SUMPRODUCT('Direct Costs'!S$23:S$32,'Direct Costs'!$C$23:$C$32-1)</f>
        <v>-9240</v>
      </c>
      <c r="T43" s="47" t="n">
        <f aca="false">-SUMPRODUCT('Direct Costs'!T$23:T$32,'Direct Costs'!$C$23:$C$32-1)</f>
        <v>-9240</v>
      </c>
      <c r="U43" s="47" t="n">
        <f aca="false">-SUMPRODUCT('Direct Costs'!U$23:U$32,'Direct Costs'!$C$23:$C$32-1)</f>
        <v>-9240</v>
      </c>
      <c r="V43" s="47" t="n">
        <f aca="false">-SUMPRODUCT('Direct Costs'!V$23:V$32,'Direct Costs'!$C$23:$C$32-1)</f>
        <v>-9240</v>
      </c>
      <c r="W43" s="47" t="n">
        <f aca="false">-SUMPRODUCT('Direct Costs'!W$23:W$32,'Direct Costs'!$C$23:$C$32-1)</f>
        <v>-107160</v>
      </c>
      <c r="X43" s="2"/>
      <c r="Y43" s="2"/>
      <c r="Z43" s="2"/>
      <c r="AA43" s="2"/>
      <c r="AB43" s="2"/>
      <c r="AC43" s="2"/>
    </row>
    <row r="44" customFormat="false" ht="15" hidden="false" customHeight="false" outlineLevel="0" collapsed="false">
      <c r="A44" s="2"/>
      <c r="B44" s="9" t="s">
        <v>541</v>
      </c>
      <c r="C44" s="2"/>
      <c r="D44" s="2"/>
      <c r="E44" s="2"/>
      <c r="F44" s="2"/>
      <c r="G44" s="2"/>
      <c r="H44" s="2"/>
      <c r="I44" s="2"/>
      <c r="J44" s="47" t="n">
        <f aca="false">-(Overheads!J$62-Overheads!J$75)</f>
        <v>-660</v>
      </c>
      <c r="K44" s="47" t="n">
        <f aca="false">-(Overheads!K$62-Overheads!K$75)</f>
        <v>-1320</v>
      </c>
      <c r="L44" s="47" t="n">
        <f aca="false">-(Overheads!L$62-Overheads!L$75)</f>
        <v>-600</v>
      </c>
      <c r="M44" s="47" t="n">
        <f aca="false">-(Overheads!M$62-Overheads!M$75)</f>
        <v>-700</v>
      </c>
      <c r="N44" s="47" t="n">
        <f aca="false">-(Overheads!N$62-Overheads!N$75)</f>
        <v>-300</v>
      </c>
      <c r="O44" s="47" t="n">
        <f aca="false">-(Overheads!O$62-Overheads!O$75)</f>
        <v>-480</v>
      </c>
      <c r="P44" s="47" t="n">
        <f aca="false">-(Overheads!P$62-Overheads!P$75)</f>
        <v>-7800</v>
      </c>
      <c r="Q44" s="47" t="n">
        <f aca="false">-(Overheads!Q$62-Overheads!Q$75)</f>
        <v>-700</v>
      </c>
      <c r="R44" s="47" t="n">
        <f aca="false">-(Overheads!R$62-Overheads!R$75)</f>
        <v>-0</v>
      </c>
      <c r="S44" s="47" t="n">
        <f aca="false">-(Overheads!S$62-Overheads!S$75)</f>
        <v>-660</v>
      </c>
      <c r="T44" s="47" t="n">
        <f aca="false">-(Overheads!T$62-Overheads!T$75)</f>
        <v>-1320</v>
      </c>
      <c r="U44" s="47" t="n">
        <f aca="false">-(Overheads!U$62-Overheads!U$75)</f>
        <v>-1000</v>
      </c>
      <c r="V44" s="47" t="n">
        <f aca="false">-(Overheads!V$62-Overheads!V$75)</f>
        <v>-300</v>
      </c>
      <c r="W44" s="47" t="n">
        <f aca="false">-(Overheads!W$62-Overheads!W$75)</f>
        <v>-15840</v>
      </c>
      <c r="X44" s="2"/>
      <c r="Y44" s="2"/>
      <c r="Z44" s="2"/>
      <c r="AA44" s="2"/>
      <c r="AB44" s="2"/>
      <c r="AC44" s="2"/>
    </row>
    <row r="45" customFormat="false" ht="15" hidden="false" customHeight="false" outlineLevel="0" collapsed="false">
      <c r="A45" s="2"/>
      <c r="B45" s="15" t="s">
        <v>542</v>
      </c>
      <c r="C45" s="2"/>
      <c r="D45" s="2"/>
      <c r="E45" s="2"/>
      <c r="F45" s="2"/>
      <c r="G45" s="2"/>
      <c r="H45" s="2"/>
      <c r="I45" s="2"/>
      <c r="J45" s="48" t="n">
        <f aca="false">SUM(J42:J44)</f>
        <v>5500</v>
      </c>
      <c r="K45" s="48" t="n">
        <f aca="false">SUM(K42:K44)</f>
        <v>4840</v>
      </c>
      <c r="L45" s="48" t="n">
        <f aca="false">SUM(L42:L44)</f>
        <v>5560</v>
      </c>
      <c r="M45" s="48" t="n">
        <f aca="false">SUM(M42:M44)</f>
        <v>5460</v>
      </c>
      <c r="N45" s="48" t="n">
        <f aca="false">SUM(N42:N44)</f>
        <v>5860</v>
      </c>
      <c r="O45" s="48" t="n">
        <f aca="false">SUM(O42:O44)</f>
        <v>5680</v>
      </c>
      <c r="P45" s="48" t="n">
        <f aca="false">SUM(P42:P44)</f>
        <v>-5400</v>
      </c>
      <c r="Q45" s="48" t="n">
        <f aca="false">SUM(Q42:Q44)</f>
        <v>580</v>
      </c>
      <c r="R45" s="48" t="n">
        <f aca="false">SUM(R42:R44)</f>
        <v>6160</v>
      </c>
      <c r="S45" s="48" t="n">
        <f aca="false">SUM(S42:S44)</f>
        <v>5500</v>
      </c>
      <c r="T45" s="48" t="n">
        <f aca="false">SUM(T42:T44)</f>
        <v>4840</v>
      </c>
      <c r="U45" s="48" t="n">
        <f aca="false">SUM(U42:U44)</f>
        <v>5160</v>
      </c>
      <c r="V45" s="48" t="n">
        <f aca="false">SUM(V42:V44)</f>
        <v>5860</v>
      </c>
      <c r="W45" s="48" t="n">
        <f aca="false">SUM(W42:W44)</f>
        <v>55600</v>
      </c>
      <c r="X45" s="2"/>
      <c r="Y45" s="2"/>
      <c r="Z45" s="2"/>
      <c r="AA45" s="2"/>
      <c r="AB45" s="2"/>
      <c r="AC45" s="2"/>
    </row>
    <row r="46" customFormat="false" ht="15" hidden="false" customHeight="false" outlineLevel="0" collapsed="false">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customFormat="false" ht="15" hidden="false" customHeight="false" outlineLevel="0" collapsed="false">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customFormat="false" ht="15" hidden="false" customHeight="false" outlineLevel="0" collapsed="false">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customFormat="false" ht="1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customFormat="false" ht="15" hidden="false" customHeight="false" outlineLevel="0" collapsed="false">
      <c r="A50" s="2"/>
      <c r="B50" s="21" t="s">
        <v>543</v>
      </c>
      <c r="C50" s="2"/>
      <c r="D50" s="2"/>
      <c r="E50" s="2"/>
      <c r="F50" s="2"/>
      <c r="G50" s="2"/>
      <c r="H50" s="2"/>
      <c r="I50" s="2"/>
      <c r="J50" s="2"/>
      <c r="K50" s="2"/>
      <c r="L50" s="2"/>
      <c r="M50" s="2"/>
      <c r="N50" s="2"/>
      <c r="O50" s="2"/>
      <c r="P50" s="2"/>
      <c r="Q50" s="2"/>
      <c r="R50" s="2"/>
      <c r="S50" s="2"/>
      <c r="T50" s="2"/>
      <c r="U50" s="2"/>
      <c r="V50" s="2"/>
      <c r="W50" s="2"/>
      <c r="X50" s="2"/>
      <c r="Y50" s="2"/>
      <c r="Z50" s="2"/>
      <c r="AA50" s="2"/>
      <c r="AB50" s="2"/>
      <c r="AC50" s="2"/>
    </row>
  </sheetData>
  <sheetProtection sheet="true" formatCells="false" formatColumns="false" formatRows="false"/>
  <dataValidations count="3">
    <dataValidation allowBlank="true" error="Please enter a date, e.g. 15/11/2026" errorStyle="stop" errorTitle="Date needed" operator="greaterThan" showDropDown="false" showErrorMessage="false" showInputMessage="false" sqref="G9:H28" type="date">
      <formula1>36526</formula1>
      <formula2>0</formula2>
    </dataValidation>
    <dataValidation allowBlank="true" error="Please pick from the list." errorStyle="stop" errorTitle="Choose from the list" operator="between" showDropDown="false" showErrorMessage="false" showInputMessage="false" sqref="F9:F28" type="list">
      <formula1>Lists!$C$2:$C$6</formula1>
      <formula2>0</formula2>
    </dataValidation>
    <dataValidation allowBlank="true" error="Please pick from the list." errorStyle="stop" errorTitle="Choose from the list" operator="between" showDropDown="false" showErrorMessage="false" showInputMessage="false" sqref="C9:C28" type="list">
      <formula1>Lists!$E$2:$E$8</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C28"/>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2"/>
    <col collapsed="false" customWidth="true" hidden="false" outlineLevel="0" max="3" min="3" style="1" width="22"/>
    <col collapsed="false" customWidth="true" hidden="true" outlineLevel="0" max="4" min="4" style="1" width="2"/>
    <col collapsed="false" customWidth="true" hidden="false" outlineLevel="0" max="5" min="5" style="1" width="12"/>
    <col collapsed="false" customWidth="true" hidden="false" outlineLevel="0" max="6" min="6" style="1" width="11"/>
    <col collapsed="false" customWidth="true" hidden="false" outlineLevel="0" max="9" min="7" style="1" width="12"/>
    <col collapsed="false" customWidth="true" hidden="false" outlineLevel="0" max="22" min="10" style="1" width="11"/>
    <col collapsed="false" customWidth="true" hidden="false" outlineLevel="0" max="23" min="23" style="1" width="13"/>
    <col collapsed="false" customWidth="true" hidden="true" outlineLevel="0" max="24" min="24" style="1" width="3"/>
    <col collapsed="false" customWidth="true" hidden="true" outlineLevel="0" max="28" min="25" style="1" width="10"/>
    <col collapsed="false" customWidth="true" hidden="true" outlineLevel="0" max="29" min="29" style="1" width="28"/>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c r="Q1" s="2"/>
      <c r="R1" s="2"/>
      <c r="S1" s="2"/>
      <c r="T1" s="2"/>
      <c r="U1" s="2"/>
      <c r="V1" s="2"/>
      <c r="W1" s="2"/>
      <c r="X1" s="2"/>
      <c r="Y1" s="2"/>
      <c r="Z1" s="2"/>
      <c r="AA1" s="2"/>
      <c r="AB1" s="2"/>
      <c r="AC1" s="2"/>
    </row>
    <row r="2" customFormat="false" ht="15" hidden="false" customHeight="false" outlineLevel="0" collapsed="false">
      <c r="A2" s="4" t="s">
        <v>544</v>
      </c>
      <c r="B2" s="2"/>
      <c r="C2" s="2"/>
      <c r="D2" s="2"/>
      <c r="E2" s="2"/>
      <c r="F2" s="2"/>
      <c r="G2" s="2"/>
      <c r="H2" s="2"/>
      <c r="I2" s="2"/>
      <c r="J2" s="2"/>
      <c r="K2" s="2"/>
      <c r="L2" s="2"/>
      <c r="M2" s="2"/>
      <c r="N2" s="2"/>
      <c r="O2" s="2"/>
      <c r="P2" s="2"/>
      <c r="Q2" s="2"/>
      <c r="R2" s="2"/>
      <c r="S2" s="2"/>
      <c r="T2" s="2"/>
      <c r="U2" s="2"/>
      <c r="V2" s="2"/>
      <c r="W2" s="2"/>
      <c r="X2" s="2"/>
      <c r="Y2" s="2"/>
      <c r="Z2" s="2"/>
      <c r="AA2" s="2"/>
      <c r="AB2" s="2"/>
      <c r="AC2" s="2"/>
    </row>
    <row r="3" customFormat="false" ht="15" hidden="false" customHeight="false" outlineLevel="0" collapsed="false">
      <c r="A3" s="21" t="s">
        <v>545</v>
      </c>
      <c r="B3" s="2"/>
      <c r="C3" s="2"/>
      <c r="D3" s="2"/>
      <c r="E3" s="2"/>
      <c r="F3" s="2"/>
      <c r="G3" s="2"/>
      <c r="H3" s="2"/>
      <c r="I3" s="2"/>
      <c r="J3" s="2"/>
      <c r="K3" s="2"/>
      <c r="L3" s="2"/>
      <c r="M3" s="2"/>
      <c r="N3" s="2"/>
      <c r="O3" s="2"/>
      <c r="P3" s="2"/>
      <c r="Q3" s="2"/>
      <c r="R3" s="2"/>
      <c r="S3" s="2"/>
      <c r="T3" s="2"/>
      <c r="U3" s="2"/>
      <c r="V3" s="2"/>
      <c r="W3" s="2"/>
      <c r="X3" s="2"/>
      <c r="Y3" s="2"/>
      <c r="Z3" s="2"/>
      <c r="AA3" s="2"/>
      <c r="AB3" s="2"/>
      <c r="AC3" s="2"/>
    </row>
    <row r="4" customFormat="false" ht="15" hidden="false" customHeight="false" outlineLevel="0" collapsed="false">
      <c r="A4" s="2"/>
      <c r="B4" s="2"/>
      <c r="C4" s="2"/>
      <c r="D4" s="2"/>
      <c r="E4" s="2"/>
      <c r="F4" s="2"/>
      <c r="G4" s="2"/>
      <c r="H4" s="2"/>
      <c r="I4" s="2"/>
      <c r="J4" s="2"/>
      <c r="K4" s="2"/>
      <c r="L4" s="2"/>
      <c r="M4" s="2"/>
      <c r="N4" s="2"/>
      <c r="O4" s="2"/>
      <c r="P4" s="2"/>
      <c r="Q4" s="2"/>
      <c r="R4" s="2"/>
      <c r="S4" s="2"/>
      <c r="T4" s="2"/>
      <c r="U4" s="2"/>
      <c r="V4" s="2"/>
      <c r="W4" s="2"/>
      <c r="X4" s="2"/>
      <c r="Y4" s="2"/>
      <c r="Z4" s="2"/>
      <c r="AA4" s="2"/>
      <c r="AB4" s="2"/>
      <c r="AC4" s="2"/>
    </row>
    <row r="5" customFormat="false" ht="15" hidden="false" customHeight="false" outlineLevel="0" collapsed="false">
      <c r="A5" s="2"/>
      <c r="B5" s="2"/>
      <c r="C5" s="2"/>
      <c r="D5" s="2"/>
      <c r="E5" s="2"/>
      <c r="F5" s="2"/>
      <c r="G5" s="2"/>
      <c r="H5" s="2"/>
      <c r="I5" s="2"/>
      <c r="J5" s="42" t="str">
        <f aca="false">"Week "&amp;Lists!C$20</f>
        <v>Week 1</v>
      </c>
      <c r="K5" s="42" t="str">
        <f aca="false">"Week "&amp;Lists!D$20</f>
        <v>Week 2</v>
      </c>
      <c r="L5" s="42" t="str">
        <f aca="false">"Week "&amp;Lists!E$20</f>
        <v>Week 3</v>
      </c>
      <c r="M5" s="42" t="str">
        <f aca="false">"Week "&amp;Lists!F$20</f>
        <v>Week 4</v>
      </c>
      <c r="N5" s="42" t="str">
        <f aca="false">"Week "&amp;Lists!G$20</f>
        <v>Week 5</v>
      </c>
      <c r="O5" s="42" t="str">
        <f aca="false">"Week "&amp;Lists!H$20</f>
        <v>Week 6</v>
      </c>
      <c r="P5" s="42" t="str">
        <f aca="false">"Week "&amp;Lists!I$20</f>
        <v>Week 7</v>
      </c>
      <c r="Q5" s="42" t="str">
        <f aca="false">"Week "&amp;Lists!J$20</f>
        <v>Week 8</v>
      </c>
      <c r="R5" s="42" t="str">
        <f aca="false">"Week "&amp;Lists!K$20</f>
        <v>Week 9</v>
      </c>
      <c r="S5" s="42" t="str">
        <f aca="false">"Week "&amp;Lists!L$20</f>
        <v>Week 10</v>
      </c>
      <c r="T5" s="42" t="str">
        <f aca="false">"Week "&amp;Lists!M$20</f>
        <v>Week 11</v>
      </c>
      <c r="U5" s="42" t="str">
        <f aca="false">"Week "&amp;Lists!N$20</f>
        <v>Week 12</v>
      </c>
      <c r="V5" s="42" t="str">
        <f aca="false">"Week "&amp;Lists!O$20</f>
        <v>Week 13</v>
      </c>
      <c r="W5" s="42" t="s">
        <v>253</v>
      </c>
      <c r="X5" s="2"/>
      <c r="Y5" s="2"/>
      <c r="Z5" s="2"/>
      <c r="AA5" s="2"/>
      <c r="AB5" s="2"/>
      <c r="AC5" s="2"/>
    </row>
    <row r="6" customFormat="false" ht="15" hidden="false" customHeight="false" outlineLevel="0" collapsed="false">
      <c r="A6" s="2"/>
      <c r="B6" s="2"/>
      <c r="C6" s="2"/>
      <c r="D6" s="2"/>
      <c r="E6" s="2"/>
      <c r="F6" s="2"/>
      <c r="G6" s="2"/>
      <c r="H6" s="2"/>
      <c r="I6" s="2"/>
      <c r="J6" s="45" t="n">
        <f aca="false">Lists!C$21</f>
        <v>46339</v>
      </c>
      <c r="K6" s="45" t="n">
        <f aca="false">Lists!D$21</f>
        <v>46346</v>
      </c>
      <c r="L6" s="45" t="n">
        <f aca="false">Lists!E$21</f>
        <v>46353</v>
      </c>
      <c r="M6" s="45" t="n">
        <f aca="false">Lists!F$21</f>
        <v>46360</v>
      </c>
      <c r="N6" s="45" t="n">
        <f aca="false">Lists!G$21</f>
        <v>46367</v>
      </c>
      <c r="O6" s="45" t="n">
        <f aca="false">Lists!H$21</f>
        <v>46374</v>
      </c>
      <c r="P6" s="45" t="n">
        <f aca="false">Lists!I$21</f>
        <v>46381</v>
      </c>
      <c r="Q6" s="45" t="n">
        <f aca="false">Lists!J$21</f>
        <v>46388</v>
      </c>
      <c r="R6" s="45" t="n">
        <f aca="false">Lists!K$21</f>
        <v>46395</v>
      </c>
      <c r="S6" s="45" t="n">
        <f aca="false">Lists!L$21</f>
        <v>46402</v>
      </c>
      <c r="T6" s="45" t="n">
        <f aca="false">Lists!M$21</f>
        <v>46409</v>
      </c>
      <c r="U6" s="45" t="n">
        <f aca="false">Lists!N$21</f>
        <v>46416</v>
      </c>
      <c r="V6" s="45" t="n">
        <f aca="false">Lists!O$21</f>
        <v>46423</v>
      </c>
      <c r="W6" s="42" t="s">
        <v>254</v>
      </c>
      <c r="X6" s="2"/>
      <c r="Y6" s="2"/>
      <c r="Z6" s="2"/>
      <c r="AA6" s="2"/>
      <c r="AB6" s="2"/>
      <c r="AC6" s="2"/>
    </row>
    <row r="7" customFormat="false" ht="15" hidden="false" customHeight="false" outlineLevel="0" collapsed="false">
      <c r="A7" s="5" t="s">
        <v>546</v>
      </c>
      <c r="B7" s="6"/>
      <c r="C7" s="6"/>
      <c r="D7" s="6"/>
      <c r="E7" s="6"/>
      <c r="F7" s="6"/>
      <c r="G7" s="6"/>
      <c r="H7" s="6"/>
      <c r="I7" s="6"/>
      <c r="J7" s="6"/>
      <c r="K7" s="6"/>
      <c r="L7" s="6"/>
      <c r="M7" s="6"/>
      <c r="N7" s="6"/>
      <c r="O7" s="6"/>
      <c r="P7" s="6"/>
      <c r="Q7" s="6"/>
      <c r="R7" s="6"/>
      <c r="S7" s="6"/>
      <c r="T7" s="6"/>
      <c r="U7" s="6"/>
      <c r="V7" s="6"/>
      <c r="W7" s="6"/>
      <c r="X7" s="6"/>
      <c r="Y7" s="63" t="s">
        <v>376</v>
      </c>
      <c r="Z7" s="2"/>
      <c r="AA7" s="2"/>
      <c r="AB7" s="2"/>
      <c r="AC7" s="2"/>
    </row>
    <row r="8" customFormat="false" ht="42" hidden="false" customHeight="true" outlineLevel="0" collapsed="false">
      <c r="A8" s="56" t="s">
        <v>377</v>
      </c>
      <c r="B8" s="56" t="s">
        <v>480</v>
      </c>
      <c r="C8" s="56" t="s">
        <v>522</v>
      </c>
      <c r="D8" s="56"/>
      <c r="E8" s="56" t="s">
        <v>523</v>
      </c>
      <c r="F8" s="56" t="s">
        <v>483</v>
      </c>
      <c r="G8" s="56" t="s">
        <v>484</v>
      </c>
      <c r="H8" s="56" t="s">
        <v>485</v>
      </c>
      <c r="I8" s="56" t="s">
        <v>524</v>
      </c>
      <c r="J8" s="56" t="s">
        <v>487</v>
      </c>
      <c r="K8" s="56" t="s">
        <v>487</v>
      </c>
      <c r="L8" s="56" t="s">
        <v>487</v>
      </c>
      <c r="M8" s="56" t="s">
        <v>487</v>
      </c>
      <c r="N8" s="56" t="s">
        <v>487</v>
      </c>
      <c r="O8" s="56" t="s">
        <v>487</v>
      </c>
      <c r="P8" s="56" t="s">
        <v>487</v>
      </c>
      <c r="Q8" s="56" t="s">
        <v>487</v>
      </c>
      <c r="R8" s="56" t="s">
        <v>487</v>
      </c>
      <c r="S8" s="56" t="s">
        <v>487</v>
      </c>
      <c r="T8" s="56" t="s">
        <v>487</v>
      </c>
      <c r="U8" s="56" t="s">
        <v>487</v>
      </c>
      <c r="V8" s="56" t="s">
        <v>487</v>
      </c>
      <c r="W8" s="56" t="s">
        <v>488</v>
      </c>
      <c r="X8" s="2"/>
      <c r="Y8" s="56" t="s">
        <v>443</v>
      </c>
      <c r="Z8" s="56" t="s">
        <v>489</v>
      </c>
      <c r="AA8" s="56" t="s">
        <v>490</v>
      </c>
      <c r="AB8" s="56" t="s">
        <v>491</v>
      </c>
      <c r="AC8" s="56" t="s">
        <v>492</v>
      </c>
    </row>
    <row r="9" customFormat="false" ht="15" hidden="false" customHeight="false" outlineLevel="0" collapsed="false">
      <c r="A9" s="87" t="n">
        <v>1</v>
      </c>
      <c r="B9" s="55" t="s">
        <v>547</v>
      </c>
      <c r="C9" s="55" t="s">
        <v>548</v>
      </c>
      <c r="D9" s="2"/>
      <c r="E9" s="88" t="n">
        <v>3000</v>
      </c>
      <c r="F9" s="58" t="s">
        <v>498</v>
      </c>
      <c r="G9" s="90" t="n">
        <v>46357</v>
      </c>
      <c r="H9" s="90"/>
      <c r="I9" s="92" t="n">
        <f aca="false">N(E9)*Y9</f>
        <v>3000</v>
      </c>
      <c r="J9" s="53" t="n">
        <f aca="false">IF(OR(N($E9)=0,$G9=""),0,$I9*IF($F9="Weekly",((Lists!C$21-MOD(Lists!C$21-$G9,7))&gt;=$G9)*((Lists!C$21-MOD(Lists!C$21-$G9,7))&lt;=$AB9),IF($F9="One-off",($G9&gt;Lists!C$23)*($G9&lt;=Lists!C$21),IF($F9="",0,(((Lists!C$24-$AA9)-MOD((Lists!C$24-$AA9),$Z9))&gt;=0)*(EDATE($G9,((Lists!C$24-$AA9)-MOD((Lists!C$24-$AA9),$Z9)))&gt;Lists!C$23)*(EDATE($G9,((Lists!C$24-$AA9)-MOD((Lists!C$24-$AA9),$Z9)))&lt;=Lists!C$21)*(EDATE($G9,((Lists!C$24-$AA9)-MOD((Lists!C$24-$AA9),$Z9)))&lt;=$AB9)+((((Lists!C$24-$AA9)-MOD((Lists!C$24-$AA9),$Z9))-$Z9)&gt;=0)*(EDATE($G9,(((Lists!C$24-$AA9)-MOD((Lists!C$24-$AA9),$Z9))-$Z9))&gt;Lists!C$23)*(EDATE($G9,(((Lists!C$24-$AA9)-MOD((Lists!C$24-$AA9),$Z9))-$Z9))&lt;=Lists!C$21)*(EDATE($G9,(((Lists!C$24-$AA9)-MOD((Lists!C$24-$AA9),$Z9))-$Z9))&lt;=$AB9)))))</f>
        <v>0</v>
      </c>
      <c r="K9" s="53" t="n">
        <f aca="false">IF(OR(N($E9)=0,$G9=""),0,$I9*IF($F9="Weekly",((Lists!D$21-MOD(Lists!D$21-$G9,7))&gt;=$G9)*((Lists!D$21-MOD(Lists!D$21-$G9,7))&lt;=$AB9),IF($F9="One-off",($G9&gt;Lists!D$23)*($G9&lt;=Lists!D$21),IF($F9="",0,(((Lists!D$24-$AA9)-MOD((Lists!D$24-$AA9),$Z9))&gt;=0)*(EDATE($G9,((Lists!D$24-$AA9)-MOD((Lists!D$24-$AA9),$Z9)))&gt;Lists!D$23)*(EDATE($G9,((Lists!D$24-$AA9)-MOD((Lists!D$24-$AA9),$Z9)))&lt;=Lists!D$21)*(EDATE($G9,((Lists!D$24-$AA9)-MOD((Lists!D$24-$AA9),$Z9)))&lt;=$AB9)+((((Lists!D$24-$AA9)-MOD((Lists!D$24-$AA9),$Z9))-$Z9)&gt;=0)*(EDATE($G9,(((Lists!D$24-$AA9)-MOD((Lists!D$24-$AA9),$Z9))-$Z9))&gt;Lists!D$23)*(EDATE($G9,(((Lists!D$24-$AA9)-MOD((Lists!D$24-$AA9),$Z9))-$Z9))&lt;=Lists!D$21)*(EDATE($G9,(((Lists!D$24-$AA9)-MOD((Lists!D$24-$AA9),$Z9))-$Z9))&lt;=$AB9)))))</f>
        <v>0</v>
      </c>
      <c r="L9" s="53" t="n">
        <f aca="false">IF(OR(N($E9)=0,$G9=""),0,$I9*IF($F9="Weekly",((Lists!E$21-MOD(Lists!E$21-$G9,7))&gt;=$G9)*((Lists!E$21-MOD(Lists!E$21-$G9,7))&lt;=$AB9),IF($F9="One-off",($G9&gt;Lists!E$23)*($G9&lt;=Lists!E$21),IF($F9="",0,(((Lists!E$24-$AA9)-MOD((Lists!E$24-$AA9),$Z9))&gt;=0)*(EDATE($G9,((Lists!E$24-$AA9)-MOD((Lists!E$24-$AA9),$Z9)))&gt;Lists!E$23)*(EDATE($G9,((Lists!E$24-$AA9)-MOD((Lists!E$24-$AA9),$Z9)))&lt;=Lists!E$21)*(EDATE($G9,((Lists!E$24-$AA9)-MOD((Lists!E$24-$AA9),$Z9)))&lt;=$AB9)+((((Lists!E$24-$AA9)-MOD((Lists!E$24-$AA9),$Z9))-$Z9)&gt;=0)*(EDATE($G9,(((Lists!E$24-$AA9)-MOD((Lists!E$24-$AA9),$Z9))-$Z9))&gt;Lists!E$23)*(EDATE($G9,(((Lists!E$24-$AA9)-MOD((Lists!E$24-$AA9),$Z9))-$Z9))&lt;=Lists!E$21)*(EDATE($G9,(((Lists!E$24-$AA9)-MOD((Lists!E$24-$AA9),$Z9))-$Z9))&lt;=$AB9)))))</f>
        <v>0</v>
      </c>
      <c r="M9" s="53" t="n">
        <f aca="false">IF(OR(N($E9)=0,$G9=""),0,$I9*IF($F9="Weekly",((Lists!F$21-MOD(Lists!F$21-$G9,7))&gt;=$G9)*((Lists!F$21-MOD(Lists!F$21-$G9,7))&lt;=$AB9),IF($F9="One-off",($G9&gt;Lists!F$23)*($G9&lt;=Lists!F$21),IF($F9="",0,(((Lists!F$24-$AA9)-MOD((Lists!F$24-$AA9),$Z9))&gt;=0)*(EDATE($G9,((Lists!F$24-$AA9)-MOD((Lists!F$24-$AA9),$Z9)))&gt;Lists!F$23)*(EDATE($G9,((Lists!F$24-$AA9)-MOD((Lists!F$24-$AA9),$Z9)))&lt;=Lists!F$21)*(EDATE($G9,((Lists!F$24-$AA9)-MOD((Lists!F$24-$AA9),$Z9)))&lt;=$AB9)+((((Lists!F$24-$AA9)-MOD((Lists!F$24-$AA9),$Z9))-$Z9)&gt;=0)*(EDATE($G9,(((Lists!F$24-$AA9)-MOD((Lists!F$24-$AA9),$Z9))-$Z9))&gt;Lists!F$23)*(EDATE($G9,(((Lists!F$24-$AA9)-MOD((Lists!F$24-$AA9),$Z9))-$Z9))&lt;=Lists!F$21)*(EDATE($G9,(((Lists!F$24-$AA9)-MOD((Lists!F$24-$AA9),$Z9))-$Z9))&lt;=$AB9)))))</f>
        <v>3000</v>
      </c>
      <c r="N9" s="53" t="n">
        <f aca="false">IF(OR(N($E9)=0,$G9=""),0,$I9*IF($F9="Weekly",((Lists!G$21-MOD(Lists!G$21-$G9,7))&gt;=$G9)*((Lists!G$21-MOD(Lists!G$21-$G9,7))&lt;=$AB9),IF($F9="One-off",($G9&gt;Lists!G$23)*($G9&lt;=Lists!G$21),IF($F9="",0,(((Lists!G$24-$AA9)-MOD((Lists!G$24-$AA9),$Z9))&gt;=0)*(EDATE($G9,((Lists!G$24-$AA9)-MOD((Lists!G$24-$AA9),$Z9)))&gt;Lists!G$23)*(EDATE($G9,((Lists!G$24-$AA9)-MOD((Lists!G$24-$AA9),$Z9)))&lt;=Lists!G$21)*(EDATE($G9,((Lists!G$24-$AA9)-MOD((Lists!G$24-$AA9),$Z9)))&lt;=$AB9)+((((Lists!G$24-$AA9)-MOD((Lists!G$24-$AA9),$Z9))-$Z9)&gt;=0)*(EDATE($G9,(((Lists!G$24-$AA9)-MOD((Lists!G$24-$AA9),$Z9))-$Z9))&gt;Lists!G$23)*(EDATE($G9,(((Lists!G$24-$AA9)-MOD((Lists!G$24-$AA9),$Z9))-$Z9))&lt;=Lists!G$21)*(EDATE($G9,(((Lists!G$24-$AA9)-MOD((Lists!G$24-$AA9),$Z9))-$Z9))&lt;=$AB9)))))</f>
        <v>0</v>
      </c>
      <c r="O9" s="53" t="n">
        <f aca="false">IF(OR(N($E9)=0,$G9=""),0,$I9*IF($F9="Weekly",((Lists!H$21-MOD(Lists!H$21-$G9,7))&gt;=$G9)*((Lists!H$21-MOD(Lists!H$21-$G9,7))&lt;=$AB9),IF($F9="One-off",($G9&gt;Lists!H$23)*($G9&lt;=Lists!H$21),IF($F9="",0,(((Lists!H$24-$AA9)-MOD((Lists!H$24-$AA9),$Z9))&gt;=0)*(EDATE($G9,((Lists!H$24-$AA9)-MOD((Lists!H$24-$AA9),$Z9)))&gt;Lists!H$23)*(EDATE($G9,((Lists!H$24-$AA9)-MOD((Lists!H$24-$AA9),$Z9)))&lt;=Lists!H$21)*(EDATE($G9,((Lists!H$24-$AA9)-MOD((Lists!H$24-$AA9),$Z9)))&lt;=$AB9)+((((Lists!H$24-$AA9)-MOD((Lists!H$24-$AA9),$Z9))-$Z9)&gt;=0)*(EDATE($G9,(((Lists!H$24-$AA9)-MOD((Lists!H$24-$AA9),$Z9))-$Z9))&gt;Lists!H$23)*(EDATE($G9,(((Lists!H$24-$AA9)-MOD((Lists!H$24-$AA9),$Z9))-$Z9))&lt;=Lists!H$21)*(EDATE($G9,(((Lists!H$24-$AA9)-MOD((Lists!H$24-$AA9),$Z9))-$Z9))&lt;=$AB9)))))</f>
        <v>0</v>
      </c>
      <c r="P9" s="53" t="n">
        <f aca="false">IF(OR(N($E9)=0,$G9=""),0,$I9*IF($F9="Weekly",((Lists!I$21-MOD(Lists!I$21-$G9,7))&gt;=$G9)*((Lists!I$21-MOD(Lists!I$21-$G9,7))&lt;=$AB9),IF($F9="One-off",($G9&gt;Lists!I$23)*($G9&lt;=Lists!I$21),IF($F9="",0,(((Lists!I$24-$AA9)-MOD((Lists!I$24-$AA9),$Z9))&gt;=0)*(EDATE($G9,((Lists!I$24-$AA9)-MOD((Lists!I$24-$AA9),$Z9)))&gt;Lists!I$23)*(EDATE($G9,((Lists!I$24-$AA9)-MOD((Lists!I$24-$AA9),$Z9)))&lt;=Lists!I$21)*(EDATE($G9,((Lists!I$24-$AA9)-MOD((Lists!I$24-$AA9),$Z9)))&lt;=$AB9)+((((Lists!I$24-$AA9)-MOD((Lists!I$24-$AA9),$Z9))-$Z9)&gt;=0)*(EDATE($G9,(((Lists!I$24-$AA9)-MOD((Lists!I$24-$AA9),$Z9))-$Z9))&gt;Lists!I$23)*(EDATE($G9,(((Lists!I$24-$AA9)-MOD((Lists!I$24-$AA9),$Z9))-$Z9))&lt;=Lists!I$21)*(EDATE($G9,(((Lists!I$24-$AA9)-MOD((Lists!I$24-$AA9),$Z9))-$Z9))&lt;=$AB9)))))</f>
        <v>0</v>
      </c>
      <c r="Q9" s="53" t="n">
        <f aca="false">IF(OR(N($E9)=0,$G9=""),0,$I9*IF($F9="Weekly",((Lists!J$21-MOD(Lists!J$21-$G9,7))&gt;=$G9)*((Lists!J$21-MOD(Lists!J$21-$G9,7))&lt;=$AB9),IF($F9="One-off",($G9&gt;Lists!J$23)*($G9&lt;=Lists!J$21),IF($F9="",0,(((Lists!J$24-$AA9)-MOD((Lists!J$24-$AA9),$Z9))&gt;=0)*(EDATE($G9,((Lists!J$24-$AA9)-MOD((Lists!J$24-$AA9),$Z9)))&gt;Lists!J$23)*(EDATE($G9,((Lists!J$24-$AA9)-MOD((Lists!J$24-$AA9),$Z9)))&lt;=Lists!J$21)*(EDATE($G9,((Lists!J$24-$AA9)-MOD((Lists!J$24-$AA9),$Z9)))&lt;=$AB9)+((((Lists!J$24-$AA9)-MOD((Lists!J$24-$AA9),$Z9))-$Z9)&gt;=0)*(EDATE($G9,(((Lists!J$24-$AA9)-MOD((Lists!J$24-$AA9),$Z9))-$Z9))&gt;Lists!J$23)*(EDATE($G9,(((Lists!J$24-$AA9)-MOD((Lists!J$24-$AA9),$Z9))-$Z9))&lt;=Lists!J$21)*(EDATE($G9,(((Lists!J$24-$AA9)-MOD((Lists!J$24-$AA9),$Z9))-$Z9))&lt;=$AB9)))))</f>
        <v>3000</v>
      </c>
      <c r="R9" s="53" t="n">
        <f aca="false">IF(OR(N($E9)=0,$G9=""),0,$I9*IF($F9="Weekly",((Lists!K$21-MOD(Lists!K$21-$G9,7))&gt;=$G9)*((Lists!K$21-MOD(Lists!K$21-$G9,7))&lt;=$AB9),IF($F9="One-off",($G9&gt;Lists!K$23)*($G9&lt;=Lists!K$21),IF($F9="",0,(((Lists!K$24-$AA9)-MOD((Lists!K$24-$AA9),$Z9))&gt;=0)*(EDATE($G9,((Lists!K$24-$AA9)-MOD((Lists!K$24-$AA9),$Z9)))&gt;Lists!K$23)*(EDATE($G9,((Lists!K$24-$AA9)-MOD((Lists!K$24-$AA9),$Z9)))&lt;=Lists!K$21)*(EDATE($G9,((Lists!K$24-$AA9)-MOD((Lists!K$24-$AA9),$Z9)))&lt;=$AB9)+((((Lists!K$24-$AA9)-MOD((Lists!K$24-$AA9),$Z9))-$Z9)&gt;=0)*(EDATE($G9,(((Lists!K$24-$AA9)-MOD((Lists!K$24-$AA9),$Z9))-$Z9))&gt;Lists!K$23)*(EDATE($G9,(((Lists!K$24-$AA9)-MOD((Lists!K$24-$AA9),$Z9))-$Z9))&lt;=Lists!K$21)*(EDATE($G9,(((Lists!K$24-$AA9)-MOD((Lists!K$24-$AA9),$Z9))-$Z9))&lt;=$AB9)))))</f>
        <v>0</v>
      </c>
      <c r="S9" s="53" t="n">
        <f aca="false">IF(OR(N($E9)=0,$G9=""),0,$I9*IF($F9="Weekly",((Lists!L$21-MOD(Lists!L$21-$G9,7))&gt;=$G9)*((Lists!L$21-MOD(Lists!L$21-$G9,7))&lt;=$AB9),IF($F9="One-off",($G9&gt;Lists!L$23)*($G9&lt;=Lists!L$21),IF($F9="",0,(((Lists!L$24-$AA9)-MOD((Lists!L$24-$AA9),$Z9))&gt;=0)*(EDATE($G9,((Lists!L$24-$AA9)-MOD((Lists!L$24-$AA9),$Z9)))&gt;Lists!L$23)*(EDATE($G9,((Lists!L$24-$AA9)-MOD((Lists!L$24-$AA9),$Z9)))&lt;=Lists!L$21)*(EDATE($G9,((Lists!L$24-$AA9)-MOD((Lists!L$24-$AA9),$Z9)))&lt;=$AB9)+((((Lists!L$24-$AA9)-MOD((Lists!L$24-$AA9),$Z9))-$Z9)&gt;=0)*(EDATE($G9,(((Lists!L$24-$AA9)-MOD((Lists!L$24-$AA9),$Z9))-$Z9))&gt;Lists!L$23)*(EDATE($G9,(((Lists!L$24-$AA9)-MOD((Lists!L$24-$AA9),$Z9))-$Z9))&lt;=Lists!L$21)*(EDATE($G9,(((Lists!L$24-$AA9)-MOD((Lists!L$24-$AA9),$Z9))-$Z9))&lt;=$AB9)))))</f>
        <v>0</v>
      </c>
      <c r="T9" s="53" t="n">
        <f aca="false">IF(OR(N($E9)=0,$G9=""),0,$I9*IF($F9="Weekly",((Lists!M$21-MOD(Lists!M$21-$G9,7))&gt;=$G9)*((Lists!M$21-MOD(Lists!M$21-$G9,7))&lt;=$AB9),IF($F9="One-off",($G9&gt;Lists!M$23)*($G9&lt;=Lists!M$21),IF($F9="",0,(((Lists!M$24-$AA9)-MOD((Lists!M$24-$AA9),$Z9))&gt;=0)*(EDATE($G9,((Lists!M$24-$AA9)-MOD((Lists!M$24-$AA9),$Z9)))&gt;Lists!M$23)*(EDATE($G9,((Lists!M$24-$AA9)-MOD((Lists!M$24-$AA9),$Z9)))&lt;=Lists!M$21)*(EDATE($G9,((Lists!M$24-$AA9)-MOD((Lists!M$24-$AA9),$Z9)))&lt;=$AB9)+((((Lists!M$24-$AA9)-MOD((Lists!M$24-$AA9),$Z9))-$Z9)&gt;=0)*(EDATE($G9,(((Lists!M$24-$AA9)-MOD((Lists!M$24-$AA9),$Z9))-$Z9))&gt;Lists!M$23)*(EDATE($G9,(((Lists!M$24-$AA9)-MOD((Lists!M$24-$AA9),$Z9))-$Z9))&lt;=Lists!M$21)*(EDATE($G9,(((Lists!M$24-$AA9)-MOD((Lists!M$24-$AA9),$Z9))-$Z9))&lt;=$AB9)))))</f>
        <v>0</v>
      </c>
      <c r="U9" s="53" t="n">
        <f aca="false">IF(OR(N($E9)=0,$G9=""),0,$I9*IF($F9="Weekly",((Lists!N$21-MOD(Lists!N$21-$G9,7))&gt;=$G9)*((Lists!N$21-MOD(Lists!N$21-$G9,7))&lt;=$AB9),IF($F9="One-off",($G9&gt;Lists!N$23)*($G9&lt;=Lists!N$21),IF($F9="",0,(((Lists!N$24-$AA9)-MOD((Lists!N$24-$AA9),$Z9))&gt;=0)*(EDATE($G9,((Lists!N$24-$AA9)-MOD((Lists!N$24-$AA9),$Z9)))&gt;Lists!N$23)*(EDATE($G9,((Lists!N$24-$AA9)-MOD((Lists!N$24-$AA9),$Z9)))&lt;=Lists!N$21)*(EDATE($G9,((Lists!N$24-$AA9)-MOD((Lists!N$24-$AA9),$Z9)))&lt;=$AB9)+((((Lists!N$24-$AA9)-MOD((Lists!N$24-$AA9),$Z9))-$Z9)&gt;=0)*(EDATE($G9,(((Lists!N$24-$AA9)-MOD((Lists!N$24-$AA9),$Z9))-$Z9))&gt;Lists!N$23)*(EDATE($G9,(((Lists!N$24-$AA9)-MOD((Lists!N$24-$AA9),$Z9))-$Z9))&lt;=Lists!N$21)*(EDATE($G9,(((Lists!N$24-$AA9)-MOD((Lists!N$24-$AA9),$Z9))-$Z9))&lt;=$AB9)))))</f>
        <v>0</v>
      </c>
      <c r="V9" s="53" t="n">
        <f aca="false">IF(OR(N($E9)=0,$G9=""),0,$I9*IF($F9="Weekly",((Lists!O$21-MOD(Lists!O$21-$G9,7))&gt;=$G9)*((Lists!O$21-MOD(Lists!O$21-$G9,7))&lt;=$AB9),IF($F9="One-off",($G9&gt;Lists!O$23)*($G9&lt;=Lists!O$21),IF($F9="",0,(((Lists!O$24-$AA9)-MOD((Lists!O$24-$AA9),$Z9))&gt;=0)*(EDATE($G9,((Lists!O$24-$AA9)-MOD((Lists!O$24-$AA9),$Z9)))&gt;Lists!O$23)*(EDATE($G9,((Lists!O$24-$AA9)-MOD((Lists!O$24-$AA9),$Z9)))&lt;=Lists!O$21)*(EDATE($G9,((Lists!O$24-$AA9)-MOD((Lists!O$24-$AA9),$Z9)))&lt;=$AB9)+((((Lists!O$24-$AA9)-MOD((Lists!O$24-$AA9),$Z9))-$Z9)&gt;=0)*(EDATE($G9,(((Lists!O$24-$AA9)-MOD((Lists!O$24-$AA9),$Z9))-$Z9))&gt;Lists!O$23)*(EDATE($G9,(((Lists!O$24-$AA9)-MOD((Lists!O$24-$AA9),$Z9))-$Z9))&lt;=Lists!O$21)*(EDATE($G9,(((Lists!O$24-$AA9)-MOD((Lists!O$24-$AA9),$Z9))-$Z9))&lt;=$AB9)))))</f>
        <v>3000</v>
      </c>
      <c r="W9" s="46" t="n">
        <f aca="false">SUM(J9:V9)</f>
        <v>9000</v>
      </c>
      <c r="X9" s="2"/>
      <c r="Y9" s="104" t="n">
        <f aca="false">1</f>
        <v>1</v>
      </c>
      <c r="Z9" s="94" t="n">
        <f aca="false">IF(F9="Quarterly",3,IF(F9="Annually",12,1))</f>
        <v>1</v>
      </c>
      <c r="AA9" s="94" t="n">
        <f aca="false">IF(G9="",0,YEAR(G9)*12+MONTH(G9))</f>
        <v>24324</v>
      </c>
      <c r="AB9" s="93" t="n">
        <f aca="false">IF(H9="",2958465,H9)</f>
        <v>2958465</v>
      </c>
      <c r="AC9" s="95" t="str">
        <f aca="false">IF(C9="","Other finance",C9)</f>
        <v>Loan repayment</v>
      </c>
    </row>
    <row r="10" customFormat="false" ht="15" hidden="false" customHeight="false" outlineLevel="0" collapsed="false">
      <c r="A10" s="87" t="n">
        <v>2</v>
      </c>
      <c r="B10" s="55" t="s">
        <v>549</v>
      </c>
      <c r="C10" s="55" t="s">
        <v>550</v>
      </c>
      <c r="D10" s="2"/>
      <c r="E10" s="88" t="n">
        <v>4200</v>
      </c>
      <c r="F10" s="58" t="s">
        <v>498</v>
      </c>
      <c r="G10" s="90" t="n">
        <v>46341</v>
      </c>
      <c r="H10" s="90"/>
      <c r="I10" s="92" t="n">
        <f aca="false">N(E10)*Y10</f>
        <v>4200</v>
      </c>
      <c r="J10" s="53" t="n">
        <f aca="false">IF(OR(N($E10)=0,$G10=""),0,$I10*IF($F10="Weekly",((Lists!C$21-MOD(Lists!C$21-$G10,7))&gt;=$G10)*((Lists!C$21-MOD(Lists!C$21-$G10,7))&lt;=$AB10),IF($F10="One-off",($G10&gt;Lists!C$23)*($G10&lt;=Lists!C$21),IF($F10="",0,(((Lists!C$24-$AA10)-MOD((Lists!C$24-$AA10),$Z10))&gt;=0)*(EDATE($G10,((Lists!C$24-$AA10)-MOD((Lists!C$24-$AA10),$Z10)))&gt;Lists!C$23)*(EDATE($G10,((Lists!C$24-$AA10)-MOD((Lists!C$24-$AA10),$Z10)))&lt;=Lists!C$21)*(EDATE($G10,((Lists!C$24-$AA10)-MOD((Lists!C$24-$AA10),$Z10)))&lt;=$AB10)+((((Lists!C$24-$AA10)-MOD((Lists!C$24-$AA10),$Z10))-$Z10)&gt;=0)*(EDATE($G10,(((Lists!C$24-$AA10)-MOD((Lists!C$24-$AA10),$Z10))-$Z10))&gt;Lists!C$23)*(EDATE($G10,(((Lists!C$24-$AA10)-MOD((Lists!C$24-$AA10),$Z10))-$Z10))&lt;=Lists!C$21)*(EDATE($G10,(((Lists!C$24-$AA10)-MOD((Lists!C$24-$AA10),$Z10))-$Z10))&lt;=$AB10)))))</f>
        <v>0</v>
      </c>
      <c r="K10" s="53" t="n">
        <f aca="false">IF(OR(N($E10)=0,$G10=""),0,$I10*IF($F10="Weekly",((Lists!D$21-MOD(Lists!D$21-$G10,7))&gt;=$G10)*((Lists!D$21-MOD(Lists!D$21-$G10,7))&lt;=$AB10),IF($F10="One-off",($G10&gt;Lists!D$23)*($G10&lt;=Lists!D$21),IF($F10="",0,(((Lists!D$24-$AA10)-MOD((Lists!D$24-$AA10),$Z10))&gt;=0)*(EDATE($G10,((Lists!D$24-$AA10)-MOD((Lists!D$24-$AA10),$Z10)))&gt;Lists!D$23)*(EDATE($G10,((Lists!D$24-$AA10)-MOD((Lists!D$24-$AA10),$Z10)))&lt;=Lists!D$21)*(EDATE($G10,((Lists!D$24-$AA10)-MOD((Lists!D$24-$AA10),$Z10)))&lt;=$AB10)+((((Lists!D$24-$AA10)-MOD((Lists!D$24-$AA10),$Z10))-$Z10)&gt;=0)*(EDATE($G10,(((Lists!D$24-$AA10)-MOD((Lists!D$24-$AA10),$Z10))-$Z10))&gt;Lists!D$23)*(EDATE($G10,(((Lists!D$24-$AA10)-MOD((Lists!D$24-$AA10),$Z10))-$Z10))&lt;=Lists!D$21)*(EDATE($G10,(((Lists!D$24-$AA10)-MOD((Lists!D$24-$AA10),$Z10))-$Z10))&lt;=$AB10)))))</f>
        <v>4200</v>
      </c>
      <c r="L10" s="53" t="n">
        <f aca="false">IF(OR(N($E10)=0,$G10=""),0,$I10*IF($F10="Weekly",((Lists!E$21-MOD(Lists!E$21-$G10,7))&gt;=$G10)*((Lists!E$21-MOD(Lists!E$21-$G10,7))&lt;=$AB10),IF($F10="One-off",($G10&gt;Lists!E$23)*($G10&lt;=Lists!E$21),IF($F10="",0,(((Lists!E$24-$AA10)-MOD((Lists!E$24-$AA10),$Z10))&gt;=0)*(EDATE($G10,((Lists!E$24-$AA10)-MOD((Lists!E$24-$AA10),$Z10)))&gt;Lists!E$23)*(EDATE($G10,((Lists!E$24-$AA10)-MOD((Lists!E$24-$AA10),$Z10)))&lt;=Lists!E$21)*(EDATE($G10,((Lists!E$24-$AA10)-MOD((Lists!E$24-$AA10),$Z10)))&lt;=$AB10)+((((Lists!E$24-$AA10)-MOD((Lists!E$24-$AA10),$Z10))-$Z10)&gt;=0)*(EDATE($G10,(((Lists!E$24-$AA10)-MOD((Lists!E$24-$AA10),$Z10))-$Z10))&gt;Lists!E$23)*(EDATE($G10,(((Lists!E$24-$AA10)-MOD((Lists!E$24-$AA10),$Z10))-$Z10))&lt;=Lists!E$21)*(EDATE($G10,(((Lists!E$24-$AA10)-MOD((Lists!E$24-$AA10),$Z10))-$Z10))&lt;=$AB10)))))</f>
        <v>0</v>
      </c>
      <c r="M10" s="53" t="n">
        <f aca="false">IF(OR(N($E10)=0,$G10=""),0,$I10*IF($F10="Weekly",((Lists!F$21-MOD(Lists!F$21-$G10,7))&gt;=$G10)*((Lists!F$21-MOD(Lists!F$21-$G10,7))&lt;=$AB10),IF($F10="One-off",($G10&gt;Lists!F$23)*($G10&lt;=Lists!F$21),IF($F10="",0,(((Lists!F$24-$AA10)-MOD((Lists!F$24-$AA10),$Z10))&gt;=0)*(EDATE($G10,((Lists!F$24-$AA10)-MOD((Lists!F$24-$AA10),$Z10)))&gt;Lists!F$23)*(EDATE($G10,((Lists!F$24-$AA10)-MOD((Lists!F$24-$AA10),$Z10)))&lt;=Lists!F$21)*(EDATE($G10,((Lists!F$24-$AA10)-MOD((Lists!F$24-$AA10),$Z10)))&lt;=$AB10)+((((Lists!F$24-$AA10)-MOD((Lists!F$24-$AA10),$Z10))-$Z10)&gt;=0)*(EDATE($G10,(((Lists!F$24-$AA10)-MOD((Lists!F$24-$AA10),$Z10))-$Z10))&gt;Lists!F$23)*(EDATE($G10,(((Lists!F$24-$AA10)-MOD((Lists!F$24-$AA10),$Z10))-$Z10))&lt;=Lists!F$21)*(EDATE($G10,(((Lists!F$24-$AA10)-MOD((Lists!F$24-$AA10),$Z10))-$Z10))&lt;=$AB10)))))</f>
        <v>0</v>
      </c>
      <c r="N10" s="53" t="n">
        <f aca="false">IF(OR(N($E10)=0,$G10=""),0,$I10*IF($F10="Weekly",((Lists!G$21-MOD(Lists!G$21-$G10,7))&gt;=$G10)*((Lists!G$21-MOD(Lists!G$21-$G10,7))&lt;=$AB10),IF($F10="One-off",($G10&gt;Lists!G$23)*($G10&lt;=Lists!G$21),IF($F10="",0,(((Lists!G$24-$AA10)-MOD((Lists!G$24-$AA10),$Z10))&gt;=0)*(EDATE($G10,((Lists!G$24-$AA10)-MOD((Lists!G$24-$AA10),$Z10)))&gt;Lists!G$23)*(EDATE($G10,((Lists!G$24-$AA10)-MOD((Lists!G$24-$AA10),$Z10)))&lt;=Lists!G$21)*(EDATE($G10,((Lists!G$24-$AA10)-MOD((Lists!G$24-$AA10),$Z10)))&lt;=$AB10)+((((Lists!G$24-$AA10)-MOD((Lists!G$24-$AA10),$Z10))-$Z10)&gt;=0)*(EDATE($G10,(((Lists!G$24-$AA10)-MOD((Lists!G$24-$AA10),$Z10))-$Z10))&gt;Lists!G$23)*(EDATE($G10,(((Lists!G$24-$AA10)-MOD((Lists!G$24-$AA10),$Z10))-$Z10))&lt;=Lists!G$21)*(EDATE($G10,(((Lists!G$24-$AA10)-MOD((Lists!G$24-$AA10),$Z10))-$Z10))&lt;=$AB10)))))</f>
        <v>0</v>
      </c>
      <c r="O10" s="53" t="n">
        <f aca="false">IF(OR(N($E10)=0,$G10=""),0,$I10*IF($F10="Weekly",((Lists!H$21-MOD(Lists!H$21-$G10,7))&gt;=$G10)*((Lists!H$21-MOD(Lists!H$21-$G10,7))&lt;=$AB10),IF($F10="One-off",($G10&gt;Lists!H$23)*($G10&lt;=Lists!H$21),IF($F10="",0,(((Lists!H$24-$AA10)-MOD((Lists!H$24-$AA10),$Z10))&gt;=0)*(EDATE($G10,((Lists!H$24-$AA10)-MOD((Lists!H$24-$AA10),$Z10)))&gt;Lists!H$23)*(EDATE($G10,((Lists!H$24-$AA10)-MOD((Lists!H$24-$AA10),$Z10)))&lt;=Lists!H$21)*(EDATE($G10,((Lists!H$24-$AA10)-MOD((Lists!H$24-$AA10),$Z10)))&lt;=$AB10)+((((Lists!H$24-$AA10)-MOD((Lists!H$24-$AA10),$Z10))-$Z10)&gt;=0)*(EDATE($G10,(((Lists!H$24-$AA10)-MOD((Lists!H$24-$AA10),$Z10))-$Z10))&gt;Lists!H$23)*(EDATE($G10,(((Lists!H$24-$AA10)-MOD((Lists!H$24-$AA10),$Z10))-$Z10))&lt;=Lists!H$21)*(EDATE($G10,(((Lists!H$24-$AA10)-MOD((Lists!H$24-$AA10),$Z10))-$Z10))&lt;=$AB10)))))</f>
        <v>4200</v>
      </c>
      <c r="P10" s="53" t="n">
        <f aca="false">IF(OR(N($E10)=0,$G10=""),0,$I10*IF($F10="Weekly",((Lists!I$21-MOD(Lists!I$21-$G10,7))&gt;=$G10)*((Lists!I$21-MOD(Lists!I$21-$G10,7))&lt;=$AB10),IF($F10="One-off",($G10&gt;Lists!I$23)*($G10&lt;=Lists!I$21),IF($F10="",0,(((Lists!I$24-$AA10)-MOD((Lists!I$24-$AA10),$Z10))&gt;=0)*(EDATE($G10,((Lists!I$24-$AA10)-MOD((Lists!I$24-$AA10),$Z10)))&gt;Lists!I$23)*(EDATE($G10,((Lists!I$24-$AA10)-MOD((Lists!I$24-$AA10),$Z10)))&lt;=Lists!I$21)*(EDATE($G10,((Lists!I$24-$AA10)-MOD((Lists!I$24-$AA10),$Z10)))&lt;=$AB10)+((((Lists!I$24-$AA10)-MOD((Lists!I$24-$AA10),$Z10))-$Z10)&gt;=0)*(EDATE($G10,(((Lists!I$24-$AA10)-MOD((Lists!I$24-$AA10),$Z10))-$Z10))&gt;Lists!I$23)*(EDATE($G10,(((Lists!I$24-$AA10)-MOD((Lists!I$24-$AA10),$Z10))-$Z10))&lt;=Lists!I$21)*(EDATE($G10,(((Lists!I$24-$AA10)-MOD((Lists!I$24-$AA10),$Z10))-$Z10))&lt;=$AB10)))))</f>
        <v>0</v>
      </c>
      <c r="Q10" s="53" t="n">
        <f aca="false">IF(OR(N($E10)=0,$G10=""),0,$I10*IF($F10="Weekly",((Lists!J$21-MOD(Lists!J$21-$G10,7))&gt;=$G10)*((Lists!J$21-MOD(Lists!J$21-$G10,7))&lt;=$AB10),IF($F10="One-off",($G10&gt;Lists!J$23)*($G10&lt;=Lists!J$21),IF($F10="",0,(((Lists!J$24-$AA10)-MOD((Lists!J$24-$AA10),$Z10))&gt;=0)*(EDATE($G10,((Lists!J$24-$AA10)-MOD((Lists!J$24-$AA10),$Z10)))&gt;Lists!J$23)*(EDATE($G10,((Lists!J$24-$AA10)-MOD((Lists!J$24-$AA10),$Z10)))&lt;=Lists!J$21)*(EDATE($G10,((Lists!J$24-$AA10)-MOD((Lists!J$24-$AA10),$Z10)))&lt;=$AB10)+((((Lists!J$24-$AA10)-MOD((Lists!J$24-$AA10),$Z10))-$Z10)&gt;=0)*(EDATE($G10,(((Lists!J$24-$AA10)-MOD((Lists!J$24-$AA10),$Z10))-$Z10))&gt;Lists!J$23)*(EDATE($G10,(((Lists!J$24-$AA10)-MOD((Lists!J$24-$AA10),$Z10))-$Z10))&lt;=Lists!J$21)*(EDATE($G10,(((Lists!J$24-$AA10)-MOD((Lists!J$24-$AA10),$Z10))-$Z10))&lt;=$AB10)))))</f>
        <v>0</v>
      </c>
      <c r="R10" s="53" t="n">
        <f aca="false">IF(OR(N($E10)=0,$G10=""),0,$I10*IF($F10="Weekly",((Lists!K$21-MOD(Lists!K$21-$G10,7))&gt;=$G10)*((Lists!K$21-MOD(Lists!K$21-$G10,7))&lt;=$AB10),IF($F10="One-off",($G10&gt;Lists!K$23)*($G10&lt;=Lists!K$21),IF($F10="",0,(((Lists!K$24-$AA10)-MOD((Lists!K$24-$AA10),$Z10))&gt;=0)*(EDATE($G10,((Lists!K$24-$AA10)-MOD((Lists!K$24-$AA10),$Z10)))&gt;Lists!K$23)*(EDATE($G10,((Lists!K$24-$AA10)-MOD((Lists!K$24-$AA10),$Z10)))&lt;=Lists!K$21)*(EDATE($G10,((Lists!K$24-$AA10)-MOD((Lists!K$24-$AA10),$Z10)))&lt;=$AB10)+((((Lists!K$24-$AA10)-MOD((Lists!K$24-$AA10),$Z10))-$Z10)&gt;=0)*(EDATE($G10,(((Lists!K$24-$AA10)-MOD((Lists!K$24-$AA10),$Z10))-$Z10))&gt;Lists!K$23)*(EDATE($G10,(((Lists!K$24-$AA10)-MOD((Lists!K$24-$AA10),$Z10))-$Z10))&lt;=Lists!K$21)*(EDATE($G10,(((Lists!K$24-$AA10)-MOD((Lists!K$24-$AA10),$Z10))-$Z10))&lt;=$AB10)))))</f>
        <v>0</v>
      </c>
      <c r="S10" s="53" t="n">
        <f aca="false">IF(OR(N($E10)=0,$G10=""),0,$I10*IF($F10="Weekly",((Lists!L$21-MOD(Lists!L$21-$G10,7))&gt;=$G10)*((Lists!L$21-MOD(Lists!L$21-$G10,7))&lt;=$AB10),IF($F10="One-off",($G10&gt;Lists!L$23)*($G10&lt;=Lists!L$21),IF($F10="",0,(((Lists!L$24-$AA10)-MOD((Lists!L$24-$AA10),$Z10))&gt;=0)*(EDATE($G10,((Lists!L$24-$AA10)-MOD((Lists!L$24-$AA10),$Z10)))&gt;Lists!L$23)*(EDATE($G10,((Lists!L$24-$AA10)-MOD((Lists!L$24-$AA10),$Z10)))&lt;=Lists!L$21)*(EDATE($G10,((Lists!L$24-$AA10)-MOD((Lists!L$24-$AA10),$Z10)))&lt;=$AB10)+((((Lists!L$24-$AA10)-MOD((Lists!L$24-$AA10),$Z10))-$Z10)&gt;=0)*(EDATE($G10,(((Lists!L$24-$AA10)-MOD((Lists!L$24-$AA10),$Z10))-$Z10))&gt;Lists!L$23)*(EDATE($G10,(((Lists!L$24-$AA10)-MOD((Lists!L$24-$AA10),$Z10))-$Z10))&lt;=Lists!L$21)*(EDATE($G10,(((Lists!L$24-$AA10)-MOD((Lists!L$24-$AA10),$Z10))-$Z10))&lt;=$AB10)))))</f>
        <v>4200</v>
      </c>
      <c r="T10" s="53" t="n">
        <f aca="false">IF(OR(N($E10)=0,$G10=""),0,$I10*IF($F10="Weekly",((Lists!M$21-MOD(Lists!M$21-$G10,7))&gt;=$G10)*((Lists!M$21-MOD(Lists!M$21-$G10,7))&lt;=$AB10),IF($F10="One-off",($G10&gt;Lists!M$23)*($G10&lt;=Lists!M$21),IF($F10="",0,(((Lists!M$24-$AA10)-MOD((Lists!M$24-$AA10),$Z10))&gt;=0)*(EDATE($G10,((Lists!M$24-$AA10)-MOD((Lists!M$24-$AA10),$Z10)))&gt;Lists!M$23)*(EDATE($G10,((Lists!M$24-$AA10)-MOD((Lists!M$24-$AA10),$Z10)))&lt;=Lists!M$21)*(EDATE($G10,((Lists!M$24-$AA10)-MOD((Lists!M$24-$AA10),$Z10)))&lt;=$AB10)+((((Lists!M$24-$AA10)-MOD((Lists!M$24-$AA10),$Z10))-$Z10)&gt;=0)*(EDATE($G10,(((Lists!M$24-$AA10)-MOD((Lists!M$24-$AA10),$Z10))-$Z10))&gt;Lists!M$23)*(EDATE($G10,(((Lists!M$24-$AA10)-MOD((Lists!M$24-$AA10),$Z10))-$Z10))&lt;=Lists!M$21)*(EDATE($G10,(((Lists!M$24-$AA10)-MOD((Lists!M$24-$AA10),$Z10))-$Z10))&lt;=$AB10)))))</f>
        <v>0</v>
      </c>
      <c r="U10" s="53" t="n">
        <f aca="false">IF(OR(N($E10)=0,$G10=""),0,$I10*IF($F10="Weekly",((Lists!N$21-MOD(Lists!N$21-$G10,7))&gt;=$G10)*((Lists!N$21-MOD(Lists!N$21-$G10,7))&lt;=$AB10),IF($F10="One-off",($G10&gt;Lists!N$23)*($G10&lt;=Lists!N$21),IF($F10="",0,(((Lists!N$24-$AA10)-MOD((Lists!N$24-$AA10),$Z10))&gt;=0)*(EDATE($G10,((Lists!N$24-$AA10)-MOD((Lists!N$24-$AA10),$Z10)))&gt;Lists!N$23)*(EDATE($G10,((Lists!N$24-$AA10)-MOD((Lists!N$24-$AA10),$Z10)))&lt;=Lists!N$21)*(EDATE($G10,((Lists!N$24-$AA10)-MOD((Lists!N$24-$AA10),$Z10)))&lt;=$AB10)+((((Lists!N$24-$AA10)-MOD((Lists!N$24-$AA10),$Z10))-$Z10)&gt;=0)*(EDATE($G10,(((Lists!N$24-$AA10)-MOD((Lists!N$24-$AA10),$Z10))-$Z10))&gt;Lists!N$23)*(EDATE($G10,(((Lists!N$24-$AA10)-MOD((Lists!N$24-$AA10),$Z10))-$Z10))&lt;=Lists!N$21)*(EDATE($G10,(((Lists!N$24-$AA10)-MOD((Lists!N$24-$AA10),$Z10))-$Z10))&lt;=$AB10)))))</f>
        <v>0</v>
      </c>
      <c r="V10" s="53" t="n">
        <f aca="false">IF(OR(N($E10)=0,$G10=""),0,$I10*IF($F10="Weekly",((Lists!O$21-MOD(Lists!O$21-$G10,7))&gt;=$G10)*((Lists!O$21-MOD(Lists!O$21-$G10,7))&lt;=$AB10),IF($F10="One-off",($G10&gt;Lists!O$23)*($G10&lt;=Lists!O$21),IF($F10="",0,(((Lists!O$24-$AA10)-MOD((Lists!O$24-$AA10),$Z10))&gt;=0)*(EDATE($G10,((Lists!O$24-$AA10)-MOD((Lists!O$24-$AA10),$Z10)))&gt;Lists!O$23)*(EDATE($G10,((Lists!O$24-$AA10)-MOD((Lists!O$24-$AA10),$Z10)))&lt;=Lists!O$21)*(EDATE($G10,((Lists!O$24-$AA10)-MOD((Lists!O$24-$AA10),$Z10)))&lt;=$AB10)+((((Lists!O$24-$AA10)-MOD((Lists!O$24-$AA10),$Z10))-$Z10)&gt;=0)*(EDATE($G10,(((Lists!O$24-$AA10)-MOD((Lists!O$24-$AA10),$Z10))-$Z10))&gt;Lists!O$23)*(EDATE($G10,(((Lists!O$24-$AA10)-MOD((Lists!O$24-$AA10),$Z10))-$Z10))&lt;=Lists!O$21)*(EDATE($G10,(((Lists!O$24-$AA10)-MOD((Lists!O$24-$AA10),$Z10))-$Z10))&lt;=$AB10)))))</f>
        <v>0</v>
      </c>
      <c r="W10" s="46" t="n">
        <f aca="false">SUM(J10:V10)</f>
        <v>12600</v>
      </c>
      <c r="X10" s="2"/>
      <c r="Y10" s="104" t="n">
        <f aca="false">1</f>
        <v>1</v>
      </c>
      <c r="Z10" s="94" t="n">
        <f aca="false">IF(F10="Quarterly",3,IF(F10="Annually",12,1))</f>
        <v>1</v>
      </c>
      <c r="AA10" s="94" t="n">
        <f aca="false">IF(G10="",0,YEAR(G10)*12+MONTH(G10))</f>
        <v>24323</v>
      </c>
      <c r="AB10" s="93" t="n">
        <f aca="false">IF(H10="",2958465,H10)</f>
        <v>2958465</v>
      </c>
      <c r="AC10" s="95" t="str">
        <f aca="false">IF(C10="","Other finance",C10)</f>
        <v>Hire purchase / lease</v>
      </c>
    </row>
    <row r="11" customFormat="false" ht="15" hidden="false" customHeight="false" outlineLevel="0" collapsed="false">
      <c r="A11" s="87" t="n">
        <v>3</v>
      </c>
      <c r="B11" s="55"/>
      <c r="C11" s="55"/>
      <c r="D11" s="2"/>
      <c r="E11" s="88"/>
      <c r="F11" s="58"/>
      <c r="G11" s="90"/>
      <c r="H11" s="90"/>
      <c r="I11" s="92" t="n">
        <f aca="false">N(E11)*Y11</f>
        <v>0</v>
      </c>
      <c r="J11" s="53" t="n">
        <f aca="false">IF(OR(N($E11)=0,$G11=""),0,$I11*IF($F11="Weekly",((Lists!C$21-MOD(Lists!C$21-$G11,7))&gt;=$G11)*((Lists!C$21-MOD(Lists!C$21-$G11,7))&lt;=$AB11),IF($F11="One-off",($G11&gt;Lists!C$23)*($G11&lt;=Lists!C$21),IF($F11="",0,(((Lists!C$24-$AA11)-MOD((Lists!C$24-$AA11),$Z11))&gt;=0)*(EDATE($G11,((Lists!C$24-$AA11)-MOD((Lists!C$24-$AA11),$Z11)))&gt;Lists!C$23)*(EDATE($G11,((Lists!C$24-$AA11)-MOD((Lists!C$24-$AA11),$Z11)))&lt;=Lists!C$21)*(EDATE($G11,((Lists!C$24-$AA11)-MOD((Lists!C$24-$AA11),$Z11)))&lt;=$AB11)+((((Lists!C$24-$AA11)-MOD((Lists!C$24-$AA11),$Z11))-$Z11)&gt;=0)*(EDATE($G11,(((Lists!C$24-$AA11)-MOD((Lists!C$24-$AA11),$Z11))-$Z11))&gt;Lists!C$23)*(EDATE($G11,(((Lists!C$24-$AA11)-MOD((Lists!C$24-$AA11),$Z11))-$Z11))&lt;=Lists!C$21)*(EDATE($G11,(((Lists!C$24-$AA11)-MOD((Lists!C$24-$AA11),$Z11))-$Z11))&lt;=$AB11)))))</f>
        <v>0</v>
      </c>
      <c r="K11" s="53" t="n">
        <f aca="false">IF(OR(N($E11)=0,$G11=""),0,$I11*IF($F11="Weekly",((Lists!D$21-MOD(Lists!D$21-$G11,7))&gt;=$G11)*((Lists!D$21-MOD(Lists!D$21-$G11,7))&lt;=$AB11),IF($F11="One-off",($G11&gt;Lists!D$23)*($G11&lt;=Lists!D$21),IF($F11="",0,(((Lists!D$24-$AA11)-MOD((Lists!D$24-$AA11),$Z11))&gt;=0)*(EDATE($G11,((Lists!D$24-$AA11)-MOD((Lists!D$24-$AA11),$Z11)))&gt;Lists!D$23)*(EDATE($G11,((Lists!D$24-$AA11)-MOD((Lists!D$24-$AA11),$Z11)))&lt;=Lists!D$21)*(EDATE($G11,((Lists!D$24-$AA11)-MOD((Lists!D$24-$AA11),$Z11)))&lt;=$AB11)+((((Lists!D$24-$AA11)-MOD((Lists!D$24-$AA11),$Z11))-$Z11)&gt;=0)*(EDATE($G11,(((Lists!D$24-$AA11)-MOD((Lists!D$24-$AA11),$Z11))-$Z11))&gt;Lists!D$23)*(EDATE($G11,(((Lists!D$24-$AA11)-MOD((Lists!D$24-$AA11),$Z11))-$Z11))&lt;=Lists!D$21)*(EDATE($G11,(((Lists!D$24-$AA11)-MOD((Lists!D$24-$AA11),$Z11))-$Z11))&lt;=$AB11)))))</f>
        <v>0</v>
      </c>
      <c r="L11" s="53" t="n">
        <f aca="false">IF(OR(N($E11)=0,$G11=""),0,$I11*IF($F11="Weekly",((Lists!E$21-MOD(Lists!E$21-$G11,7))&gt;=$G11)*((Lists!E$21-MOD(Lists!E$21-$G11,7))&lt;=$AB11),IF($F11="One-off",($G11&gt;Lists!E$23)*($G11&lt;=Lists!E$21),IF($F11="",0,(((Lists!E$24-$AA11)-MOD((Lists!E$24-$AA11),$Z11))&gt;=0)*(EDATE($G11,((Lists!E$24-$AA11)-MOD((Lists!E$24-$AA11),$Z11)))&gt;Lists!E$23)*(EDATE($G11,((Lists!E$24-$AA11)-MOD((Lists!E$24-$AA11),$Z11)))&lt;=Lists!E$21)*(EDATE($G11,((Lists!E$24-$AA11)-MOD((Lists!E$24-$AA11),$Z11)))&lt;=$AB11)+((((Lists!E$24-$AA11)-MOD((Lists!E$24-$AA11),$Z11))-$Z11)&gt;=0)*(EDATE($G11,(((Lists!E$24-$AA11)-MOD((Lists!E$24-$AA11),$Z11))-$Z11))&gt;Lists!E$23)*(EDATE($G11,(((Lists!E$24-$AA11)-MOD((Lists!E$24-$AA11),$Z11))-$Z11))&lt;=Lists!E$21)*(EDATE($G11,(((Lists!E$24-$AA11)-MOD((Lists!E$24-$AA11),$Z11))-$Z11))&lt;=$AB11)))))</f>
        <v>0</v>
      </c>
      <c r="M11" s="53" t="n">
        <f aca="false">IF(OR(N($E11)=0,$G11=""),0,$I11*IF($F11="Weekly",((Lists!F$21-MOD(Lists!F$21-$G11,7))&gt;=$G11)*((Lists!F$21-MOD(Lists!F$21-$G11,7))&lt;=$AB11),IF($F11="One-off",($G11&gt;Lists!F$23)*($G11&lt;=Lists!F$21),IF($F11="",0,(((Lists!F$24-$AA11)-MOD((Lists!F$24-$AA11),$Z11))&gt;=0)*(EDATE($G11,((Lists!F$24-$AA11)-MOD((Lists!F$24-$AA11),$Z11)))&gt;Lists!F$23)*(EDATE($G11,((Lists!F$24-$AA11)-MOD((Lists!F$24-$AA11),$Z11)))&lt;=Lists!F$21)*(EDATE($G11,((Lists!F$24-$AA11)-MOD((Lists!F$24-$AA11),$Z11)))&lt;=$AB11)+((((Lists!F$24-$AA11)-MOD((Lists!F$24-$AA11),$Z11))-$Z11)&gt;=0)*(EDATE($G11,(((Lists!F$24-$AA11)-MOD((Lists!F$24-$AA11),$Z11))-$Z11))&gt;Lists!F$23)*(EDATE($G11,(((Lists!F$24-$AA11)-MOD((Lists!F$24-$AA11),$Z11))-$Z11))&lt;=Lists!F$21)*(EDATE($G11,(((Lists!F$24-$AA11)-MOD((Lists!F$24-$AA11),$Z11))-$Z11))&lt;=$AB11)))))</f>
        <v>0</v>
      </c>
      <c r="N11" s="53" t="n">
        <f aca="false">IF(OR(N($E11)=0,$G11=""),0,$I11*IF($F11="Weekly",((Lists!G$21-MOD(Lists!G$21-$G11,7))&gt;=$G11)*((Lists!G$21-MOD(Lists!G$21-$G11,7))&lt;=$AB11),IF($F11="One-off",($G11&gt;Lists!G$23)*($G11&lt;=Lists!G$21),IF($F11="",0,(((Lists!G$24-$AA11)-MOD((Lists!G$24-$AA11),$Z11))&gt;=0)*(EDATE($G11,((Lists!G$24-$AA11)-MOD((Lists!G$24-$AA11),$Z11)))&gt;Lists!G$23)*(EDATE($G11,((Lists!G$24-$AA11)-MOD((Lists!G$24-$AA11),$Z11)))&lt;=Lists!G$21)*(EDATE($G11,((Lists!G$24-$AA11)-MOD((Lists!G$24-$AA11),$Z11)))&lt;=$AB11)+((((Lists!G$24-$AA11)-MOD((Lists!G$24-$AA11),$Z11))-$Z11)&gt;=0)*(EDATE($G11,(((Lists!G$24-$AA11)-MOD((Lists!G$24-$AA11),$Z11))-$Z11))&gt;Lists!G$23)*(EDATE($G11,(((Lists!G$24-$AA11)-MOD((Lists!G$24-$AA11),$Z11))-$Z11))&lt;=Lists!G$21)*(EDATE($G11,(((Lists!G$24-$AA11)-MOD((Lists!G$24-$AA11),$Z11))-$Z11))&lt;=$AB11)))))</f>
        <v>0</v>
      </c>
      <c r="O11" s="53" t="n">
        <f aca="false">IF(OR(N($E11)=0,$G11=""),0,$I11*IF($F11="Weekly",((Lists!H$21-MOD(Lists!H$21-$G11,7))&gt;=$G11)*((Lists!H$21-MOD(Lists!H$21-$G11,7))&lt;=$AB11),IF($F11="One-off",($G11&gt;Lists!H$23)*($G11&lt;=Lists!H$21),IF($F11="",0,(((Lists!H$24-$AA11)-MOD((Lists!H$24-$AA11),$Z11))&gt;=0)*(EDATE($G11,((Lists!H$24-$AA11)-MOD((Lists!H$24-$AA11),$Z11)))&gt;Lists!H$23)*(EDATE($G11,((Lists!H$24-$AA11)-MOD((Lists!H$24-$AA11),$Z11)))&lt;=Lists!H$21)*(EDATE($G11,((Lists!H$24-$AA11)-MOD((Lists!H$24-$AA11),$Z11)))&lt;=$AB11)+((((Lists!H$24-$AA11)-MOD((Lists!H$24-$AA11),$Z11))-$Z11)&gt;=0)*(EDATE($G11,(((Lists!H$24-$AA11)-MOD((Lists!H$24-$AA11),$Z11))-$Z11))&gt;Lists!H$23)*(EDATE($G11,(((Lists!H$24-$AA11)-MOD((Lists!H$24-$AA11),$Z11))-$Z11))&lt;=Lists!H$21)*(EDATE($G11,(((Lists!H$24-$AA11)-MOD((Lists!H$24-$AA11),$Z11))-$Z11))&lt;=$AB11)))))</f>
        <v>0</v>
      </c>
      <c r="P11" s="53" t="n">
        <f aca="false">IF(OR(N($E11)=0,$G11=""),0,$I11*IF($F11="Weekly",((Lists!I$21-MOD(Lists!I$21-$G11,7))&gt;=$G11)*((Lists!I$21-MOD(Lists!I$21-$G11,7))&lt;=$AB11),IF($F11="One-off",($G11&gt;Lists!I$23)*($G11&lt;=Lists!I$21),IF($F11="",0,(((Lists!I$24-$AA11)-MOD((Lists!I$24-$AA11),$Z11))&gt;=0)*(EDATE($G11,((Lists!I$24-$AA11)-MOD((Lists!I$24-$AA11),$Z11)))&gt;Lists!I$23)*(EDATE($G11,((Lists!I$24-$AA11)-MOD((Lists!I$24-$AA11),$Z11)))&lt;=Lists!I$21)*(EDATE($G11,((Lists!I$24-$AA11)-MOD((Lists!I$24-$AA11),$Z11)))&lt;=$AB11)+((((Lists!I$24-$AA11)-MOD((Lists!I$24-$AA11),$Z11))-$Z11)&gt;=0)*(EDATE($G11,(((Lists!I$24-$AA11)-MOD((Lists!I$24-$AA11),$Z11))-$Z11))&gt;Lists!I$23)*(EDATE($G11,(((Lists!I$24-$AA11)-MOD((Lists!I$24-$AA11),$Z11))-$Z11))&lt;=Lists!I$21)*(EDATE($G11,(((Lists!I$24-$AA11)-MOD((Lists!I$24-$AA11),$Z11))-$Z11))&lt;=$AB11)))))</f>
        <v>0</v>
      </c>
      <c r="Q11" s="53" t="n">
        <f aca="false">IF(OR(N($E11)=0,$G11=""),0,$I11*IF($F11="Weekly",((Lists!J$21-MOD(Lists!J$21-$G11,7))&gt;=$G11)*((Lists!J$21-MOD(Lists!J$21-$G11,7))&lt;=$AB11),IF($F11="One-off",($G11&gt;Lists!J$23)*($G11&lt;=Lists!J$21),IF($F11="",0,(((Lists!J$24-$AA11)-MOD((Lists!J$24-$AA11),$Z11))&gt;=0)*(EDATE($G11,((Lists!J$24-$AA11)-MOD((Lists!J$24-$AA11),$Z11)))&gt;Lists!J$23)*(EDATE($G11,((Lists!J$24-$AA11)-MOD((Lists!J$24-$AA11),$Z11)))&lt;=Lists!J$21)*(EDATE($G11,((Lists!J$24-$AA11)-MOD((Lists!J$24-$AA11),$Z11)))&lt;=$AB11)+((((Lists!J$24-$AA11)-MOD((Lists!J$24-$AA11),$Z11))-$Z11)&gt;=0)*(EDATE($G11,(((Lists!J$24-$AA11)-MOD((Lists!J$24-$AA11),$Z11))-$Z11))&gt;Lists!J$23)*(EDATE($G11,(((Lists!J$24-$AA11)-MOD((Lists!J$24-$AA11),$Z11))-$Z11))&lt;=Lists!J$21)*(EDATE($G11,(((Lists!J$24-$AA11)-MOD((Lists!J$24-$AA11),$Z11))-$Z11))&lt;=$AB11)))))</f>
        <v>0</v>
      </c>
      <c r="R11" s="53" t="n">
        <f aca="false">IF(OR(N($E11)=0,$G11=""),0,$I11*IF($F11="Weekly",((Lists!K$21-MOD(Lists!K$21-$G11,7))&gt;=$G11)*((Lists!K$21-MOD(Lists!K$21-$G11,7))&lt;=$AB11),IF($F11="One-off",($G11&gt;Lists!K$23)*($G11&lt;=Lists!K$21),IF($F11="",0,(((Lists!K$24-$AA11)-MOD((Lists!K$24-$AA11),$Z11))&gt;=0)*(EDATE($G11,((Lists!K$24-$AA11)-MOD((Lists!K$24-$AA11),$Z11)))&gt;Lists!K$23)*(EDATE($G11,((Lists!K$24-$AA11)-MOD((Lists!K$24-$AA11),$Z11)))&lt;=Lists!K$21)*(EDATE($G11,((Lists!K$24-$AA11)-MOD((Lists!K$24-$AA11),$Z11)))&lt;=$AB11)+((((Lists!K$24-$AA11)-MOD((Lists!K$24-$AA11),$Z11))-$Z11)&gt;=0)*(EDATE($G11,(((Lists!K$24-$AA11)-MOD((Lists!K$24-$AA11),$Z11))-$Z11))&gt;Lists!K$23)*(EDATE($G11,(((Lists!K$24-$AA11)-MOD((Lists!K$24-$AA11),$Z11))-$Z11))&lt;=Lists!K$21)*(EDATE($G11,(((Lists!K$24-$AA11)-MOD((Lists!K$24-$AA11),$Z11))-$Z11))&lt;=$AB11)))))</f>
        <v>0</v>
      </c>
      <c r="S11" s="53" t="n">
        <f aca="false">IF(OR(N($E11)=0,$G11=""),0,$I11*IF($F11="Weekly",((Lists!L$21-MOD(Lists!L$21-$G11,7))&gt;=$G11)*((Lists!L$21-MOD(Lists!L$21-$G11,7))&lt;=$AB11),IF($F11="One-off",($G11&gt;Lists!L$23)*($G11&lt;=Lists!L$21),IF($F11="",0,(((Lists!L$24-$AA11)-MOD((Lists!L$24-$AA11),$Z11))&gt;=0)*(EDATE($G11,((Lists!L$24-$AA11)-MOD((Lists!L$24-$AA11),$Z11)))&gt;Lists!L$23)*(EDATE($G11,((Lists!L$24-$AA11)-MOD((Lists!L$24-$AA11),$Z11)))&lt;=Lists!L$21)*(EDATE($G11,((Lists!L$24-$AA11)-MOD((Lists!L$24-$AA11),$Z11)))&lt;=$AB11)+((((Lists!L$24-$AA11)-MOD((Lists!L$24-$AA11),$Z11))-$Z11)&gt;=0)*(EDATE($G11,(((Lists!L$24-$AA11)-MOD((Lists!L$24-$AA11),$Z11))-$Z11))&gt;Lists!L$23)*(EDATE($G11,(((Lists!L$24-$AA11)-MOD((Lists!L$24-$AA11),$Z11))-$Z11))&lt;=Lists!L$21)*(EDATE($G11,(((Lists!L$24-$AA11)-MOD((Lists!L$24-$AA11),$Z11))-$Z11))&lt;=$AB11)))))</f>
        <v>0</v>
      </c>
      <c r="T11" s="53" t="n">
        <f aca="false">IF(OR(N($E11)=0,$G11=""),0,$I11*IF($F11="Weekly",((Lists!M$21-MOD(Lists!M$21-$G11,7))&gt;=$G11)*((Lists!M$21-MOD(Lists!M$21-$G11,7))&lt;=$AB11),IF($F11="One-off",($G11&gt;Lists!M$23)*($G11&lt;=Lists!M$21),IF($F11="",0,(((Lists!M$24-$AA11)-MOD((Lists!M$24-$AA11),$Z11))&gt;=0)*(EDATE($G11,((Lists!M$24-$AA11)-MOD((Lists!M$24-$AA11),$Z11)))&gt;Lists!M$23)*(EDATE($G11,((Lists!M$24-$AA11)-MOD((Lists!M$24-$AA11),$Z11)))&lt;=Lists!M$21)*(EDATE($G11,((Lists!M$24-$AA11)-MOD((Lists!M$24-$AA11),$Z11)))&lt;=$AB11)+((((Lists!M$24-$AA11)-MOD((Lists!M$24-$AA11),$Z11))-$Z11)&gt;=0)*(EDATE($G11,(((Lists!M$24-$AA11)-MOD((Lists!M$24-$AA11),$Z11))-$Z11))&gt;Lists!M$23)*(EDATE($G11,(((Lists!M$24-$AA11)-MOD((Lists!M$24-$AA11),$Z11))-$Z11))&lt;=Lists!M$21)*(EDATE($G11,(((Lists!M$24-$AA11)-MOD((Lists!M$24-$AA11),$Z11))-$Z11))&lt;=$AB11)))))</f>
        <v>0</v>
      </c>
      <c r="U11" s="53" t="n">
        <f aca="false">IF(OR(N($E11)=0,$G11=""),0,$I11*IF($F11="Weekly",((Lists!N$21-MOD(Lists!N$21-$G11,7))&gt;=$G11)*((Lists!N$21-MOD(Lists!N$21-$G11,7))&lt;=$AB11),IF($F11="One-off",($G11&gt;Lists!N$23)*($G11&lt;=Lists!N$21),IF($F11="",0,(((Lists!N$24-$AA11)-MOD((Lists!N$24-$AA11),$Z11))&gt;=0)*(EDATE($G11,((Lists!N$24-$AA11)-MOD((Lists!N$24-$AA11),$Z11)))&gt;Lists!N$23)*(EDATE($G11,((Lists!N$24-$AA11)-MOD((Lists!N$24-$AA11),$Z11)))&lt;=Lists!N$21)*(EDATE($G11,((Lists!N$24-$AA11)-MOD((Lists!N$24-$AA11),$Z11)))&lt;=$AB11)+((((Lists!N$24-$AA11)-MOD((Lists!N$24-$AA11),$Z11))-$Z11)&gt;=0)*(EDATE($G11,(((Lists!N$24-$AA11)-MOD((Lists!N$24-$AA11),$Z11))-$Z11))&gt;Lists!N$23)*(EDATE($G11,(((Lists!N$24-$AA11)-MOD((Lists!N$24-$AA11),$Z11))-$Z11))&lt;=Lists!N$21)*(EDATE($G11,(((Lists!N$24-$AA11)-MOD((Lists!N$24-$AA11),$Z11))-$Z11))&lt;=$AB11)))))</f>
        <v>0</v>
      </c>
      <c r="V11" s="53" t="n">
        <f aca="false">IF(OR(N($E11)=0,$G11=""),0,$I11*IF($F11="Weekly",((Lists!O$21-MOD(Lists!O$21-$G11,7))&gt;=$G11)*((Lists!O$21-MOD(Lists!O$21-$G11,7))&lt;=$AB11),IF($F11="One-off",($G11&gt;Lists!O$23)*($G11&lt;=Lists!O$21),IF($F11="",0,(((Lists!O$24-$AA11)-MOD((Lists!O$24-$AA11),$Z11))&gt;=0)*(EDATE($G11,((Lists!O$24-$AA11)-MOD((Lists!O$24-$AA11),$Z11)))&gt;Lists!O$23)*(EDATE($G11,((Lists!O$24-$AA11)-MOD((Lists!O$24-$AA11),$Z11)))&lt;=Lists!O$21)*(EDATE($G11,((Lists!O$24-$AA11)-MOD((Lists!O$24-$AA11),$Z11)))&lt;=$AB11)+((((Lists!O$24-$AA11)-MOD((Lists!O$24-$AA11),$Z11))-$Z11)&gt;=0)*(EDATE($G11,(((Lists!O$24-$AA11)-MOD((Lists!O$24-$AA11),$Z11))-$Z11))&gt;Lists!O$23)*(EDATE($G11,(((Lists!O$24-$AA11)-MOD((Lists!O$24-$AA11),$Z11))-$Z11))&lt;=Lists!O$21)*(EDATE($G11,(((Lists!O$24-$AA11)-MOD((Lists!O$24-$AA11),$Z11))-$Z11))&lt;=$AB11)))))</f>
        <v>0</v>
      </c>
      <c r="W11" s="46" t="n">
        <f aca="false">SUM(J11:V11)</f>
        <v>0</v>
      </c>
      <c r="X11" s="2"/>
      <c r="Y11" s="104" t="n">
        <f aca="false">1</f>
        <v>1</v>
      </c>
      <c r="Z11" s="94" t="n">
        <f aca="false">IF(F11="Quarterly",3,IF(F11="Annually",12,1))</f>
        <v>1</v>
      </c>
      <c r="AA11" s="94" t="n">
        <f aca="false">IF(G11="",0,YEAR(G11)*12+MONTH(G11))</f>
        <v>0</v>
      </c>
      <c r="AB11" s="93" t="n">
        <f aca="false">IF(H11="",2958465,H11)</f>
        <v>2958465</v>
      </c>
      <c r="AC11" s="95" t="str">
        <f aca="false">IF(C11="","Other finance",C11)</f>
        <v>Other finance</v>
      </c>
    </row>
    <row r="12" customFormat="false" ht="15" hidden="false" customHeight="false" outlineLevel="0" collapsed="false">
      <c r="A12" s="87" t="n">
        <v>4</v>
      </c>
      <c r="B12" s="55"/>
      <c r="C12" s="55"/>
      <c r="D12" s="2"/>
      <c r="E12" s="88"/>
      <c r="F12" s="58"/>
      <c r="G12" s="90"/>
      <c r="H12" s="90"/>
      <c r="I12" s="92" t="n">
        <f aca="false">N(E12)*Y12</f>
        <v>0</v>
      </c>
      <c r="J12" s="53" t="n">
        <f aca="false">IF(OR(N($E12)=0,$G12=""),0,$I12*IF($F12="Weekly",((Lists!C$21-MOD(Lists!C$21-$G12,7))&gt;=$G12)*((Lists!C$21-MOD(Lists!C$21-$G12,7))&lt;=$AB12),IF($F12="One-off",($G12&gt;Lists!C$23)*($G12&lt;=Lists!C$21),IF($F12="",0,(((Lists!C$24-$AA12)-MOD((Lists!C$24-$AA12),$Z12))&gt;=0)*(EDATE($G12,((Lists!C$24-$AA12)-MOD((Lists!C$24-$AA12),$Z12)))&gt;Lists!C$23)*(EDATE($G12,((Lists!C$24-$AA12)-MOD((Lists!C$24-$AA12),$Z12)))&lt;=Lists!C$21)*(EDATE($G12,((Lists!C$24-$AA12)-MOD((Lists!C$24-$AA12),$Z12)))&lt;=$AB12)+((((Lists!C$24-$AA12)-MOD((Lists!C$24-$AA12),$Z12))-$Z12)&gt;=0)*(EDATE($G12,(((Lists!C$24-$AA12)-MOD((Lists!C$24-$AA12),$Z12))-$Z12))&gt;Lists!C$23)*(EDATE($G12,(((Lists!C$24-$AA12)-MOD((Lists!C$24-$AA12),$Z12))-$Z12))&lt;=Lists!C$21)*(EDATE($G12,(((Lists!C$24-$AA12)-MOD((Lists!C$24-$AA12),$Z12))-$Z12))&lt;=$AB12)))))</f>
        <v>0</v>
      </c>
      <c r="K12" s="53" t="n">
        <f aca="false">IF(OR(N($E12)=0,$G12=""),0,$I12*IF($F12="Weekly",((Lists!D$21-MOD(Lists!D$21-$G12,7))&gt;=$G12)*((Lists!D$21-MOD(Lists!D$21-$G12,7))&lt;=$AB12),IF($F12="One-off",($G12&gt;Lists!D$23)*($G12&lt;=Lists!D$21),IF($F12="",0,(((Lists!D$24-$AA12)-MOD((Lists!D$24-$AA12),$Z12))&gt;=0)*(EDATE($G12,((Lists!D$24-$AA12)-MOD((Lists!D$24-$AA12),$Z12)))&gt;Lists!D$23)*(EDATE($G12,((Lists!D$24-$AA12)-MOD((Lists!D$24-$AA12),$Z12)))&lt;=Lists!D$21)*(EDATE($G12,((Lists!D$24-$AA12)-MOD((Lists!D$24-$AA12),$Z12)))&lt;=$AB12)+((((Lists!D$24-$AA12)-MOD((Lists!D$24-$AA12),$Z12))-$Z12)&gt;=0)*(EDATE($G12,(((Lists!D$24-$AA12)-MOD((Lists!D$24-$AA12),$Z12))-$Z12))&gt;Lists!D$23)*(EDATE($G12,(((Lists!D$24-$AA12)-MOD((Lists!D$24-$AA12),$Z12))-$Z12))&lt;=Lists!D$21)*(EDATE($G12,(((Lists!D$24-$AA12)-MOD((Lists!D$24-$AA12),$Z12))-$Z12))&lt;=$AB12)))))</f>
        <v>0</v>
      </c>
      <c r="L12" s="53" t="n">
        <f aca="false">IF(OR(N($E12)=0,$G12=""),0,$I12*IF($F12="Weekly",((Lists!E$21-MOD(Lists!E$21-$G12,7))&gt;=$G12)*((Lists!E$21-MOD(Lists!E$21-$G12,7))&lt;=$AB12),IF($F12="One-off",($G12&gt;Lists!E$23)*($G12&lt;=Lists!E$21),IF($F12="",0,(((Lists!E$24-$AA12)-MOD((Lists!E$24-$AA12),$Z12))&gt;=0)*(EDATE($G12,((Lists!E$24-$AA12)-MOD((Lists!E$24-$AA12),$Z12)))&gt;Lists!E$23)*(EDATE($G12,((Lists!E$24-$AA12)-MOD((Lists!E$24-$AA12),$Z12)))&lt;=Lists!E$21)*(EDATE($G12,((Lists!E$24-$AA12)-MOD((Lists!E$24-$AA12),$Z12)))&lt;=$AB12)+((((Lists!E$24-$AA12)-MOD((Lists!E$24-$AA12),$Z12))-$Z12)&gt;=0)*(EDATE($G12,(((Lists!E$24-$AA12)-MOD((Lists!E$24-$AA12),$Z12))-$Z12))&gt;Lists!E$23)*(EDATE($G12,(((Lists!E$24-$AA12)-MOD((Lists!E$24-$AA12),$Z12))-$Z12))&lt;=Lists!E$21)*(EDATE($G12,(((Lists!E$24-$AA12)-MOD((Lists!E$24-$AA12),$Z12))-$Z12))&lt;=$AB12)))))</f>
        <v>0</v>
      </c>
      <c r="M12" s="53" t="n">
        <f aca="false">IF(OR(N($E12)=0,$G12=""),0,$I12*IF($F12="Weekly",((Lists!F$21-MOD(Lists!F$21-$G12,7))&gt;=$G12)*((Lists!F$21-MOD(Lists!F$21-$G12,7))&lt;=$AB12),IF($F12="One-off",($G12&gt;Lists!F$23)*($G12&lt;=Lists!F$21),IF($F12="",0,(((Lists!F$24-$AA12)-MOD((Lists!F$24-$AA12),$Z12))&gt;=0)*(EDATE($G12,((Lists!F$24-$AA12)-MOD((Lists!F$24-$AA12),$Z12)))&gt;Lists!F$23)*(EDATE($G12,((Lists!F$24-$AA12)-MOD((Lists!F$24-$AA12),$Z12)))&lt;=Lists!F$21)*(EDATE($G12,((Lists!F$24-$AA12)-MOD((Lists!F$24-$AA12),$Z12)))&lt;=$AB12)+((((Lists!F$24-$AA12)-MOD((Lists!F$24-$AA12),$Z12))-$Z12)&gt;=0)*(EDATE($G12,(((Lists!F$24-$AA12)-MOD((Lists!F$24-$AA12),$Z12))-$Z12))&gt;Lists!F$23)*(EDATE($G12,(((Lists!F$24-$AA12)-MOD((Lists!F$24-$AA12),$Z12))-$Z12))&lt;=Lists!F$21)*(EDATE($G12,(((Lists!F$24-$AA12)-MOD((Lists!F$24-$AA12),$Z12))-$Z12))&lt;=$AB12)))))</f>
        <v>0</v>
      </c>
      <c r="N12" s="53" t="n">
        <f aca="false">IF(OR(N($E12)=0,$G12=""),0,$I12*IF($F12="Weekly",((Lists!G$21-MOD(Lists!G$21-$G12,7))&gt;=$G12)*((Lists!G$21-MOD(Lists!G$21-$G12,7))&lt;=$AB12),IF($F12="One-off",($G12&gt;Lists!G$23)*($G12&lt;=Lists!G$21),IF($F12="",0,(((Lists!G$24-$AA12)-MOD((Lists!G$24-$AA12),$Z12))&gt;=0)*(EDATE($G12,((Lists!G$24-$AA12)-MOD((Lists!G$24-$AA12),$Z12)))&gt;Lists!G$23)*(EDATE($G12,((Lists!G$24-$AA12)-MOD((Lists!G$24-$AA12),$Z12)))&lt;=Lists!G$21)*(EDATE($G12,((Lists!G$24-$AA12)-MOD((Lists!G$24-$AA12),$Z12)))&lt;=$AB12)+((((Lists!G$24-$AA12)-MOD((Lists!G$24-$AA12),$Z12))-$Z12)&gt;=0)*(EDATE($G12,(((Lists!G$24-$AA12)-MOD((Lists!G$24-$AA12),$Z12))-$Z12))&gt;Lists!G$23)*(EDATE($G12,(((Lists!G$24-$AA12)-MOD((Lists!G$24-$AA12),$Z12))-$Z12))&lt;=Lists!G$21)*(EDATE($G12,(((Lists!G$24-$AA12)-MOD((Lists!G$24-$AA12),$Z12))-$Z12))&lt;=$AB12)))))</f>
        <v>0</v>
      </c>
      <c r="O12" s="53" t="n">
        <f aca="false">IF(OR(N($E12)=0,$G12=""),0,$I12*IF($F12="Weekly",((Lists!H$21-MOD(Lists!H$21-$G12,7))&gt;=$G12)*((Lists!H$21-MOD(Lists!H$21-$G12,7))&lt;=$AB12),IF($F12="One-off",($G12&gt;Lists!H$23)*($G12&lt;=Lists!H$21),IF($F12="",0,(((Lists!H$24-$AA12)-MOD((Lists!H$24-$AA12),$Z12))&gt;=0)*(EDATE($G12,((Lists!H$24-$AA12)-MOD((Lists!H$24-$AA12),$Z12)))&gt;Lists!H$23)*(EDATE($G12,((Lists!H$24-$AA12)-MOD((Lists!H$24-$AA12),$Z12)))&lt;=Lists!H$21)*(EDATE($G12,((Lists!H$24-$AA12)-MOD((Lists!H$24-$AA12),$Z12)))&lt;=$AB12)+((((Lists!H$24-$AA12)-MOD((Lists!H$24-$AA12),$Z12))-$Z12)&gt;=0)*(EDATE($G12,(((Lists!H$24-$AA12)-MOD((Lists!H$24-$AA12),$Z12))-$Z12))&gt;Lists!H$23)*(EDATE($G12,(((Lists!H$24-$AA12)-MOD((Lists!H$24-$AA12),$Z12))-$Z12))&lt;=Lists!H$21)*(EDATE($G12,(((Lists!H$24-$AA12)-MOD((Lists!H$24-$AA12),$Z12))-$Z12))&lt;=$AB12)))))</f>
        <v>0</v>
      </c>
      <c r="P12" s="53" t="n">
        <f aca="false">IF(OR(N($E12)=0,$G12=""),0,$I12*IF($F12="Weekly",((Lists!I$21-MOD(Lists!I$21-$G12,7))&gt;=$G12)*((Lists!I$21-MOD(Lists!I$21-$G12,7))&lt;=$AB12),IF($F12="One-off",($G12&gt;Lists!I$23)*($G12&lt;=Lists!I$21),IF($F12="",0,(((Lists!I$24-$AA12)-MOD((Lists!I$24-$AA12),$Z12))&gt;=0)*(EDATE($G12,((Lists!I$24-$AA12)-MOD((Lists!I$24-$AA12),$Z12)))&gt;Lists!I$23)*(EDATE($G12,((Lists!I$24-$AA12)-MOD((Lists!I$24-$AA12),$Z12)))&lt;=Lists!I$21)*(EDATE($G12,((Lists!I$24-$AA12)-MOD((Lists!I$24-$AA12),$Z12)))&lt;=$AB12)+((((Lists!I$24-$AA12)-MOD((Lists!I$24-$AA12),$Z12))-$Z12)&gt;=0)*(EDATE($G12,(((Lists!I$24-$AA12)-MOD((Lists!I$24-$AA12),$Z12))-$Z12))&gt;Lists!I$23)*(EDATE($G12,(((Lists!I$24-$AA12)-MOD((Lists!I$24-$AA12),$Z12))-$Z12))&lt;=Lists!I$21)*(EDATE($G12,(((Lists!I$24-$AA12)-MOD((Lists!I$24-$AA12),$Z12))-$Z12))&lt;=$AB12)))))</f>
        <v>0</v>
      </c>
      <c r="Q12" s="53" t="n">
        <f aca="false">IF(OR(N($E12)=0,$G12=""),0,$I12*IF($F12="Weekly",((Lists!J$21-MOD(Lists!J$21-$G12,7))&gt;=$G12)*((Lists!J$21-MOD(Lists!J$21-$G12,7))&lt;=$AB12),IF($F12="One-off",($G12&gt;Lists!J$23)*($G12&lt;=Lists!J$21),IF($F12="",0,(((Lists!J$24-$AA12)-MOD((Lists!J$24-$AA12),$Z12))&gt;=0)*(EDATE($G12,((Lists!J$24-$AA12)-MOD((Lists!J$24-$AA12),$Z12)))&gt;Lists!J$23)*(EDATE($G12,((Lists!J$24-$AA12)-MOD((Lists!J$24-$AA12),$Z12)))&lt;=Lists!J$21)*(EDATE($G12,((Lists!J$24-$AA12)-MOD((Lists!J$24-$AA12),$Z12)))&lt;=$AB12)+((((Lists!J$24-$AA12)-MOD((Lists!J$24-$AA12),$Z12))-$Z12)&gt;=0)*(EDATE($G12,(((Lists!J$24-$AA12)-MOD((Lists!J$24-$AA12),$Z12))-$Z12))&gt;Lists!J$23)*(EDATE($G12,(((Lists!J$24-$AA12)-MOD((Lists!J$24-$AA12),$Z12))-$Z12))&lt;=Lists!J$21)*(EDATE($G12,(((Lists!J$24-$AA12)-MOD((Lists!J$24-$AA12),$Z12))-$Z12))&lt;=$AB12)))))</f>
        <v>0</v>
      </c>
      <c r="R12" s="53" t="n">
        <f aca="false">IF(OR(N($E12)=0,$G12=""),0,$I12*IF($F12="Weekly",((Lists!K$21-MOD(Lists!K$21-$G12,7))&gt;=$G12)*((Lists!K$21-MOD(Lists!K$21-$G12,7))&lt;=$AB12),IF($F12="One-off",($G12&gt;Lists!K$23)*($G12&lt;=Lists!K$21),IF($F12="",0,(((Lists!K$24-$AA12)-MOD((Lists!K$24-$AA12),$Z12))&gt;=0)*(EDATE($G12,((Lists!K$24-$AA12)-MOD((Lists!K$24-$AA12),$Z12)))&gt;Lists!K$23)*(EDATE($G12,((Lists!K$24-$AA12)-MOD((Lists!K$24-$AA12),$Z12)))&lt;=Lists!K$21)*(EDATE($G12,((Lists!K$24-$AA12)-MOD((Lists!K$24-$AA12),$Z12)))&lt;=$AB12)+((((Lists!K$24-$AA12)-MOD((Lists!K$24-$AA12),$Z12))-$Z12)&gt;=0)*(EDATE($G12,(((Lists!K$24-$AA12)-MOD((Lists!K$24-$AA12),$Z12))-$Z12))&gt;Lists!K$23)*(EDATE($G12,(((Lists!K$24-$AA12)-MOD((Lists!K$24-$AA12),$Z12))-$Z12))&lt;=Lists!K$21)*(EDATE($G12,(((Lists!K$24-$AA12)-MOD((Lists!K$24-$AA12),$Z12))-$Z12))&lt;=$AB12)))))</f>
        <v>0</v>
      </c>
      <c r="S12" s="53" t="n">
        <f aca="false">IF(OR(N($E12)=0,$G12=""),0,$I12*IF($F12="Weekly",((Lists!L$21-MOD(Lists!L$21-$G12,7))&gt;=$G12)*((Lists!L$21-MOD(Lists!L$21-$G12,7))&lt;=$AB12),IF($F12="One-off",($G12&gt;Lists!L$23)*($G12&lt;=Lists!L$21),IF($F12="",0,(((Lists!L$24-$AA12)-MOD((Lists!L$24-$AA12),$Z12))&gt;=0)*(EDATE($G12,((Lists!L$24-$AA12)-MOD((Lists!L$24-$AA12),$Z12)))&gt;Lists!L$23)*(EDATE($G12,((Lists!L$24-$AA12)-MOD((Lists!L$24-$AA12),$Z12)))&lt;=Lists!L$21)*(EDATE($G12,((Lists!L$24-$AA12)-MOD((Lists!L$24-$AA12),$Z12)))&lt;=$AB12)+((((Lists!L$24-$AA12)-MOD((Lists!L$24-$AA12),$Z12))-$Z12)&gt;=0)*(EDATE($G12,(((Lists!L$24-$AA12)-MOD((Lists!L$24-$AA12),$Z12))-$Z12))&gt;Lists!L$23)*(EDATE($G12,(((Lists!L$24-$AA12)-MOD((Lists!L$24-$AA12),$Z12))-$Z12))&lt;=Lists!L$21)*(EDATE($G12,(((Lists!L$24-$AA12)-MOD((Lists!L$24-$AA12),$Z12))-$Z12))&lt;=$AB12)))))</f>
        <v>0</v>
      </c>
      <c r="T12" s="53" t="n">
        <f aca="false">IF(OR(N($E12)=0,$G12=""),0,$I12*IF($F12="Weekly",((Lists!M$21-MOD(Lists!M$21-$G12,7))&gt;=$G12)*((Lists!M$21-MOD(Lists!M$21-$G12,7))&lt;=$AB12),IF($F12="One-off",($G12&gt;Lists!M$23)*($G12&lt;=Lists!M$21),IF($F12="",0,(((Lists!M$24-$AA12)-MOD((Lists!M$24-$AA12),$Z12))&gt;=0)*(EDATE($G12,((Lists!M$24-$AA12)-MOD((Lists!M$24-$AA12),$Z12)))&gt;Lists!M$23)*(EDATE($G12,((Lists!M$24-$AA12)-MOD((Lists!M$24-$AA12),$Z12)))&lt;=Lists!M$21)*(EDATE($G12,((Lists!M$24-$AA12)-MOD((Lists!M$24-$AA12),$Z12)))&lt;=$AB12)+((((Lists!M$24-$AA12)-MOD((Lists!M$24-$AA12),$Z12))-$Z12)&gt;=0)*(EDATE($G12,(((Lists!M$24-$AA12)-MOD((Lists!M$24-$AA12),$Z12))-$Z12))&gt;Lists!M$23)*(EDATE($G12,(((Lists!M$24-$AA12)-MOD((Lists!M$24-$AA12),$Z12))-$Z12))&lt;=Lists!M$21)*(EDATE($G12,(((Lists!M$24-$AA12)-MOD((Lists!M$24-$AA12),$Z12))-$Z12))&lt;=$AB12)))))</f>
        <v>0</v>
      </c>
      <c r="U12" s="53" t="n">
        <f aca="false">IF(OR(N($E12)=0,$G12=""),0,$I12*IF($F12="Weekly",((Lists!N$21-MOD(Lists!N$21-$G12,7))&gt;=$G12)*((Lists!N$21-MOD(Lists!N$21-$G12,7))&lt;=$AB12),IF($F12="One-off",($G12&gt;Lists!N$23)*($G12&lt;=Lists!N$21),IF($F12="",0,(((Lists!N$24-$AA12)-MOD((Lists!N$24-$AA12),$Z12))&gt;=0)*(EDATE($G12,((Lists!N$24-$AA12)-MOD((Lists!N$24-$AA12),$Z12)))&gt;Lists!N$23)*(EDATE($G12,((Lists!N$24-$AA12)-MOD((Lists!N$24-$AA12),$Z12)))&lt;=Lists!N$21)*(EDATE($G12,((Lists!N$24-$AA12)-MOD((Lists!N$24-$AA12),$Z12)))&lt;=$AB12)+((((Lists!N$24-$AA12)-MOD((Lists!N$24-$AA12),$Z12))-$Z12)&gt;=0)*(EDATE($G12,(((Lists!N$24-$AA12)-MOD((Lists!N$24-$AA12),$Z12))-$Z12))&gt;Lists!N$23)*(EDATE($G12,(((Lists!N$24-$AA12)-MOD((Lists!N$24-$AA12),$Z12))-$Z12))&lt;=Lists!N$21)*(EDATE($G12,(((Lists!N$24-$AA12)-MOD((Lists!N$24-$AA12),$Z12))-$Z12))&lt;=$AB12)))))</f>
        <v>0</v>
      </c>
      <c r="V12" s="53" t="n">
        <f aca="false">IF(OR(N($E12)=0,$G12=""),0,$I12*IF($F12="Weekly",((Lists!O$21-MOD(Lists!O$21-$G12,7))&gt;=$G12)*((Lists!O$21-MOD(Lists!O$21-$G12,7))&lt;=$AB12),IF($F12="One-off",($G12&gt;Lists!O$23)*($G12&lt;=Lists!O$21),IF($F12="",0,(((Lists!O$24-$AA12)-MOD((Lists!O$24-$AA12),$Z12))&gt;=0)*(EDATE($G12,((Lists!O$24-$AA12)-MOD((Lists!O$24-$AA12),$Z12)))&gt;Lists!O$23)*(EDATE($G12,((Lists!O$24-$AA12)-MOD((Lists!O$24-$AA12),$Z12)))&lt;=Lists!O$21)*(EDATE($G12,((Lists!O$24-$AA12)-MOD((Lists!O$24-$AA12),$Z12)))&lt;=$AB12)+((((Lists!O$24-$AA12)-MOD((Lists!O$24-$AA12),$Z12))-$Z12)&gt;=0)*(EDATE($G12,(((Lists!O$24-$AA12)-MOD((Lists!O$24-$AA12),$Z12))-$Z12))&gt;Lists!O$23)*(EDATE($G12,(((Lists!O$24-$AA12)-MOD((Lists!O$24-$AA12),$Z12))-$Z12))&lt;=Lists!O$21)*(EDATE($G12,(((Lists!O$24-$AA12)-MOD((Lists!O$24-$AA12),$Z12))-$Z12))&lt;=$AB12)))))</f>
        <v>0</v>
      </c>
      <c r="W12" s="46" t="n">
        <f aca="false">SUM(J12:V12)</f>
        <v>0</v>
      </c>
      <c r="X12" s="2"/>
      <c r="Y12" s="104" t="n">
        <f aca="false">1</f>
        <v>1</v>
      </c>
      <c r="Z12" s="94" t="n">
        <f aca="false">IF(F12="Quarterly",3,IF(F12="Annually",12,1))</f>
        <v>1</v>
      </c>
      <c r="AA12" s="94" t="n">
        <f aca="false">IF(G12="",0,YEAR(G12)*12+MONTH(G12))</f>
        <v>0</v>
      </c>
      <c r="AB12" s="93" t="n">
        <f aca="false">IF(H12="",2958465,H12)</f>
        <v>2958465</v>
      </c>
      <c r="AC12" s="95" t="str">
        <f aca="false">IF(C12="","Other finance",C12)</f>
        <v>Other finance</v>
      </c>
    </row>
    <row r="13" customFormat="false" ht="15" hidden="false" customHeight="false" outlineLevel="0" collapsed="false">
      <c r="A13" s="87" t="n">
        <v>5</v>
      </c>
      <c r="B13" s="55"/>
      <c r="C13" s="55"/>
      <c r="D13" s="2"/>
      <c r="E13" s="88"/>
      <c r="F13" s="58"/>
      <c r="G13" s="90"/>
      <c r="H13" s="90"/>
      <c r="I13" s="92" t="n">
        <f aca="false">N(E13)*Y13</f>
        <v>0</v>
      </c>
      <c r="J13" s="53" t="n">
        <f aca="false">IF(OR(N($E13)=0,$G13=""),0,$I13*IF($F13="Weekly",((Lists!C$21-MOD(Lists!C$21-$G13,7))&gt;=$G13)*((Lists!C$21-MOD(Lists!C$21-$G13,7))&lt;=$AB13),IF($F13="One-off",($G13&gt;Lists!C$23)*($G13&lt;=Lists!C$21),IF($F13="",0,(((Lists!C$24-$AA13)-MOD((Lists!C$24-$AA13),$Z13))&gt;=0)*(EDATE($G13,((Lists!C$24-$AA13)-MOD((Lists!C$24-$AA13),$Z13)))&gt;Lists!C$23)*(EDATE($G13,((Lists!C$24-$AA13)-MOD((Lists!C$24-$AA13),$Z13)))&lt;=Lists!C$21)*(EDATE($G13,((Lists!C$24-$AA13)-MOD((Lists!C$24-$AA13),$Z13)))&lt;=$AB13)+((((Lists!C$24-$AA13)-MOD((Lists!C$24-$AA13),$Z13))-$Z13)&gt;=0)*(EDATE($G13,(((Lists!C$24-$AA13)-MOD((Lists!C$24-$AA13),$Z13))-$Z13))&gt;Lists!C$23)*(EDATE($G13,(((Lists!C$24-$AA13)-MOD((Lists!C$24-$AA13),$Z13))-$Z13))&lt;=Lists!C$21)*(EDATE($G13,(((Lists!C$24-$AA13)-MOD((Lists!C$24-$AA13),$Z13))-$Z13))&lt;=$AB13)))))</f>
        <v>0</v>
      </c>
      <c r="K13" s="53" t="n">
        <f aca="false">IF(OR(N($E13)=0,$G13=""),0,$I13*IF($F13="Weekly",((Lists!D$21-MOD(Lists!D$21-$G13,7))&gt;=$G13)*((Lists!D$21-MOD(Lists!D$21-$G13,7))&lt;=$AB13),IF($F13="One-off",($G13&gt;Lists!D$23)*($G13&lt;=Lists!D$21),IF($F13="",0,(((Lists!D$24-$AA13)-MOD((Lists!D$24-$AA13),$Z13))&gt;=0)*(EDATE($G13,((Lists!D$24-$AA13)-MOD((Lists!D$24-$AA13),$Z13)))&gt;Lists!D$23)*(EDATE($G13,((Lists!D$24-$AA13)-MOD((Lists!D$24-$AA13),$Z13)))&lt;=Lists!D$21)*(EDATE($G13,((Lists!D$24-$AA13)-MOD((Lists!D$24-$AA13),$Z13)))&lt;=$AB13)+((((Lists!D$24-$AA13)-MOD((Lists!D$24-$AA13),$Z13))-$Z13)&gt;=0)*(EDATE($G13,(((Lists!D$24-$AA13)-MOD((Lists!D$24-$AA13),$Z13))-$Z13))&gt;Lists!D$23)*(EDATE($G13,(((Lists!D$24-$AA13)-MOD((Lists!D$24-$AA13),$Z13))-$Z13))&lt;=Lists!D$21)*(EDATE($G13,(((Lists!D$24-$AA13)-MOD((Lists!D$24-$AA13),$Z13))-$Z13))&lt;=$AB13)))))</f>
        <v>0</v>
      </c>
      <c r="L13" s="53" t="n">
        <f aca="false">IF(OR(N($E13)=0,$G13=""),0,$I13*IF($F13="Weekly",((Lists!E$21-MOD(Lists!E$21-$G13,7))&gt;=$G13)*((Lists!E$21-MOD(Lists!E$21-$G13,7))&lt;=$AB13),IF($F13="One-off",($G13&gt;Lists!E$23)*($G13&lt;=Lists!E$21),IF($F13="",0,(((Lists!E$24-$AA13)-MOD((Lists!E$24-$AA13),$Z13))&gt;=0)*(EDATE($G13,((Lists!E$24-$AA13)-MOD((Lists!E$24-$AA13),$Z13)))&gt;Lists!E$23)*(EDATE($G13,((Lists!E$24-$AA13)-MOD((Lists!E$24-$AA13),$Z13)))&lt;=Lists!E$21)*(EDATE($G13,((Lists!E$24-$AA13)-MOD((Lists!E$24-$AA13),$Z13)))&lt;=$AB13)+((((Lists!E$24-$AA13)-MOD((Lists!E$24-$AA13),$Z13))-$Z13)&gt;=0)*(EDATE($G13,(((Lists!E$24-$AA13)-MOD((Lists!E$24-$AA13),$Z13))-$Z13))&gt;Lists!E$23)*(EDATE($G13,(((Lists!E$24-$AA13)-MOD((Lists!E$24-$AA13),$Z13))-$Z13))&lt;=Lists!E$21)*(EDATE($G13,(((Lists!E$24-$AA13)-MOD((Lists!E$24-$AA13),$Z13))-$Z13))&lt;=$AB13)))))</f>
        <v>0</v>
      </c>
      <c r="M13" s="53" t="n">
        <f aca="false">IF(OR(N($E13)=0,$G13=""),0,$I13*IF($F13="Weekly",((Lists!F$21-MOD(Lists!F$21-$G13,7))&gt;=$G13)*((Lists!F$21-MOD(Lists!F$21-$G13,7))&lt;=$AB13),IF($F13="One-off",($G13&gt;Lists!F$23)*($G13&lt;=Lists!F$21),IF($F13="",0,(((Lists!F$24-$AA13)-MOD((Lists!F$24-$AA13),$Z13))&gt;=0)*(EDATE($G13,((Lists!F$24-$AA13)-MOD((Lists!F$24-$AA13),$Z13)))&gt;Lists!F$23)*(EDATE($G13,((Lists!F$24-$AA13)-MOD((Lists!F$24-$AA13),$Z13)))&lt;=Lists!F$21)*(EDATE($G13,((Lists!F$24-$AA13)-MOD((Lists!F$24-$AA13),$Z13)))&lt;=$AB13)+((((Lists!F$24-$AA13)-MOD((Lists!F$24-$AA13),$Z13))-$Z13)&gt;=0)*(EDATE($G13,(((Lists!F$24-$AA13)-MOD((Lists!F$24-$AA13),$Z13))-$Z13))&gt;Lists!F$23)*(EDATE($G13,(((Lists!F$24-$AA13)-MOD((Lists!F$24-$AA13),$Z13))-$Z13))&lt;=Lists!F$21)*(EDATE($G13,(((Lists!F$24-$AA13)-MOD((Lists!F$24-$AA13),$Z13))-$Z13))&lt;=$AB13)))))</f>
        <v>0</v>
      </c>
      <c r="N13" s="53" t="n">
        <f aca="false">IF(OR(N($E13)=0,$G13=""),0,$I13*IF($F13="Weekly",((Lists!G$21-MOD(Lists!G$21-$G13,7))&gt;=$G13)*((Lists!G$21-MOD(Lists!G$21-$G13,7))&lt;=$AB13),IF($F13="One-off",($G13&gt;Lists!G$23)*($G13&lt;=Lists!G$21),IF($F13="",0,(((Lists!G$24-$AA13)-MOD((Lists!G$24-$AA13),$Z13))&gt;=0)*(EDATE($G13,((Lists!G$24-$AA13)-MOD((Lists!G$24-$AA13),$Z13)))&gt;Lists!G$23)*(EDATE($G13,((Lists!G$24-$AA13)-MOD((Lists!G$24-$AA13),$Z13)))&lt;=Lists!G$21)*(EDATE($G13,((Lists!G$24-$AA13)-MOD((Lists!G$24-$AA13),$Z13)))&lt;=$AB13)+((((Lists!G$24-$AA13)-MOD((Lists!G$24-$AA13),$Z13))-$Z13)&gt;=0)*(EDATE($G13,(((Lists!G$24-$AA13)-MOD((Lists!G$24-$AA13),$Z13))-$Z13))&gt;Lists!G$23)*(EDATE($G13,(((Lists!G$24-$AA13)-MOD((Lists!G$24-$AA13),$Z13))-$Z13))&lt;=Lists!G$21)*(EDATE($G13,(((Lists!G$24-$AA13)-MOD((Lists!G$24-$AA13),$Z13))-$Z13))&lt;=$AB13)))))</f>
        <v>0</v>
      </c>
      <c r="O13" s="53" t="n">
        <f aca="false">IF(OR(N($E13)=0,$G13=""),0,$I13*IF($F13="Weekly",((Lists!H$21-MOD(Lists!H$21-$G13,7))&gt;=$G13)*((Lists!H$21-MOD(Lists!H$21-$G13,7))&lt;=$AB13),IF($F13="One-off",($G13&gt;Lists!H$23)*($G13&lt;=Lists!H$21),IF($F13="",0,(((Lists!H$24-$AA13)-MOD((Lists!H$24-$AA13),$Z13))&gt;=0)*(EDATE($G13,((Lists!H$24-$AA13)-MOD((Lists!H$24-$AA13),$Z13)))&gt;Lists!H$23)*(EDATE($G13,((Lists!H$24-$AA13)-MOD((Lists!H$24-$AA13),$Z13)))&lt;=Lists!H$21)*(EDATE($G13,((Lists!H$24-$AA13)-MOD((Lists!H$24-$AA13),$Z13)))&lt;=$AB13)+((((Lists!H$24-$AA13)-MOD((Lists!H$24-$AA13),$Z13))-$Z13)&gt;=0)*(EDATE($G13,(((Lists!H$24-$AA13)-MOD((Lists!H$24-$AA13),$Z13))-$Z13))&gt;Lists!H$23)*(EDATE($G13,(((Lists!H$24-$AA13)-MOD((Lists!H$24-$AA13),$Z13))-$Z13))&lt;=Lists!H$21)*(EDATE($G13,(((Lists!H$24-$AA13)-MOD((Lists!H$24-$AA13),$Z13))-$Z13))&lt;=$AB13)))))</f>
        <v>0</v>
      </c>
      <c r="P13" s="53" t="n">
        <f aca="false">IF(OR(N($E13)=0,$G13=""),0,$I13*IF($F13="Weekly",((Lists!I$21-MOD(Lists!I$21-$G13,7))&gt;=$G13)*((Lists!I$21-MOD(Lists!I$21-$G13,7))&lt;=$AB13),IF($F13="One-off",($G13&gt;Lists!I$23)*($G13&lt;=Lists!I$21),IF($F13="",0,(((Lists!I$24-$AA13)-MOD((Lists!I$24-$AA13),$Z13))&gt;=0)*(EDATE($G13,((Lists!I$24-$AA13)-MOD((Lists!I$24-$AA13),$Z13)))&gt;Lists!I$23)*(EDATE($G13,((Lists!I$24-$AA13)-MOD((Lists!I$24-$AA13),$Z13)))&lt;=Lists!I$21)*(EDATE($G13,((Lists!I$24-$AA13)-MOD((Lists!I$24-$AA13),$Z13)))&lt;=$AB13)+((((Lists!I$24-$AA13)-MOD((Lists!I$24-$AA13),$Z13))-$Z13)&gt;=0)*(EDATE($G13,(((Lists!I$24-$AA13)-MOD((Lists!I$24-$AA13),$Z13))-$Z13))&gt;Lists!I$23)*(EDATE($G13,(((Lists!I$24-$AA13)-MOD((Lists!I$24-$AA13),$Z13))-$Z13))&lt;=Lists!I$21)*(EDATE($G13,(((Lists!I$24-$AA13)-MOD((Lists!I$24-$AA13),$Z13))-$Z13))&lt;=$AB13)))))</f>
        <v>0</v>
      </c>
      <c r="Q13" s="53" t="n">
        <f aca="false">IF(OR(N($E13)=0,$G13=""),0,$I13*IF($F13="Weekly",((Lists!J$21-MOD(Lists!J$21-$G13,7))&gt;=$G13)*((Lists!J$21-MOD(Lists!J$21-$G13,7))&lt;=$AB13),IF($F13="One-off",($G13&gt;Lists!J$23)*($G13&lt;=Lists!J$21),IF($F13="",0,(((Lists!J$24-$AA13)-MOD((Lists!J$24-$AA13),$Z13))&gt;=0)*(EDATE($G13,((Lists!J$24-$AA13)-MOD((Lists!J$24-$AA13),$Z13)))&gt;Lists!J$23)*(EDATE($G13,((Lists!J$24-$AA13)-MOD((Lists!J$24-$AA13),$Z13)))&lt;=Lists!J$21)*(EDATE($G13,((Lists!J$24-$AA13)-MOD((Lists!J$24-$AA13),$Z13)))&lt;=$AB13)+((((Lists!J$24-$AA13)-MOD((Lists!J$24-$AA13),$Z13))-$Z13)&gt;=0)*(EDATE($G13,(((Lists!J$24-$AA13)-MOD((Lists!J$24-$AA13),$Z13))-$Z13))&gt;Lists!J$23)*(EDATE($G13,(((Lists!J$24-$AA13)-MOD((Lists!J$24-$AA13),$Z13))-$Z13))&lt;=Lists!J$21)*(EDATE($G13,(((Lists!J$24-$AA13)-MOD((Lists!J$24-$AA13),$Z13))-$Z13))&lt;=$AB13)))))</f>
        <v>0</v>
      </c>
      <c r="R13" s="53" t="n">
        <f aca="false">IF(OR(N($E13)=0,$G13=""),0,$I13*IF($F13="Weekly",((Lists!K$21-MOD(Lists!K$21-$G13,7))&gt;=$G13)*((Lists!K$21-MOD(Lists!K$21-$G13,7))&lt;=$AB13),IF($F13="One-off",($G13&gt;Lists!K$23)*($G13&lt;=Lists!K$21),IF($F13="",0,(((Lists!K$24-$AA13)-MOD((Lists!K$24-$AA13),$Z13))&gt;=0)*(EDATE($G13,((Lists!K$24-$AA13)-MOD((Lists!K$24-$AA13),$Z13)))&gt;Lists!K$23)*(EDATE($G13,((Lists!K$24-$AA13)-MOD((Lists!K$24-$AA13),$Z13)))&lt;=Lists!K$21)*(EDATE($G13,((Lists!K$24-$AA13)-MOD((Lists!K$24-$AA13),$Z13)))&lt;=$AB13)+((((Lists!K$24-$AA13)-MOD((Lists!K$24-$AA13),$Z13))-$Z13)&gt;=0)*(EDATE($G13,(((Lists!K$24-$AA13)-MOD((Lists!K$24-$AA13),$Z13))-$Z13))&gt;Lists!K$23)*(EDATE($G13,(((Lists!K$24-$AA13)-MOD((Lists!K$24-$AA13),$Z13))-$Z13))&lt;=Lists!K$21)*(EDATE($G13,(((Lists!K$24-$AA13)-MOD((Lists!K$24-$AA13),$Z13))-$Z13))&lt;=$AB13)))))</f>
        <v>0</v>
      </c>
      <c r="S13" s="53" t="n">
        <f aca="false">IF(OR(N($E13)=0,$G13=""),0,$I13*IF($F13="Weekly",((Lists!L$21-MOD(Lists!L$21-$G13,7))&gt;=$G13)*((Lists!L$21-MOD(Lists!L$21-$G13,7))&lt;=$AB13),IF($F13="One-off",($G13&gt;Lists!L$23)*($G13&lt;=Lists!L$21),IF($F13="",0,(((Lists!L$24-$AA13)-MOD((Lists!L$24-$AA13),$Z13))&gt;=0)*(EDATE($G13,((Lists!L$24-$AA13)-MOD((Lists!L$24-$AA13),$Z13)))&gt;Lists!L$23)*(EDATE($G13,((Lists!L$24-$AA13)-MOD((Lists!L$24-$AA13),$Z13)))&lt;=Lists!L$21)*(EDATE($G13,((Lists!L$24-$AA13)-MOD((Lists!L$24-$AA13),$Z13)))&lt;=$AB13)+((((Lists!L$24-$AA13)-MOD((Lists!L$24-$AA13),$Z13))-$Z13)&gt;=0)*(EDATE($G13,(((Lists!L$24-$AA13)-MOD((Lists!L$24-$AA13),$Z13))-$Z13))&gt;Lists!L$23)*(EDATE($G13,(((Lists!L$24-$AA13)-MOD((Lists!L$24-$AA13),$Z13))-$Z13))&lt;=Lists!L$21)*(EDATE($G13,(((Lists!L$24-$AA13)-MOD((Lists!L$24-$AA13),$Z13))-$Z13))&lt;=$AB13)))))</f>
        <v>0</v>
      </c>
      <c r="T13" s="53" t="n">
        <f aca="false">IF(OR(N($E13)=0,$G13=""),0,$I13*IF($F13="Weekly",((Lists!M$21-MOD(Lists!M$21-$G13,7))&gt;=$G13)*((Lists!M$21-MOD(Lists!M$21-$G13,7))&lt;=$AB13),IF($F13="One-off",($G13&gt;Lists!M$23)*($G13&lt;=Lists!M$21),IF($F13="",0,(((Lists!M$24-$AA13)-MOD((Lists!M$24-$AA13),$Z13))&gt;=0)*(EDATE($G13,((Lists!M$24-$AA13)-MOD((Lists!M$24-$AA13),$Z13)))&gt;Lists!M$23)*(EDATE($G13,((Lists!M$24-$AA13)-MOD((Lists!M$24-$AA13),$Z13)))&lt;=Lists!M$21)*(EDATE($G13,((Lists!M$24-$AA13)-MOD((Lists!M$24-$AA13),$Z13)))&lt;=$AB13)+((((Lists!M$24-$AA13)-MOD((Lists!M$24-$AA13),$Z13))-$Z13)&gt;=0)*(EDATE($G13,(((Lists!M$24-$AA13)-MOD((Lists!M$24-$AA13),$Z13))-$Z13))&gt;Lists!M$23)*(EDATE($G13,(((Lists!M$24-$AA13)-MOD((Lists!M$24-$AA13),$Z13))-$Z13))&lt;=Lists!M$21)*(EDATE($G13,(((Lists!M$24-$AA13)-MOD((Lists!M$24-$AA13),$Z13))-$Z13))&lt;=$AB13)))))</f>
        <v>0</v>
      </c>
      <c r="U13" s="53" t="n">
        <f aca="false">IF(OR(N($E13)=0,$G13=""),0,$I13*IF($F13="Weekly",((Lists!N$21-MOD(Lists!N$21-$G13,7))&gt;=$G13)*((Lists!N$21-MOD(Lists!N$21-$G13,7))&lt;=$AB13),IF($F13="One-off",($G13&gt;Lists!N$23)*($G13&lt;=Lists!N$21),IF($F13="",0,(((Lists!N$24-$AA13)-MOD((Lists!N$24-$AA13),$Z13))&gt;=0)*(EDATE($G13,((Lists!N$24-$AA13)-MOD((Lists!N$24-$AA13),$Z13)))&gt;Lists!N$23)*(EDATE($G13,((Lists!N$24-$AA13)-MOD((Lists!N$24-$AA13),$Z13)))&lt;=Lists!N$21)*(EDATE($G13,((Lists!N$24-$AA13)-MOD((Lists!N$24-$AA13),$Z13)))&lt;=$AB13)+((((Lists!N$24-$AA13)-MOD((Lists!N$24-$AA13),$Z13))-$Z13)&gt;=0)*(EDATE($G13,(((Lists!N$24-$AA13)-MOD((Lists!N$24-$AA13),$Z13))-$Z13))&gt;Lists!N$23)*(EDATE($G13,(((Lists!N$24-$AA13)-MOD((Lists!N$24-$AA13),$Z13))-$Z13))&lt;=Lists!N$21)*(EDATE($G13,(((Lists!N$24-$AA13)-MOD((Lists!N$24-$AA13),$Z13))-$Z13))&lt;=$AB13)))))</f>
        <v>0</v>
      </c>
      <c r="V13" s="53" t="n">
        <f aca="false">IF(OR(N($E13)=0,$G13=""),0,$I13*IF($F13="Weekly",((Lists!O$21-MOD(Lists!O$21-$G13,7))&gt;=$G13)*((Lists!O$21-MOD(Lists!O$21-$G13,7))&lt;=$AB13),IF($F13="One-off",($G13&gt;Lists!O$23)*($G13&lt;=Lists!O$21),IF($F13="",0,(((Lists!O$24-$AA13)-MOD((Lists!O$24-$AA13),$Z13))&gt;=0)*(EDATE($G13,((Lists!O$24-$AA13)-MOD((Lists!O$24-$AA13),$Z13)))&gt;Lists!O$23)*(EDATE($G13,((Lists!O$24-$AA13)-MOD((Lists!O$24-$AA13),$Z13)))&lt;=Lists!O$21)*(EDATE($G13,((Lists!O$24-$AA13)-MOD((Lists!O$24-$AA13),$Z13)))&lt;=$AB13)+((((Lists!O$24-$AA13)-MOD((Lists!O$24-$AA13),$Z13))-$Z13)&gt;=0)*(EDATE($G13,(((Lists!O$24-$AA13)-MOD((Lists!O$24-$AA13),$Z13))-$Z13))&gt;Lists!O$23)*(EDATE($G13,(((Lists!O$24-$AA13)-MOD((Lists!O$24-$AA13),$Z13))-$Z13))&lt;=Lists!O$21)*(EDATE($G13,(((Lists!O$24-$AA13)-MOD((Lists!O$24-$AA13),$Z13))-$Z13))&lt;=$AB13)))))</f>
        <v>0</v>
      </c>
      <c r="W13" s="46" t="n">
        <f aca="false">SUM(J13:V13)</f>
        <v>0</v>
      </c>
      <c r="X13" s="2"/>
      <c r="Y13" s="104" t="n">
        <f aca="false">1</f>
        <v>1</v>
      </c>
      <c r="Z13" s="94" t="n">
        <f aca="false">IF(F13="Quarterly",3,IF(F13="Annually",12,1))</f>
        <v>1</v>
      </c>
      <c r="AA13" s="94" t="n">
        <f aca="false">IF(G13="",0,YEAR(G13)*12+MONTH(G13))</f>
        <v>0</v>
      </c>
      <c r="AB13" s="93" t="n">
        <f aca="false">IF(H13="",2958465,H13)</f>
        <v>2958465</v>
      </c>
      <c r="AC13" s="95" t="str">
        <f aca="false">IF(C13="","Other finance",C13)</f>
        <v>Other finance</v>
      </c>
    </row>
    <row r="14" customFormat="false" ht="15" hidden="false" customHeight="false" outlineLevel="0" collapsed="false">
      <c r="A14" s="87" t="n">
        <v>6</v>
      </c>
      <c r="B14" s="55"/>
      <c r="C14" s="55"/>
      <c r="D14" s="2"/>
      <c r="E14" s="88"/>
      <c r="F14" s="58"/>
      <c r="G14" s="90"/>
      <c r="H14" s="90"/>
      <c r="I14" s="92" t="n">
        <f aca="false">N(E14)*Y14</f>
        <v>0</v>
      </c>
      <c r="J14" s="53" t="n">
        <f aca="false">IF(OR(N($E14)=0,$G14=""),0,$I14*IF($F14="Weekly",((Lists!C$21-MOD(Lists!C$21-$G14,7))&gt;=$G14)*((Lists!C$21-MOD(Lists!C$21-$G14,7))&lt;=$AB14),IF($F14="One-off",($G14&gt;Lists!C$23)*($G14&lt;=Lists!C$21),IF($F14="",0,(((Lists!C$24-$AA14)-MOD((Lists!C$24-$AA14),$Z14))&gt;=0)*(EDATE($G14,((Lists!C$24-$AA14)-MOD((Lists!C$24-$AA14),$Z14)))&gt;Lists!C$23)*(EDATE($G14,((Lists!C$24-$AA14)-MOD((Lists!C$24-$AA14),$Z14)))&lt;=Lists!C$21)*(EDATE($G14,((Lists!C$24-$AA14)-MOD((Lists!C$24-$AA14),$Z14)))&lt;=$AB14)+((((Lists!C$24-$AA14)-MOD((Lists!C$24-$AA14),$Z14))-$Z14)&gt;=0)*(EDATE($G14,(((Lists!C$24-$AA14)-MOD((Lists!C$24-$AA14),$Z14))-$Z14))&gt;Lists!C$23)*(EDATE($G14,(((Lists!C$24-$AA14)-MOD((Lists!C$24-$AA14),$Z14))-$Z14))&lt;=Lists!C$21)*(EDATE($G14,(((Lists!C$24-$AA14)-MOD((Lists!C$24-$AA14),$Z14))-$Z14))&lt;=$AB14)))))</f>
        <v>0</v>
      </c>
      <c r="K14" s="53" t="n">
        <f aca="false">IF(OR(N($E14)=0,$G14=""),0,$I14*IF($F14="Weekly",((Lists!D$21-MOD(Lists!D$21-$G14,7))&gt;=$G14)*((Lists!D$21-MOD(Lists!D$21-$G14,7))&lt;=$AB14),IF($F14="One-off",($G14&gt;Lists!D$23)*($G14&lt;=Lists!D$21),IF($F14="",0,(((Lists!D$24-$AA14)-MOD((Lists!D$24-$AA14),$Z14))&gt;=0)*(EDATE($G14,((Lists!D$24-$AA14)-MOD((Lists!D$24-$AA14),$Z14)))&gt;Lists!D$23)*(EDATE($G14,((Lists!D$24-$AA14)-MOD((Lists!D$24-$AA14),$Z14)))&lt;=Lists!D$21)*(EDATE($G14,((Lists!D$24-$AA14)-MOD((Lists!D$24-$AA14),$Z14)))&lt;=$AB14)+((((Lists!D$24-$AA14)-MOD((Lists!D$24-$AA14),$Z14))-$Z14)&gt;=0)*(EDATE($G14,(((Lists!D$24-$AA14)-MOD((Lists!D$24-$AA14),$Z14))-$Z14))&gt;Lists!D$23)*(EDATE($G14,(((Lists!D$24-$AA14)-MOD((Lists!D$24-$AA14),$Z14))-$Z14))&lt;=Lists!D$21)*(EDATE($G14,(((Lists!D$24-$AA14)-MOD((Lists!D$24-$AA14),$Z14))-$Z14))&lt;=$AB14)))))</f>
        <v>0</v>
      </c>
      <c r="L14" s="53" t="n">
        <f aca="false">IF(OR(N($E14)=0,$G14=""),0,$I14*IF($F14="Weekly",((Lists!E$21-MOD(Lists!E$21-$G14,7))&gt;=$G14)*((Lists!E$21-MOD(Lists!E$21-$G14,7))&lt;=$AB14),IF($F14="One-off",($G14&gt;Lists!E$23)*($G14&lt;=Lists!E$21),IF($F14="",0,(((Lists!E$24-$AA14)-MOD((Lists!E$24-$AA14),$Z14))&gt;=0)*(EDATE($G14,((Lists!E$24-$AA14)-MOD((Lists!E$24-$AA14),$Z14)))&gt;Lists!E$23)*(EDATE($G14,((Lists!E$24-$AA14)-MOD((Lists!E$24-$AA14),$Z14)))&lt;=Lists!E$21)*(EDATE($G14,((Lists!E$24-$AA14)-MOD((Lists!E$24-$AA14),$Z14)))&lt;=$AB14)+((((Lists!E$24-$AA14)-MOD((Lists!E$24-$AA14),$Z14))-$Z14)&gt;=0)*(EDATE($G14,(((Lists!E$24-$AA14)-MOD((Lists!E$24-$AA14),$Z14))-$Z14))&gt;Lists!E$23)*(EDATE($G14,(((Lists!E$24-$AA14)-MOD((Lists!E$24-$AA14),$Z14))-$Z14))&lt;=Lists!E$21)*(EDATE($G14,(((Lists!E$24-$AA14)-MOD((Lists!E$24-$AA14),$Z14))-$Z14))&lt;=$AB14)))))</f>
        <v>0</v>
      </c>
      <c r="M14" s="53" t="n">
        <f aca="false">IF(OR(N($E14)=0,$G14=""),0,$I14*IF($F14="Weekly",((Lists!F$21-MOD(Lists!F$21-$G14,7))&gt;=$G14)*((Lists!F$21-MOD(Lists!F$21-$G14,7))&lt;=$AB14),IF($F14="One-off",($G14&gt;Lists!F$23)*($G14&lt;=Lists!F$21),IF($F14="",0,(((Lists!F$24-$AA14)-MOD((Lists!F$24-$AA14),$Z14))&gt;=0)*(EDATE($G14,((Lists!F$24-$AA14)-MOD((Lists!F$24-$AA14),$Z14)))&gt;Lists!F$23)*(EDATE($G14,((Lists!F$24-$AA14)-MOD((Lists!F$24-$AA14),$Z14)))&lt;=Lists!F$21)*(EDATE($G14,((Lists!F$24-$AA14)-MOD((Lists!F$24-$AA14),$Z14)))&lt;=$AB14)+((((Lists!F$24-$AA14)-MOD((Lists!F$24-$AA14),$Z14))-$Z14)&gt;=0)*(EDATE($G14,(((Lists!F$24-$AA14)-MOD((Lists!F$24-$AA14),$Z14))-$Z14))&gt;Lists!F$23)*(EDATE($G14,(((Lists!F$24-$AA14)-MOD((Lists!F$24-$AA14),$Z14))-$Z14))&lt;=Lists!F$21)*(EDATE($G14,(((Lists!F$24-$AA14)-MOD((Lists!F$24-$AA14),$Z14))-$Z14))&lt;=$AB14)))))</f>
        <v>0</v>
      </c>
      <c r="N14" s="53" t="n">
        <f aca="false">IF(OR(N($E14)=0,$G14=""),0,$I14*IF($F14="Weekly",((Lists!G$21-MOD(Lists!G$21-$G14,7))&gt;=$G14)*((Lists!G$21-MOD(Lists!G$21-$G14,7))&lt;=$AB14),IF($F14="One-off",($G14&gt;Lists!G$23)*($G14&lt;=Lists!G$21),IF($F14="",0,(((Lists!G$24-$AA14)-MOD((Lists!G$24-$AA14),$Z14))&gt;=0)*(EDATE($G14,((Lists!G$24-$AA14)-MOD((Lists!G$24-$AA14),$Z14)))&gt;Lists!G$23)*(EDATE($G14,((Lists!G$24-$AA14)-MOD((Lists!G$24-$AA14),$Z14)))&lt;=Lists!G$21)*(EDATE($G14,((Lists!G$24-$AA14)-MOD((Lists!G$24-$AA14),$Z14)))&lt;=$AB14)+((((Lists!G$24-$AA14)-MOD((Lists!G$24-$AA14),$Z14))-$Z14)&gt;=0)*(EDATE($G14,(((Lists!G$24-$AA14)-MOD((Lists!G$24-$AA14),$Z14))-$Z14))&gt;Lists!G$23)*(EDATE($G14,(((Lists!G$24-$AA14)-MOD((Lists!G$24-$AA14),$Z14))-$Z14))&lt;=Lists!G$21)*(EDATE($G14,(((Lists!G$24-$AA14)-MOD((Lists!G$24-$AA14),$Z14))-$Z14))&lt;=$AB14)))))</f>
        <v>0</v>
      </c>
      <c r="O14" s="53" t="n">
        <f aca="false">IF(OR(N($E14)=0,$G14=""),0,$I14*IF($F14="Weekly",((Lists!H$21-MOD(Lists!H$21-$G14,7))&gt;=$G14)*((Lists!H$21-MOD(Lists!H$21-$G14,7))&lt;=$AB14),IF($F14="One-off",($G14&gt;Lists!H$23)*($G14&lt;=Lists!H$21),IF($F14="",0,(((Lists!H$24-$AA14)-MOD((Lists!H$24-$AA14),$Z14))&gt;=0)*(EDATE($G14,((Lists!H$24-$AA14)-MOD((Lists!H$24-$AA14),$Z14)))&gt;Lists!H$23)*(EDATE($G14,((Lists!H$24-$AA14)-MOD((Lists!H$24-$AA14),$Z14)))&lt;=Lists!H$21)*(EDATE($G14,((Lists!H$24-$AA14)-MOD((Lists!H$24-$AA14),$Z14)))&lt;=$AB14)+((((Lists!H$24-$AA14)-MOD((Lists!H$24-$AA14),$Z14))-$Z14)&gt;=0)*(EDATE($G14,(((Lists!H$24-$AA14)-MOD((Lists!H$24-$AA14),$Z14))-$Z14))&gt;Lists!H$23)*(EDATE($G14,(((Lists!H$24-$AA14)-MOD((Lists!H$24-$AA14),$Z14))-$Z14))&lt;=Lists!H$21)*(EDATE($G14,(((Lists!H$24-$AA14)-MOD((Lists!H$24-$AA14),$Z14))-$Z14))&lt;=$AB14)))))</f>
        <v>0</v>
      </c>
      <c r="P14" s="53" t="n">
        <f aca="false">IF(OR(N($E14)=0,$G14=""),0,$I14*IF($F14="Weekly",((Lists!I$21-MOD(Lists!I$21-$G14,7))&gt;=$G14)*((Lists!I$21-MOD(Lists!I$21-$G14,7))&lt;=$AB14),IF($F14="One-off",($G14&gt;Lists!I$23)*($G14&lt;=Lists!I$21),IF($F14="",0,(((Lists!I$24-$AA14)-MOD((Lists!I$24-$AA14),$Z14))&gt;=0)*(EDATE($G14,((Lists!I$24-$AA14)-MOD((Lists!I$24-$AA14),$Z14)))&gt;Lists!I$23)*(EDATE($G14,((Lists!I$24-$AA14)-MOD((Lists!I$24-$AA14),$Z14)))&lt;=Lists!I$21)*(EDATE($G14,((Lists!I$24-$AA14)-MOD((Lists!I$24-$AA14),$Z14)))&lt;=$AB14)+((((Lists!I$24-$AA14)-MOD((Lists!I$24-$AA14),$Z14))-$Z14)&gt;=0)*(EDATE($G14,(((Lists!I$24-$AA14)-MOD((Lists!I$24-$AA14),$Z14))-$Z14))&gt;Lists!I$23)*(EDATE($G14,(((Lists!I$24-$AA14)-MOD((Lists!I$24-$AA14),$Z14))-$Z14))&lt;=Lists!I$21)*(EDATE($G14,(((Lists!I$24-$AA14)-MOD((Lists!I$24-$AA14),$Z14))-$Z14))&lt;=$AB14)))))</f>
        <v>0</v>
      </c>
      <c r="Q14" s="53" t="n">
        <f aca="false">IF(OR(N($E14)=0,$G14=""),0,$I14*IF($F14="Weekly",((Lists!J$21-MOD(Lists!J$21-$G14,7))&gt;=$G14)*((Lists!J$21-MOD(Lists!J$21-$G14,7))&lt;=$AB14),IF($F14="One-off",($G14&gt;Lists!J$23)*($G14&lt;=Lists!J$21),IF($F14="",0,(((Lists!J$24-$AA14)-MOD((Lists!J$24-$AA14),$Z14))&gt;=0)*(EDATE($G14,((Lists!J$24-$AA14)-MOD((Lists!J$24-$AA14),$Z14)))&gt;Lists!J$23)*(EDATE($G14,((Lists!J$24-$AA14)-MOD((Lists!J$24-$AA14),$Z14)))&lt;=Lists!J$21)*(EDATE($G14,((Lists!J$24-$AA14)-MOD((Lists!J$24-$AA14),$Z14)))&lt;=$AB14)+((((Lists!J$24-$AA14)-MOD((Lists!J$24-$AA14),$Z14))-$Z14)&gt;=0)*(EDATE($G14,(((Lists!J$24-$AA14)-MOD((Lists!J$24-$AA14),$Z14))-$Z14))&gt;Lists!J$23)*(EDATE($G14,(((Lists!J$24-$AA14)-MOD((Lists!J$24-$AA14),$Z14))-$Z14))&lt;=Lists!J$21)*(EDATE($G14,(((Lists!J$24-$AA14)-MOD((Lists!J$24-$AA14),$Z14))-$Z14))&lt;=$AB14)))))</f>
        <v>0</v>
      </c>
      <c r="R14" s="53" t="n">
        <f aca="false">IF(OR(N($E14)=0,$G14=""),0,$I14*IF($F14="Weekly",((Lists!K$21-MOD(Lists!K$21-$G14,7))&gt;=$G14)*((Lists!K$21-MOD(Lists!K$21-$G14,7))&lt;=$AB14),IF($F14="One-off",($G14&gt;Lists!K$23)*($G14&lt;=Lists!K$21),IF($F14="",0,(((Lists!K$24-$AA14)-MOD((Lists!K$24-$AA14),$Z14))&gt;=0)*(EDATE($G14,((Lists!K$24-$AA14)-MOD((Lists!K$24-$AA14),$Z14)))&gt;Lists!K$23)*(EDATE($G14,((Lists!K$24-$AA14)-MOD((Lists!K$24-$AA14),$Z14)))&lt;=Lists!K$21)*(EDATE($G14,((Lists!K$24-$AA14)-MOD((Lists!K$24-$AA14),$Z14)))&lt;=$AB14)+((((Lists!K$24-$AA14)-MOD((Lists!K$24-$AA14),$Z14))-$Z14)&gt;=0)*(EDATE($G14,(((Lists!K$24-$AA14)-MOD((Lists!K$24-$AA14),$Z14))-$Z14))&gt;Lists!K$23)*(EDATE($G14,(((Lists!K$24-$AA14)-MOD((Lists!K$24-$AA14),$Z14))-$Z14))&lt;=Lists!K$21)*(EDATE($G14,(((Lists!K$24-$AA14)-MOD((Lists!K$24-$AA14),$Z14))-$Z14))&lt;=$AB14)))))</f>
        <v>0</v>
      </c>
      <c r="S14" s="53" t="n">
        <f aca="false">IF(OR(N($E14)=0,$G14=""),0,$I14*IF($F14="Weekly",((Lists!L$21-MOD(Lists!L$21-$G14,7))&gt;=$G14)*((Lists!L$21-MOD(Lists!L$21-$G14,7))&lt;=$AB14),IF($F14="One-off",($G14&gt;Lists!L$23)*($G14&lt;=Lists!L$21),IF($F14="",0,(((Lists!L$24-$AA14)-MOD((Lists!L$24-$AA14),$Z14))&gt;=0)*(EDATE($G14,((Lists!L$24-$AA14)-MOD((Lists!L$24-$AA14),$Z14)))&gt;Lists!L$23)*(EDATE($G14,((Lists!L$24-$AA14)-MOD((Lists!L$24-$AA14),$Z14)))&lt;=Lists!L$21)*(EDATE($G14,((Lists!L$24-$AA14)-MOD((Lists!L$24-$AA14),$Z14)))&lt;=$AB14)+((((Lists!L$24-$AA14)-MOD((Lists!L$24-$AA14),$Z14))-$Z14)&gt;=0)*(EDATE($G14,(((Lists!L$24-$AA14)-MOD((Lists!L$24-$AA14),$Z14))-$Z14))&gt;Lists!L$23)*(EDATE($G14,(((Lists!L$24-$AA14)-MOD((Lists!L$24-$AA14),$Z14))-$Z14))&lt;=Lists!L$21)*(EDATE($G14,(((Lists!L$24-$AA14)-MOD((Lists!L$24-$AA14),$Z14))-$Z14))&lt;=$AB14)))))</f>
        <v>0</v>
      </c>
      <c r="T14" s="53" t="n">
        <f aca="false">IF(OR(N($E14)=0,$G14=""),0,$I14*IF($F14="Weekly",((Lists!M$21-MOD(Lists!M$21-$G14,7))&gt;=$G14)*((Lists!M$21-MOD(Lists!M$21-$G14,7))&lt;=$AB14),IF($F14="One-off",($G14&gt;Lists!M$23)*($G14&lt;=Lists!M$21),IF($F14="",0,(((Lists!M$24-$AA14)-MOD((Lists!M$24-$AA14),$Z14))&gt;=0)*(EDATE($G14,((Lists!M$24-$AA14)-MOD((Lists!M$24-$AA14),$Z14)))&gt;Lists!M$23)*(EDATE($G14,((Lists!M$24-$AA14)-MOD((Lists!M$24-$AA14),$Z14)))&lt;=Lists!M$21)*(EDATE($G14,((Lists!M$24-$AA14)-MOD((Lists!M$24-$AA14),$Z14)))&lt;=$AB14)+((((Lists!M$24-$AA14)-MOD((Lists!M$24-$AA14),$Z14))-$Z14)&gt;=0)*(EDATE($G14,(((Lists!M$24-$AA14)-MOD((Lists!M$24-$AA14),$Z14))-$Z14))&gt;Lists!M$23)*(EDATE($G14,(((Lists!M$24-$AA14)-MOD((Lists!M$24-$AA14),$Z14))-$Z14))&lt;=Lists!M$21)*(EDATE($G14,(((Lists!M$24-$AA14)-MOD((Lists!M$24-$AA14),$Z14))-$Z14))&lt;=$AB14)))))</f>
        <v>0</v>
      </c>
      <c r="U14" s="53" t="n">
        <f aca="false">IF(OR(N($E14)=0,$G14=""),0,$I14*IF($F14="Weekly",((Lists!N$21-MOD(Lists!N$21-$G14,7))&gt;=$G14)*((Lists!N$21-MOD(Lists!N$21-$G14,7))&lt;=$AB14),IF($F14="One-off",($G14&gt;Lists!N$23)*($G14&lt;=Lists!N$21),IF($F14="",0,(((Lists!N$24-$AA14)-MOD((Lists!N$24-$AA14),$Z14))&gt;=0)*(EDATE($G14,((Lists!N$24-$AA14)-MOD((Lists!N$24-$AA14),$Z14)))&gt;Lists!N$23)*(EDATE($G14,((Lists!N$24-$AA14)-MOD((Lists!N$24-$AA14),$Z14)))&lt;=Lists!N$21)*(EDATE($G14,((Lists!N$24-$AA14)-MOD((Lists!N$24-$AA14),$Z14)))&lt;=$AB14)+((((Lists!N$24-$AA14)-MOD((Lists!N$24-$AA14),$Z14))-$Z14)&gt;=0)*(EDATE($G14,(((Lists!N$24-$AA14)-MOD((Lists!N$24-$AA14),$Z14))-$Z14))&gt;Lists!N$23)*(EDATE($G14,(((Lists!N$24-$AA14)-MOD((Lists!N$24-$AA14),$Z14))-$Z14))&lt;=Lists!N$21)*(EDATE($G14,(((Lists!N$24-$AA14)-MOD((Lists!N$24-$AA14),$Z14))-$Z14))&lt;=$AB14)))))</f>
        <v>0</v>
      </c>
      <c r="V14" s="53" t="n">
        <f aca="false">IF(OR(N($E14)=0,$G14=""),0,$I14*IF($F14="Weekly",((Lists!O$21-MOD(Lists!O$21-$G14,7))&gt;=$G14)*((Lists!O$21-MOD(Lists!O$21-$G14,7))&lt;=$AB14),IF($F14="One-off",($G14&gt;Lists!O$23)*($G14&lt;=Lists!O$21),IF($F14="",0,(((Lists!O$24-$AA14)-MOD((Lists!O$24-$AA14),$Z14))&gt;=0)*(EDATE($G14,((Lists!O$24-$AA14)-MOD((Lists!O$24-$AA14),$Z14)))&gt;Lists!O$23)*(EDATE($G14,((Lists!O$24-$AA14)-MOD((Lists!O$24-$AA14),$Z14)))&lt;=Lists!O$21)*(EDATE($G14,((Lists!O$24-$AA14)-MOD((Lists!O$24-$AA14),$Z14)))&lt;=$AB14)+((((Lists!O$24-$AA14)-MOD((Lists!O$24-$AA14),$Z14))-$Z14)&gt;=0)*(EDATE($G14,(((Lists!O$24-$AA14)-MOD((Lists!O$24-$AA14),$Z14))-$Z14))&gt;Lists!O$23)*(EDATE($G14,(((Lists!O$24-$AA14)-MOD((Lists!O$24-$AA14),$Z14))-$Z14))&lt;=Lists!O$21)*(EDATE($G14,(((Lists!O$24-$AA14)-MOD((Lists!O$24-$AA14),$Z14))-$Z14))&lt;=$AB14)))))</f>
        <v>0</v>
      </c>
      <c r="W14" s="46" t="n">
        <f aca="false">SUM(J14:V14)</f>
        <v>0</v>
      </c>
      <c r="X14" s="2"/>
      <c r="Y14" s="104" t="n">
        <f aca="false">1</f>
        <v>1</v>
      </c>
      <c r="Z14" s="94" t="n">
        <f aca="false">IF(F14="Quarterly",3,IF(F14="Annually",12,1))</f>
        <v>1</v>
      </c>
      <c r="AA14" s="94" t="n">
        <f aca="false">IF(G14="",0,YEAR(G14)*12+MONTH(G14))</f>
        <v>0</v>
      </c>
      <c r="AB14" s="93" t="n">
        <f aca="false">IF(H14="",2958465,H14)</f>
        <v>2958465</v>
      </c>
      <c r="AC14" s="95" t="str">
        <f aca="false">IF(C14="","Other finance",C14)</f>
        <v>Other finance</v>
      </c>
    </row>
    <row r="15" customFormat="false" ht="15" hidden="false" customHeight="false" outlineLevel="0" collapsed="false">
      <c r="A15" s="87" t="n">
        <v>7</v>
      </c>
      <c r="B15" s="55"/>
      <c r="C15" s="55"/>
      <c r="D15" s="2"/>
      <c r="E15" s="88"/>
      <c r="F15" s="58"/>
      <c r="G15" s="90"/>
      <c r="H15" s="90"/>
      <c r="I15" s="92" t="n">
        <f aca="false">N(E15)*Y15</f>
        <v>0</v>
      </c>
      <c r="J15" s="53" t="n">
        <f aca="false">IF(OR(N($E15)=0,$G15=""),0,$I15*IF($F15="Weekly",((Lists!C$21-MOD(Lists!C$21-$G15,7))&gt;=$G15)*((Lists!C$21-MOD(Lists!C$21-$G15,7))&lt;=$AB15),IF($F15="One-off",($G15&gt;Lists!C$23)*($G15&lt;=Lists!C$21),IF($F15="",0,(((Lists!C$24-$AA15)-MOD((Lists!C$24-$AA15),$Z15))&gt;=0)*(EDATE($G15,((Lists!C$24-$AA15)-MOD((Lists!C$24-$AA15),$Z15)))&gt;Lists!C$23)*(EDATE($G15,((Lists!C$24-$AA15)-MOD((Lists!C$24-$AA15),$Z15)))&lt;=Lists!C$21)*(EDATE($G15,((Lists!C$24-$AA15)-MOD((Lists!C$24-$AA15),$Z15)))&lt;=$AB15)+((((Lists!C$24-$AA15)-MOD((Lists!C$24-$AA15),$Z15))-$Z15)&gt;=0)*(EDATE($G15,(((Lists!C$24-$AA15)-MOD((Lists!C$24-$AA15),$Z15))-$Z15))&gt;Lists!C$23)*(EDATE($G15,(((Lists!C$24-$AA15)-MOD((Lists!C$24-$AA15),$Z15))-$Z15))&lt;=Lists!C$21)*(EDATE($G15,(((Lists!C$24-$AA15)-MOD((Lists!C$24-$AA15),$Z15))-$Z15))&lt;=$AB15)))))</f>
        <v>0</v>
      </c>
      <c r="K15" s="53" t="n">
        <f aca="false">IF(OR(N($E15)=0,$G15=""),0,$I15*IF($F15="Weekly",((Lists!D$21-MOD(Lists!D$21-$G15,7))&gt;=$G15)*((Lists!D$21-MOD(Lists!D$21-$G15,7))&lt;=$AB15),IF($F15="One-off",($G15&gt;Lists!D$23)*($G15&lt;=Lists!D$21),IF($F15="",0,(((Lists!D$24-$AA15)-MOD((Lists!D$24-$AA15),$Z15))&gt;=0)*(EDATE($G15,((Lists!D$24-$AA15)-MOD((Lists!D$24-$AA15),$Z15)))&gt;Lists!D$23)*(EDATE($G15,((Lists!D$24-$AA15)-MOD((Lists!D$24-$AA15),$Z15)))&lt;=Lists!D$21)*(EDATE($G15,((Lists!D$24-$AA15)-MOD((Lists!D$24-$AA15),$Z15)))&lt;=$AB15)+((((Lists!D$24-$AA15)-MOD((Lists!D$24-$AA15),$Z15))-$Z15)&gt;=0)*(EDATE($G15,(((Lists!D$24-$AA15)-MOD((Lists!D$24-$AA15),$Z15))-$Z15))&gt;Lists!D$23)*(EDATE($G15,(((Lists!D$24-$AA15)-MOD((Lists!D$24-$AA15),$Z15))-$Z15))&lt;=Lists!D$21)*(EDATE($G15,(((Lists!D$24-$AA15)-MOD((Lists!D$24-$AA15),$Z15))-$Z15))&lt;=$AB15)))))</f>
        <v>0</v>
      </c>
      <c r="L15" s="53" t="n">
        <f aca="false">IF(OR(N($E15)=0,$G15=""),0,$I15*IF($F15="Weekly",((Lists!E$21-MOD(Lists!E$21-$G15,7))&gt;=$G15)*((Lists!E$21-MOD(Lists!E$21-$G15,7))&lt;=$AB15),IF($F15="One-off",($G15&gt;Lists!E$23)*($G15&lt;=Lists!E$21),IF($F15="",0,(((Lists!E$24-$AA15)-MOD((Lists!E$24-$AA15),$Z15))&gt;=0)*(EDATE($G15,((Lists!E$24-$AA15)-MOD((Lists!E$24-$AA15),$Z15)))&gt;Lists!E$23)*(EDATE($G15,((Lists!E$24-$AA15)-MOD((Lists!E$24-$AA15),$Z15)))&lt;=Lists!E$21)*(EDATE($G15,((Lists!E$24-$AA15)-MOD((Lists!E$24-$AA15),$Z15)))&lt;=$AB15)+((((Lists!E$24-$AA15)-MOD((Lists!E$24-$AA15),$Z15))-$Z15)&gt;=0)*(EDATE($G15,(((Lists!E$24-$AA15)-MOD((Lists!E$24-$AA15),$Z15))-$Z15))&gt;Lists!E$23)*(EDATE($G15,(((Lists!E$24-$AA15)-MOD((Lists!E$24-$AA15),$Z15))-$Z15))&lt;=Lists!E$21)*(EDATE($G15,(((Lists!E$24-$AA15)-MOD((Lists!E$24-$AA15),$Z15))-$Z15))&lt;=$AB15)))))</f>
        <v>0</v>
      </c>
      <c r="M15" s="53" t="n">
        <f aca="false">IF(OR(N($E15)=0,$G15=""),0,$I15*IF($F15="Weekly",((Lists!F$21-MOD(Lists!F$21-$G15,7))&gt;=$G15)*((Lists!F$21-MOD(Lists!F$21-$G15,7))&lt;=$AB15),IF($F15="One-off",($G15&gt;Lists!F$23)*($G15&lt;=Lists!F$21),IF($F15="",0,(((Lists!F$24-$AA15)-MOD((Lists!F$24-$AA15),$Z15))&gt;=0)*(EDATE($G15,((Lists!F$24-$AA15)-MOD((Lists!F$24-$AA15),$Z15)))&gt;Lists!F$23)*(EDATE($G15,((Lists!F$24-$AA15)-MOD((Lists!F$24-$AA15),$Z15)))&lt;=Lists!F$21)*(EDATE($G15,((Lists!F$24-$AA15)-MOD((Lists!F$24-$AA15),$Z15)))&lt;=$AB15)+((((Lists!F$24-$AA15)-MOD((Lists!F$24-$AA15),$Z15))-$Z15)&gt;=0)*(EDATE($G15,(((Lists!F$24-$AA15)-MOD((Lists!F$24-$AA15),$Z15))-$Z15))&gt;Lists!F$23)*(EDATE($G15,(((Lists!F$24-$AA15)-MOD((Lists!F$24-$AA15),$Z15))-$Z15))&lt;=Lists!F$21)*(EDATE($G15,(((Lists!F$24-$AA15)-MOD((Lists!F$24-$AA15),$Z15))-$Z15))&lt;=$AB15)))))</f>
        <v>0</v>
      </c>
      <c r="N15" s="53" t="n">
        <f aca="false">IF(OR(N($E15)=0,$G15=""),0,$I15*IF($F15="Weekly",((Lists!G$21-MOD(Lists!G$21-$G15,7))&gt;=$G15)*((Lists!G$21-MOD(Lists!G$21-$G15,7))&lt;=$AB15),IF($F15="One-off",($G15&gt;Lists!G$23)*($G15&lt;=Lists!G$21),IF($F15="",0,(((Lists!G$24-$AA15)-MOD((Lists!G$24-$AA15),$Z15))&gt;=0)*(EDATE($G15,((Lists!G$24-$AA15)-MOD((Lists!G$24-$AA15),$Z15)))&gt;Lists!G$23)*(EDATE($G15,((Lists!G$24-$AA15)-MOD((Lists!G$24-$AA15),$Z15)))&lt;=Lists!G$21)*(EDATE($G15,((Lists!G$24-$AA15)-MOD((Lists!G$24-$AA15),$Z15)))&lt;=$AB15)+((((Lists!G$24-$AA15)-MOD((Lists!G$24-$AA15),$Z15))-$Z15)&gt;=0)*(EDATE($G15,(((Lists!G$24-$AA15)-MOD((Lists!G$24-$AA15),$Z15))-$Z15))&gt;Lists!G$23)*(EDATE($G15,(((Lists!G$24-$AA15)-MOD((Lists!G$24-$AA15),$Z15))-$Z15))&lt;=Lists!G$21)*(EDATE($G15,(((Lists!G$24-$AA15)-MOD((Lists!G$24-$AA15),$Z15))-$Z15))&lt;=$AB15)))))</f>
        <v>0</v>
      </c>
      <c r="O15" s="53" t="n">
        <f aca="false">IF(OR(N($E15)=0,$G15=""),0,$I15*IF($F15="Weekly",((Lists!H$21-MOD(Lists!H$21-$G15,7))&gt;=$G15)*((Lists!H$21-MOD(Lists!H$21-$G15,7))&lt;=$AB15),IF($F15="One-off",($G15&gt;Lists!H$23)*($G15&lt;=Lists!H$21),IF($F15="",0,(((Lists!H$24-$AA15)-MOD((Lists!H$24-$AA15),$Z15))&gt;=0)*(EDATE($G15,((Lists!H$24-$AA15)-MOD((Lists!H$24-$AA15),$Z15)))&gt;Lists!H$23)*(EDATE($G15,((Lists!H$24-$AA15)-MOD((Lists!H$24-$AA15),$Z15)))&lt;=Lists!H$21)*(EDATE($G15,((Lists!H$24-$AA15)-MOD((Lists!H$24-$AA15),$Z15)))&lt;=$AB15)+((((Lists!H$24-$AA15)-MOD((Lists!H$24-$AA15),$Z15))-$Z15)&gt;=0)*(EDATE($G15,(((Lists!H$24-$AA15)-MOD((Lists!H$24-$AA15),$Z15))-$Z15))&gt;Lists!H$23)*(EDATE($G15,(((Lists!H$24-$AA15)-MOD((Lists!H$24-$AA15),$Z15))-$Z15))&lt;=Lists!H$21)*(EDATE($G15,(((Lists!H$24-$AA15)-MOD((Lists!H$24-$AA15),$Z15))-$Z15))&lt;=$AB15)))))</f>
        <v>0</v>
      </c>
      <c r="P15" s="53" t="n">
        <f aca="false">IF(OR(N($E15)=0,$G15=""),0,$I15*IF($F15="Weekly",((Lists!I$21-MOD(Lists!I$21-$G15,7))&gt;=$G15)*((Lists!I$21-MOD(Lists!I$21-$G15,7))&lt;=$AB15),IF($F15="One-off",($G15&gt;Lists!I$23)*($G15&lt;=Lists!I$21),IF($F15="",0,(((Lists!I$24-$AA15)-MOD((Lists!I$24-$AA15),$Z15))&gt;=0)*(EDATE($G15,((Lists!I$24-$AA15)-MOD((Lists!I$24-$AA15),$Z15)))&gt;Lists!I$23)*(EDATE($G15,((Lists!I$24-$AA15)-MOD((Lists!I$24-$AA15),$Z15)))&lt;=Lists!I$21)*(EDATE($G15,((Lists!I$24-$AA15)-MOD((Lists!I$24-$AA15),$Z15)))&lt;=$AB15)+((((Lists!I$24-$AA15)-MOD((Lists!I$24-$AA15),$Z15))-$Z15)&gt;=0)*(EDATE($G15,(((Lists!I$24-$AA15)-MOD((Lists!I$24-$AA15),$Z15))-$Z15))&gt;Lists!I$23)*(EDATE($G15,(((Lists!I$24-$AA15)-MOD((Lists!I$24-$AA15),$Z15))-$Z15))&lt;=Lists!I$21)*(EDATE($G15,(((Lists!I$24-$AA15)-MOD((Lists!I$24-$AA15),$Z15))-$Z15))&lt;=$AB15)))))</f>
        <v>0</v>
      </c>
      <c r="Q15" s="53" t="n">
        <f aca="false">IF(OR(N($E15)=0,$G15=""),0,$I15*IF($F15="Weekly",((Lists!J$21-MOD(Lists!J$21-$G15,7))&gt;=$G15)*((Lists!J$21-MOD(Lists!J$21-$G15,7))&lt;=$AB15),IF($F15="One-off",($G15&gt;Lists!J$23)*($G15&lt;=Lists!J$21),IF($F15="",0,(((Lists!J$24-$AA15)-MOD((Lists!J$24-$AA15),$Z15))&gt;=0)*(EDATE($G15,((Lists!J$24-$AA15)-MOD((Lists!J$24-$AA15),$Z15)))&gt;Lists!J$23)*(EDATE($G15,((Lists!J$24-$AA15)-MOD((Lists!J$24-$AA15),$Z15)))&lt;=Lists!J$21)*(EDATE($G15,((Lists!J$24-$AA15)-MOD((Lists!J$24-$AA15),$Z15)))&lt;=$AB15)+((((Lists!J$24-$AA15)-MOD((Lists!J$24-$AA15),$Z15))-$Z15)&gt;=0)*(EDATE($G15,(((Lists!J$24-$AA15)-MOD((Lists!J$24-$AA15),$Z15))-$Z15))&gt;Lists!J$23)*(EDATE($G15,(((Lists!J$24-$AA15)-MOD((Lists!J$24-$AA15),$Z15))-$Z15))&lt;=Lists!J$21)*(EDATE($G15,(((Lists!J$24-$AA15)-MOD((Lists!J$24-$AA15),$Z15))-$Z15))&lt;=$AB15)))))</f>
        <v>0</v>
      </c>
      <c r="R15" s="53" t="n">
        <f aca="false">IF(OR(N($E15)=0,$G15=""),0,$I15*IF($F15="Weekly",((Lists!K$21-MOD(Lists!K$21-$G15,7))&gt;=$G15)*((Lists!K$21-MOD(Lists!K$21-$G15,7))&lt;=$AB15),IF($F15="One-off",($G15&gt;Lists!K$23)*($G15&lt;=Lists!K$21),IF($F15="",0,(((Lists!K$24-$AA15)-MOD((Lists!K$24-$AA15),$Z15))&gt;=0)*(EDATE($G15,((Lists!K$24-$AA15)-MOD((Lists!K$24-$AA15),$Z15)))&gt;Lists!K$23)*(EDATE($G15,((Lists!K$24-$AA15)-MOD((Lists!K$24-$AA15),$Z15)))&lt;=Lists!K$21)*(EDATE($G15,((Lists!K$24-$AA15)-MOD((Lists!K$24-$AA15),$Z15)))&lt;=$AB15)+((((Lists!K$24-$AA15)-MOD((Lists!K$24-$AA15),$Z15))-$Z15)&gt;=0)*(EDATE($G15,(((Lists!K$24-$AA15)-MOD((Lists!K$24-$AA15),$Z15))-$Z15))&gt;Lists!K$23)*(EDATE($G15,(((Lists!K$24-$AA15)-MOD((Lists!K$24-$AA15),$Z15))-$Z15))&lt;=Lists!K$21)*(EDATE($G15,(((Lists!K$24-$AA15)-MOD((Lists!K$24-$AA15),$Z15))-$Z15))&lt;=$AB15)))))</f>
        <v>0</v>
      </c>
      <c r="S15" s="53" t="n">
        <f aca="false">IF(OR(N($E15)=0,$G15=""),0,$I15*IF($F15="Weekly",((Lists!L$21-MOD(Lists!L$21-$G15,7))&gt;=$G15)*((Lists!L$21-MOD(Lists!L$21-$G15,7))&lt;=$AB15),IF($F15="One-off",($G15&gt;Lists!L$23)*($G15&lt;=Lists!L$21),IF($F15="",0,(((Lists!L$24-$AA15)-MOD((Lists!L$24-$AA15),$Z15))&gt;=0)*(EDATE($G15,((Lists!L$24-$AA15)-MOD((Lists!L$24-$AA15),$Z15)))&gt;Lists!L$23)*(EDATE($G15,((Lists!L$24-$AA15)-MOD((Lists!L$24-$AA15),$Z15)))&lt;=Lists!L$21)*(EDATE($G15,((Lists!L$24-$AA15)-MOD((Lists!L$24-$AA15),$Z15)))&lt;=$AB15)+((((Lists!L$24-$AA15)-MOD((Lists!L$24-$AA15),$Z15))-$Z15)&gt;=0)*(EDATE($G15,(((Lists!L$24-$AA15)-MOD((Lists!L$24-$AA15),$Z15))-$Z15))&gt;Lists!L$23)*(EDATE($G15,(((Lists!L$24-$AA15)-MOD((Lists!L$24-$AA15),$Z15))-$Z15))&lt;=Lists!L$21)*(EDATE($G15,(((Lists!L$24-$AA15)-MOD((Lists!L$24-$AA15),$Z15))-$Z15))&lt;=$AB15)))))</f>
        <v>0</v>
      </c>
      <c r="T15" s="53" t="n">
        <f aca="false">IF(OR(N($E15)=0,$G15=""),0,$I15*IF($F15="Weekly",((Lists!M$21-MOD(Lists!M$21-$G15,7))&gt;=$G15)*((Lists!M$21-MOD(Lists!M$21-$G15,7))&lt;=$AB15),IF($F15="One-off",($G15&gt;Lists!M$23)*($G15&lt;=Lists!M$21),IF($F15="",0,(((Lists!M$24-$AA15)-MOD((Lists!M$24-$AA15),$Z15))&gt;=0)*(EDATE($G15,((Lists!M$24-$AA15)-MOD((Lists!M$24-$AA15),$Z15)))&gt;Lists!M$23)*(EDATE($G15,((Lists!M$24-$AA15)-MOD((Lists!M$24-$AA15),$Z15)))&lt;=Lists!M$21)*(EDATE($G15,((Lists!M$24-$AA15)-MOD((Lists!M$24-$AA15),$Z15)))&lt;=$AB15)+((((Lists!M$24-$AA15)-MOD((Lists!M$24-$AA15),$Z15))-$Z15)&gt;=0)*(EDATE($G15,(((Lists!M$24-$AA15)-MOD((Lists!M$24-$AA15),$Z15))-$Z15))&gt;Lists!M$23)*(EDATE($G15,(((Lists!M$24-$AA15)-MOD((Lists!M$24-$AA15),$Z15))-$Z15))&lt;=Lists!M$21)*(EDATE($G15,(((Lists!M$24-$AA15)-MOD((Lists!M$24-$AA15),$Z15))-$Z15))&lt;=$AB15)))))</f>
        <v>0</v>
      </c>
      <c r="U15" s="53" t="n">
        <f aca="false">IF(OR(N($E15)=0,$G15=""),0,$I15*IF($F15="Weekly",((Lists!N$21-MOD(Lists!N$21-$G15,7))&gt;=$G15)*((Lists!N$21-MOD(Lists!N$21-$G15,7))&lt;=$AB15),IF($F15="One-off",($G15&gt;Lists!N$23)*($G15&lt;=Lists!N$21),IF($F15="",0,(((Lists!N$24-$AA15)-MOD((Lists!N$24-$AA15),$Z15))&gt;=0)*(EDATE($G15,((Lists!N$24-$AA15)-MOD((Lists!N$24-$AA15),$Z15)))&gt;Lists!N$23)*(EDATE($G15,((Lists!N$24-$AA15)-MOD((Lists!N$24-$AA15),$Z15)))&lt;=Lists!N$21)*(EDATE($G15,((Lists!N$24-$AA15)-MOD((Lists!N$24-$AA15),$Z15)))&lt;=$AB15)+((((Lists!N$24-$AA15)-MOD((Lists!N$24-$AA15),$Z15))-$Z15)&gt;=0)*(EDATE($G15,(((Lists!N$24-$AA15)-MOD((Lists!N$24-$AA15),$Z15))-$Z15))&gt;Lists!N$23)*(EDATE($G15,(((Lists!N$24-$AA15)-MOD((Lists!N$24-$AA15),$Z15))-$Z15))&lt;=Lists!N$21)*(EDATE($G15,(((Lists!N$24-$AA15)-MOD((Lists!N$24-$AA15),$Z15))-$Z15))&lt;=$AB15)))))</f>
        <v>0</v>
      </c>
      <c r="V15" s="53" t="n">
        <f aca="false">IF(OR(N($E15)=0,$G15=""),0,$I15*IF($F15="Weekly",((Lists!O$21-MOD(Lists!O$21-$G15,7))&gt;=$G15)*((Lists!O$21-MOD(Lists!O$21-$G15,7))&lt;=$AB15),IF($F15="One-off",($G15&gt;Lists!O$23)*($G15&lt;=Lists!O$21),IF($F15="",0,(((Lists!O$24-$AA15)-MOD((Lists!O$24-$AA15),$Z15))&gt;=0)*(EDATE($G15,((Lists!O$24-$AA15)-MOD((Lists!O$24-$AA15),$Z15)))&gt;Lists!O$23)*(EDATE($G15,((Lists!O$24-$AA15)-MOD((Lists!O$24-$AA15),$Z15)))&lt;=Lists!O$21)*(EDATE($G15,((Lists!O$24-$AA15)-MOD((Lists!O$24-$AA15),$Z15)))&lt;=$AB15)+((((Lists!O$24-$AA15)-MOD((Lists!O$24-$AA15),$Z15))-$Z15)&gt;=0)*(EDATE($G15,(((Lists!O$24-$AA15)-MOD((Lists!O$24-$AA15),$Z15))-$Z15))&gt;Lists!O$23)*(EDATE($G15,(((Lists!O$24-$AA15)-MOD((Lists!O$24-$AA15),$Z15))-$Z15))&lt;=Lists!O$21)*(EDATE($G15,(((Lists!O$24-$AA15)-MOD((Lists!O$24-$AA15),$Z15))-$Z15))&lt;=$AB15)))))</f>
        <v>0</v>
      </c>
      <c r="W15" s="46" t="n">
        <f aca="false">SUM(J15:V15)</f>
        <v>0</v>
      </c>
      <c r="X15" s="2"/>
      <c r="Y15" s="104" t="n">
        <f aca="false">1</f>
        <v>1</v>
      </c>
      <c r="Z15" s="94" t="n">
        <f aca="false">IF(F15="Quarterly",3,IF(F15="Annually",12,1))</f>
        <v>1</v>
      </c>
      <c r="AA15" s="94" t="n">
        <f aca="false">IF(G15="",0,YEAR(G15)*12+MONTH(G15))</f>
        <v>0</v>
      </c>
      <c r="AB15" s="93" t="n">
        <f aca="false">IF(H15="",2958465,H15)</f>
        <v>2958465</v>
      </c>
      <c r="AC15" s="95" t="str">
        <f aca="false">IF(C15="","Other finance",C15)</f>
        <v>Other finance</v>
      </c>
    </row>
    <row r="16" customFormat="false" ht="15" hidden="false" customHeight="false" outlineLevel="0" collapsed="false">
      <c r="A16" s="87" t="n">
        <v>8</v>
      </c>
      <c r="B16" s="55"/>
      <c r="C16" s="55"/>
      <c r="D16" s="2"/>
      <c r="E16" s="88"/>
      <c r="F16" s="58"/>
      <c r="G16" s="90"/>
      <c r="H16" s="90"/>
      <c r="I16" s="92" t="n">
        <f aca="false">N(E16)*Y16</f>
        <v>0</v>
      </c>
      <c r="J16" s="53" t="n">
        <f aca="false">IF(OR(N($E16)=0,$G16=""),0,$I16*IF($F16="Weekly",((Lists!C$21-MOD(Lists!C$21-$G16,7))&gt;=$G16)*((Lists!C$21-MOD(Lists!C$21-$G16,7))&lt;=$AB16),IF($F16="One-off",($G16&gt;Lists!C$23)*($G16&lt;=Lists!C$21),IF($F16="",0,(((Lists!C$24-$AA16)-MOD((Lists!C$24-$AA16),$Z16))&gt;=0)*(EDATE($G16,((Lists!C$24-$AA16)-MOD((Lists!C$24-$AA16),$Z16)))&gt;Lists!C$23)*(EDATE($G16,((Lists!C$24-$AA16)-MOD((Lists!C$24-$AA16),$Z16)))&lt;=Lists!C$21)*(EDATE($G16,((Lists!C$24-$AA16)-MOD((Lists!C$24-$AA16),$Z16)))&lt;=$AB16)+((((Lists!C$24-$AA16)-MOD((Lists!C$24-$AA16),$Z16))-$Z16)&gt;=0)*(EDATE($G16,(((Lists!C$24-$AA16)-MOD((Lists!C$24-$AA16),$Z16))-$Z16))&gt;Lists!C$23)*(EDATE($G16,(((Lists!C$24-$AA16)-MOD((Lists!C$24-$AA16),$Z16))-$Z16))&lt;=Lists!C$21)*(EDATE($G16,(((Lists!C$24-$AA16)-MOD((Lists!C$24-$AA16),$Z16))-$Z16))&lt;=$AB16)))))</f>
        <v>0</v>
      </c>
      <c r="K16" s="53" t="n">
        <f aca="false">IF(OR(N($E16)=0,$G16=""),0,$I16*IF($F16="Weekly",((Lists!D$21-MOD(Lists!D$21-$G16,7))&gt;=$G16)*((Lists!D$21-MOD(Lists!D$21-$G16,7))&lt;=$AB16),IF($F16="One-off",($G16&gt;Lists!D$23)*($G16&lt;=Lists!D$21),IF($F16="",0,(((Lists!D$24-$AA16)-MOD((Lists!D$24-$AA16),$Z16))&gt;=0)*(EDATE($G16,((Lists!D$24-$AA16)-MOD((Lists!D$24-$AA16),$Z16)))&gt;Lists!D$23)*(EDATE($G16,((Lists!D$24-$AA16)-MOD((Lists!D$24-$AA16),$Z16)))&lt;=Lists!D$21)*(EDATE($G16,((Lists!D$24-$AA16)-MOD((Lists!D$24-$AA16),$Z16)))&lt;=$AB16)+((((Lists!D$24-$AA16)-MOD((Lists!D$24-$AA16),$Z16))-$Z16)&gt;=0)*(EDATE($G16,(((Lists!D$24-$AA16)-MOD((Lists!D$24-$AA16),$Z16))-$Z16))&gt;Lists!D$23)*(EDATE($G16,(((Lists!D$24-$AA16)-MOD((Lists!D$24-$AA16),$Z16))-$Z16))&lt;=Lists!D$21)*(EDATE($G16,(((Lists!D$24-$AA16)-MOD((Lists!D$24-$AA16),$Z16))-$Z16))&lt;=$AB16)))))</f>
        <v>0</v>
      </c>
      <c r="L16" s="53" t="n">
        <f aca="false">IF(OR(N($E16)=0,$G16=""),0,$I16*IF($F16="Weekly",((Lists!E$21-MOD(Lists!E$21-$G16,7))&gt;=$G16)*((Lists!E$21-MOD(Lists!E$21-$G16,7))&lt;=$AB16),IF($F16="One-off",($G16&gt;Lists!E$23)*($G16&lt;=Lists!E$21),IF($F16="",0,(((Lists!E$24-$AA16)-MOD((Lists!E$24-$AA16),$Z16))&gt;=0)*(EDATE($G16,((Lists!E$24-$AA16)-MOD((Lists!E$24-$AA16),$Z16)))&gt;Lists!E$23)*(EDATE($G16,((Lists!E$24-$AA16)-MOD((Lists!E$24-$AA16),$Z16)))&lt;=Lists!E$21)*(EDATE($G16,((Lists!E$24-$AA16)-MOD((Lists!E$24-$AA16),$Z16)))&lt;=$AB16)+((((Lists!E$24-$AA16)-MOD((Lists!E$24-$AA16),$Z16))-$Z16)&gt;=0)*(EDATE($G16,(((Lists!E$24-$AA16)-MOD((Lists!E$24-$AA16),$Z16))-$Z16))&gt;Lists!E$23)*(EDATE($G16,(((Lists!E$24-$AA16)-MOD((Lists!E$24-$AA16),$Z16))-$Z16))&lt;=Lists!E$21)*(EDATE($G16,(((Lists!E$24-$AA16)-MOD((Lists!E$24-$AA16),$Z16))-$Z16))&lt;=$AB16)))))</f>
        <v>0</v>
      </c>
      <c r="M16" s="53" t="n">
        <f aca="false">IF(OR(N($E16)=0,$G16=""),0,$I16*IF($F16="Weekly",((Lists!F$21-MOD(Lists!F$21-$G16,7))&gt;=$G16)*((Lists!F$21-MOD(Lists!F$21-$G16,7))&lt;=$AB16),IF($F16="One-off",($G16&gt;Lists!F$23)*($G16&lt;=Lists!F$21),IF($F16="",0,(((Lists!F$24-$AA16)-MOD((Lists!F$24-$AA16),$Z16))&gt;=0)*(EDATE($G16,((Lists!F$24-$AA16)-MOD((Lists!F$24-$AA16),$Z16)))&gt;Lists!F$23)*(EDATE($G16,((Lists!F$24-$AA16)-MOD((Lists!F$24-$AA16),$Z16)))&lt;=Lists!F$21)*(EDATE($G16,((Lists!F$24-$AA16)-MOD((Lists!F$24-$AA16),$Z16)))&lt;=$AB16)+((((Lists!F$24-$AA16)-MOD((Lists!F$24-$AA16),$Z16))-$Z16)&gt;=0)*(EDATE($G16,(((Lists!F$24-$AA16)-MOD((Lists!F$24-$AA16),$Z16))-$Z16))&gt;Lists!F$23)*(EDATE($G16,(((Lists!F$24-$AA16)-MOD((Lists!F$24-$AA16),$Z16))-$Z16))&lt;=Lists!F$21)*(EDATE($G16,(((Lists!F$24-$AA16)-MOD((Lists!F$24-$AA16),$Z16))-$Z16))&lt;=$AB16)))))</f>
        <v>0</v>
      </c>
      <c r="N16" s="53" t="n">
        <f aca="false">IF(OR(N($E16)=0,$G16=""),0,$I16*IF($F16="Weekly",((Lists!G$21-MOD(Lists!G$21-$G16,7))&gt;=$G16)*((Lists!G$21-MOD(Lists!G$21-$G16,7))&lt;=$AB16),IF($F16="One-off",($G16&gt;Lists!G$23)*($G16&lt;=Lists!G$21),IF($F16="",0,(((Lists!G$24-$AA16)-MOD((Lists!G$24-$AA16),$Z16))&gt;=0)*(EDATE($G16,((Lists!G$24-$AA16)-MOD((Lists!G$24-$AA16),$Z16)))&gt;Lists!G$23)*(EDATE($G16,((Lists!G$24-$AA16)-MOD((Lists!G$24-$AA16),$Z16)))&lt;=Lists!G$21)*(EDATE($G16,((Lists!G$24-$AA16)-MOD((Lists!G$24-$AA16),$Z16)))&lt;=$AB16)+((((Lists!G$24-$AA16)-MOD((Lists!G$24-$AA16),$Z16))-$Z16)&gt;=0)*(EDATE($G16,(((Lists!G$24-$AA16)-MOD((Lists!G$24-$AA16),$Z16))-$Z16))&gt;Lists!G$23)*(EDATE($G16,(((Lists!G$24-$AA16)-MOD((Lists!G$24-$AA16),$Z16))-$Z16))&lt;=Lists!G$21)*(EDATE($G16,(((Lists!G$24-$AA16)-MOD((Lists!G$24-$AA16),$Z16))-$Z16))&lt;=$AB16)))))</f>
        <v>0</v>
      </c>
      <c r="O16" s="53" t="n">
        <f aca="false">IF(OR(N($E16)=0,$G16=""),0,$I16*IF($F16="Weekly",((Lists!H$21-MOD(Lists!H$21-$G16,7))&gt;=$G16)*((Lists!H$21-MOD(Lists!H$21-$G16,7))&lt;=$AB16),IF($F16="One-off",($G16&gt;Lists!H$23)*($G16&lt;=Lists!H$21),IF($F16="",0,(((Lists!H$24-$AA16)-MOD((Lists!H$24-$AA16),$Z16))&gt;=0)*(EDATE($G16,((Lists!H$24-$AA16)-MOD((Lists!H$24-$AA16),$Z16)))&gt;Lists!H$23)*(EDATE($G16,((Lists!H$24-$AA16)-MOD((Lists!H$24-$AA16),$Z16)))&lt;=Lists!H$21)*(EDATE($G16,((Lists!H$24-$AA16)-MOD((Lists!H$24-$AA16),$Z16)))&lt;=$AB16)+((((Lists!H$24-$AA16)-MOD((Lists!H$24-$AA16),$Z16))-$Z16)&gt;=0)*(EDATE($G16,(((Lists!H$24-$AA16)-MOD((Lists!H$24-$AA16),$Z16))-$Z16))&gt;Lists!H$23)*(EDATE($G16,(((Lists!H$24-$AA16)-MOD((Lists!H$24-$AA16),$Z16))-$Z16))&lt;=Lists!H$21)*(EDATE($G16,(((Lists!H$24-$AA16)-MOD((Lists!H$24-$AA16),$Z16))-$Z16))&lt;=$AB16)))))</f>
        <v>0</v>
      </c>
      <c r="P16" s="53" t="n">
        <f aca="false">IF(OR(N($E16)=0,$G16=""),0,$I16*IF($F16="Weekly",((Lists!I$21-MOD(Lists!I$21-$G16,7))&gt;=$G16)*((Lists!I$21-MOD(Lists!I$21-$G16,7))&lt;=$AB16),IF($F16="One-off",($G16&gt;Lists!I$23)*($G16&lt;=Lists!I$21),IF($F16="",0,(((Lists!I$24-$AA16)-MOD((Lists!I$24-$AA16),$Z16))&gt;=0)*(EDATE($G16,((Lists!I$24-$AA16)-MOD((Lists!I$24-$AA16),$Z16)))&gt;Lists!I$23)*(EDATE($G16,((Lists!I$24-$AA16)-MOD((Lists!I$24-$AA16),$Z16)))&lt;=Lists!I$21)*(EDATE($G16,((Lists!I$24-$AA16)-MOD((Lists!I$24-$AA16),$Z16)))&lt;=$AB16)+((((Lists!I$24-$AA16)-MOD((Lists!I$24-$AA16),$Z16))-$Z16)&gt;=0)*(EDATE($G16,(((Lists!I$24-$AA16)-MOD((Lists!I$24-$AA16),$Z16))-$Z16))&gt;Lists!I$23)*(EDATE($G16,(((Lists!I$24-$AA16)-MOD((Lists!I$24-$AA16),$Z16))-$Z16))&lt;=Lists!I$21)*(EDATE($G16,(((Lists!I$24-$AA16)-MOD((Lists!I$24-$AA16),$Z16))-$Z16))&lt;=$AB16)))))</f>
        <v>0</v>
      </c>
      <c r="Q16" s="53" t="n">
        <f aca="false">IF(OR(N($E16)=0,$G16=""),0,$I16*IF($F16="Weekly",((Lists!J$21-MOD(Lists!J$21-$G16,7))&gt;=$G16)*((Lists!J$21-MOD(Lists!J$21-$G16,7))&lt;=$AB16),IF($F16="One-off",($G16&gt;Lists!J$23)*($G16&lt;=Lists!J$21),IF($F16="",0,(((Lists!J$24-$AA16)-MOD((Lists!J$24-$AA16),$Z16))&gt;=0)*(EDATE($G16,((Lists!J$24-$AA16)-MOD((Lists!J$24-$AA16),$Z16)))&gt;Lists!J$23)*(EDATE($G16,((Lists!J$24-$AA16)-MOD((Lists!J$24-$AA16),$Z16)))&lt;=Lists!J$21)*(EDATE($G16,((Lists!J$24-$AA16)-MOD((Lists!J$24-$AA16),$Z16)))&lt;=$AB16)+((((Lists!J$24-$AA16)-MOD((Lists!J$24-$AA16),$Z16))-$Z16)&gt;=0)*(EDATE($G16,(((Lists!J$24-$AA16)-MOD((Lists!J$24-$AA16),$Z16))-$Z16))&gt;Lists!J$23)*(EDATE($G16,(((Lists!J$24-$AA16)-MOD((Lists!J$24-$AA16),$Z16))-$Z16))&lt;=Lists!J$21)*(EDATE($G16,(((Lists!J$24-$AA16)-MOD((Lists!J$24-$AA16),$Z16))-$Z16))&lt;=$AB16)))))</f>
        <v>0</v>
      </c>
      <c r="R16" s="53" t="n">
        <f aca="false">IF(OR(N($E16)=0,$G16=""),0,$I16*IF($F16="Weekly",((Lists!K$21-MOD(Lists!K$21-$G16,7))&gt;=$G16)*((Lists!K$21-MOD(Lists!K$21-$G16,7))&lt;=$AB16),IF($F16="One-off",($G16&gt;Lists!K$23)*($G16&lt;=Lists!K$21),IF($F16="",0,(((Lists!K$24-$AA16)-MOD((Lists!K$24-$AA16),$Z16))&gt;=0)*(EDATE($G16,((Lists!K$24-$AA16)-MOD((Lists!K$24-$AA16),$Z16)))&gt;Lists!K$23)*(EDATE($G16,((Lists!K$24-$AA16)-MOD((Lists!K$24-$AA16),$Z16)))&lt;=Lists!K$21)*(EDATE($G16,((Lists!K$24-$AA16)-MOD((Lists!K$24-$AA16),$Z16)))&lt;=$AB16)+((((Lists!K$24-$AA16)-MOD((Lists!K$24-$AA16),$Z16))-$Z16)&gt;=0)*(EDATE($G16,(((Lists!K$24-$AA16)-MOD((Lists!K$24-$AA16),$Z16))-$Z16))&gt;Lists!K$23)*(EDATE($G16,(((Lists!K$24-$AA16)-MOD((Lists!K$24-$AA16),$Z16))-$Z16))&lt;=Lists!K$21)*(EDATE($G16,(((Lists!K$24-$AA16)-MOD((Lists!K$24-$AA16),$Z16))-$Z16))&lt;=$AB16)))))</f>
        <v>0</v>
      </c>
      <c r="S16" s="53" t="n">
        <f aca="false">IF(OR(N($E16)=0,$G16=""),0,$I16*IF($F16="Weekly",((Lists!L$21-MOD(Lists!L$21-$G16,7))&gt;=$G16)*((Lists!L$21-MOD(Lists!L$21-$G16,7))&lt;=$AB16),IF($F16="One-off",($G16&gt;Lists!L$23)*($G16&lt;=Lists!L$21),IF($F16="",0,(((Lists!L$24-$AA16)-MOD((Lists!L$24-$AA16),$Z16))&gt;=0)*(EDATE($G16,((Lists!L$24-$AA16)-MOD((Lists!L$24-$AA16),$Z16)))&gt;Lists!L$23)*(EDATE($G16,((Lists!L$24-$AA16)-MOD((Lists!L$24-$AA16),$Z16)))&lt;=Lists!L$21)*(EDATE($G16,((Lists!L$24-$AA16)-MOD((Lists!L$24-$AA16),$Z16)))&lt;=$AB16)+((((Lists!L$24-$AA16)-MOD((Lists!L$24-$AA16),$Z16))-$Z16)&gt;=0)*(EDATE($G16,(((Lists!L$24-$AA16)-MOD((Lists!L$24-$AA16),$Z16))-$Z16))&gt;Lists!L$23)*(EDATE($G16,(((Lists!L$24-$AA16)-MOD((Lists!L$24-$AA16),$Z16))-$Z16))&lt;=Lists!L$21)*(EDATE($G16,(((Lists!L$24-$AA16)-MOD((Lists!L$24-$AA16),$Z16))-$Z16))&lt;=$AB16)))))</f>
        <v>0</v>
      </c>
      <c r="T16" s="53" t="n">
        <f aca="false">IF(OR(N($E16)=0,$G16=""),0,$I16*IF($F16="Weekly",((Lists!M$21-MOD(Lists!M$21-$G16,7))&gt;=$G16)*((Lists!M$21-MOD(Lists!M$21-$G16,7))&lt;=$AB16),IF($F16="One-off",($G16&gt;Lists!M$23)*($G16&lt;=Lists!M$21),IF($F16="",0,(((Lists!M$24-$AA16)-MOD((Lists!M$24-$AA16),$Z16))&gt;=0)*(EDATE($G16,((Lists!M$24-$AA16)-MOD((Lists!M$24-$AA16),$Z16)))&gt;Lists!M$23)*(EDATE($G16,((Lists!M$24-$AA16)-MOD((Lists!M$24-$AA16),$Z16)))&lt;=Lists!M$21)*(EDATE($G16,((Lists!M$24-$AA16)-MOD((Lists!M$24-$AA16),$Z16)))&lt;=$AB16)+((((Lists!M$24-$AA16)-MOD((Lists!M$24-$AA16),$Z16))-$Z16)&gt;=0)*(EDATE($G16,(((Lists!M$24-$AA16)-MOD((Lists!M$24-$AA16),$Z16))-$Z16))&gt;Lists!M$23)*(EDATE($G16,(((Lists!M$24-$AA16)-MOD((Lists!M$24-$AA16),$Z16))-$Z16))&lt;=Lists!M$21)*(EDATE($G16,(((Lists!M$24-$AA16)-MOD((Lists!M$24-$AA16),$Z16))-$Z16))&lt;=$AB16)))))</f>
        <v>0</v>
      </c>
      <c r="U16" s="53" t="n">
        <f aca="false">IF(OR(N($E16)=0,$G16=""),0,$I16*IF($F16="Weekly",((Lists!N$21-MOD(Lists!N$21-$G16,7))&gt;=$G16)*((Lists!N$21-MOD(Lists!N$21-$G16,7))&lt;=$AB16),IF($F16="One-off",($G16&gt;Lists!N$23)*($G16&lt;=Lists!N$21),IF($F16="",0,(((Lists!N$24-$AA16)-MOD((Lists!N$24-$AA16),$Z16))&gt;=0)*(EDATE($G16,((Lists!N$24-$AA16)-MOD((Lists!N$24-$AA16),$Z16)))&gt;Lists!N$23)*(EDATE($G16,((Lists!N$24-$AA16)-MOD((Lists!N$24-$AA16),$Z16)))&lt;=Lists!N$21)*(EDATE($G16,((Lists!N$24-$AA16)-MOD((Lists!N$24-$AA16),$Z16)))&lt;=$AB16)+((((Lists!N$24-$AA16)-MOD((Lists!N$24-$AA16),$Z16))-$Z16)&gt;=0)*(EDATE($G16,(((Lists!N$24-$AA16)-MOD((Lists!N$24-$AA16),$Z16))-$Z16))&gt;Lists!N$23)*(EDATE($G16,(((Lists!N$24-$AA16)-MOD((Lists!N$24-$AA16),$Z16))-$Z16))&lt;=Lists!N$21)*(EDATE($G16,(((Lists!N$24-$AA16)-MOD((Lists!N$24-$AA16),$Z16))-$Z16))&lt;=$AB16)))))</f>
        <v>0</v>
      </c>
      <c r="V16" s="53" t="n">
        <f aca="false">IF(OR(N($E16)=0,$G16=""),0,$I16*IF($F16="Weekly",((Lists!O$21-MOD(Lists!O$21-$G16,7))&gt;=$G16)*((Lists!O$21-MOD(Lists!O$21-$G16,7))&lt;=$AB16),IF($F16="One-off",($G16&gt;Lists!O$23)*($G16&lt;=Lists!O$21),IF($F16="",0,(((Lists!O$24-$AA16)-MOD((Lists!O$24-$AA16),$Z16))&gt;=0)*(EDATE($G16,((Lists!O$24-$AA16)-MOD((Lists!O$24-$AA16),$Z16)))&gt;Lists!O$23)*(EDATE($G16,((Lists!O$24-$AA16)-MOD((Lists!O$24-$AA16),$Z16)))&lt;=Lists!O$21)*(EDATE($G16,((Lists!O$24-$AA16)-MOD((Lists!O$24-$AA16),$Z16)))&lt;=$AB16)+((((Lists!O$24-$AA16)-MOD((Lists!O$24-$AA16),$Z16))-$Z16)&gt;=0)*(EDATE($G16,(((Lists!O$24-$AA16)-MOD((Lists!O$24-$AA16),$Z16))-$Z16))&gt;Lists!O$23)*(EDATE($G16,(((Lists!O$24-$AA16)-MOD((Lists!O$24-$AA16),$Z16))-$Z16))&lt;=Lists!O$21)*(EDATE($G16,(((Lists!O$24-$AA16)-MOD((Lists!O$24-$AA16),$Z16))-$Z16))&lt;=$AB16)))))</f>
        <v>0</v>
      </c>
      <c r="W16" s="46" t="n">
        <f aca="false">SUM(J16:V16)</f>
        <v>0</v>
      </c>
      <c r="X16" s="2"/>
      <c r="Y16" s="104" t="n">
        <f aca="false">1</f>
        <v>1</v>
      </c>
      <c r="Z16" s="94" t="n">
        <f aca="false">IF(F16="Quarterly",3,IF(F16="Annually",12,1))</f>
        <v>1</v>
      </c>
      <c r="AA16" s="94" t="n">
        <f aca="false">IF(G16="",0,YEAR(G16)*12+MONTH(G16))</f>
        <v>0</v>
      </c>
      <c r="AB16" s="93" t="n">
        <f aca="false">IF(H16="",2958465,H16)</f>
        <v>2958465</v>
      </c>
      <c r="AC16" s="95" t="str">
        <f aca="false">IF(C16="","Other finance",C16)</f>
        <v>Other finance</v>
      </c>
    </row>
    <row r="17" customFormat="false" ht="15" hidden="false" customHeight="false" outlineLevel="0" collapsed="false">
      <c r="A17" s="87" t="n">
        <v>9</v>
      </c>
      <c r="B17" s="55"/>
      <c r="C17" s="55"/>
      <c r="D17" s="2"/>
      <c r="E17" s="88"/>
      <c r="F17" s="58"/>
      <c r="G17" s="90"/>
      <c r="H17" s="90"/>
      <c r="I17" s="92" t="n">
        <f aca="false">N(E17)*Y17</f>
        <v>0</v>
      </c>
      <c r="J17" s="53" t="n">
        <f aca="false">IF(OR(N($E17)=0,$G17=""),0,$I17*IF($F17="Weekly",((Lists!C$21-MOD(Lists!C$21-$G17,7))&gt;=$G17)*((Lists!C$21-MOD(Lists!C$21-$G17,7))&lt;=$AB17),IF($F17="One-off",($G17&gt;Lists!C$23)*($G17&lt;=Lists!C$21),IF($F17="",0,(((Lists!C$24-$AA17)-MOD((Lists!C$24-$AA17),$Z17))&gt;=0)*(EDATE($G17,((Lists!C$24-$AA17)-MOD((Lists!C$24-$AA17),$Z17)))&gt;Lists!C$23)*(EDATE($G17,((Lists!C$24-$AA17)-MOD((Lists!C$24-$AA17),$Z17)))&lt;=Lists!C$21)*(EDATE($G17,((Lists!C$24-$AA17)-MOD((Lists!C$24-$AA17),$Z17)))&lt;=$AB17)+((((Lists!C$24-$AA17)-MOD((Lists!C$24-$AA17),$Z17))-$Z17)&gt;=0)*(EDATE($G17,(((Lists!C$24-$AA17)-MOD((Lists!C$24-$AA17),$Z17))-$Z17))&gt;Lists!C$23)*(EDATE($G17,(((Lists!C$24-$AA17)-MOD((Lists!C$24-$AA17),$Z17))-$Z17))&lt;=Lists!C$21)*(EDATE($G17,(((Lists!C$24-$AA17)-MOD((Lists!C$24-$AA17),$Z17))-$Z17))&lt;=$AB17)))))</f>
        <v>0</v>
      </c>
      <c r="K17" s="53" t="n">
        <f aca="false">IF(OR(N($E17)=0,$G17=""),0,$I17*IF($F17="Weekly",((Lists!D$21-MOD(Lists!D$21-$G17,7))&gt;=$G17)*((Lists!D$21-MOD(Lists!D$21-$G17,7))&lt;=$AB17),IF($F17="One-off",($G17&gt;Lists!D$23)*($G17&lt;=Lists!D$21),IF($F17="",0,(((Lists!D$24-$AA17)-MOD((Lists!D$24-$AA17),$Z17))&gt;=0)*(EDATE($G17,((Lists!D$24-$AA17)-MOD((Lists!D$24-$AA17),$Z17)))&gt;Lists!D$23)*(EDATE($G17,((Lists!D$24-$AA17)-MOD((Lists!D$24-$AA17),$Z17)))&lt;=Lists!D$21)*(EDATE($G17,((Lists!D$24-$AA17)-MOD((Lists!D$24-$AA17),$Z17)))&lt;=$AB17)+((((Lists!D$24-$AA17)-MOD((Lists!D$24-$AA17),$Z17))-$Z17)&gt;=0)*(EDATE($G17,(((Lists!D$24-$AA17)-MOD((Lists!D$24-$AA17),$Z17))-$Z17))&gt;Lists!D$23)*(EDATE($G17,(((Lists!D$24-$AA17)-MOD((Lists!D$24-$AA17),$Z17))-$Z17))&lt;=Lists!D$21)*(EDATE($G17,(((Lists!D$24-$AA17)-MOD((Lists!D$24-$AA17),$Z17))-$Z17))&lt;=$AB17)))))</f>
        <v>0</v>
      </c>
      <c r="L17" s="53" t="n">
        <f aca="false">IF(OR(N($E17)=0,$G17=""),0,$I17*IF($F17="Weekly",((Lists!E$21-MOD(Lists!E$21-$G17,7))&gt;=$G17)*((Lists!E$21-MOD(Lists!E$21-$G17,7))&lt;=$AB17),IF($F17="One-off",($G17&gt;Lists!E$23)*($G17&lt;=Lists!E$21),IF($F17="",0,(((Lists!E$24-$AA17)-MOD((Lists!E$24-$AA17),$Z17))&gt;=0)*(EDATE($G17,((Lists!E$24-$AA17)-MOD((Lists!E$24-$AA17),$Z17)))&gt;Lists!E$23)*(EDATE($G17,((Lists!E$24-$AA17)-MOD((Lists!E$24-$AA17),$Z17)))&lt;=Lists!E$21)*(EDATE($G17,((Lists!E$24-$AA17)-MOD((Lists!E$24-$AA17),$Z17)))&lt;=$AB17)+((((Lists!E$24-$AA17)-MOD((Lists!E$24-$AA17),$Z17))-$Z17)&gt;=0)*(EDATE($G17,(((Lists!E$24-$AA17)-MOD((Lists!E$24-$AA17),$Z17))-$Z17))&gt;Lists!E$23)*(EDATE($G17,(((Lists!E$24-$AA17)-MOD((Lists!E$24-$AA17),$Z17))-$Z17))&lt;=Lists!E$21)*(EDATE($G17,(((Lists!E$24-$AA17)-MOD((Lists!E$24-$AA17),$Z17))-$Z17))&lt;=$AB17)))))</f>
        <v>0</v>
      </c>
      <c r="M17" s="53" t="n">
        <f aca="false">IF(OR(N($E17)=0,$G17=""),0,$I17*IF($F17="Weekly",((Lists!F$21-MOD(Lists!F$21-$G17,7))&gt;=$G17)*((Lists!F$21-MOD(Lists!F$21-$G17,7))&lt;=$AB17),IF($F17="One-off",($G17&gt;Lists!F$23)*($G17&lt;=Lists!F$21),IF($F17="",0,(((Lists!F$24-$AA17)-MOD((Lists!F$24-$AA17),$Z17))&gt;=0)*(EDATE($G17,((Lists!F$24-$AA17)-MOD((Lists!F$24-$AA17),$Z17)))&gt;Lists!F$23)*(EDATE($G17,((Lists!F$24-$AA17)-MOD((Lists!F$24-$AA17),$Z17)))&lt;=Lists!F$21)*(EDATE($G17,((Lists!F$24-$AA17)-MOD((Lists!F$24-$AA17),$Z17)))&lt;=$AB17)+((((Lists!F$24-$AA17)-MOD((Lists!F$24-$AA17),$Z17))-$Z17)&gt;=0)*(EDATE($G17,(((Lists!F$24-$AA17)-MOD((Lists!F$24-$AA17),$Z17))-$Z17))&gt;Lists!F$23)*(EDATE($G17,(((Lists!F$24-$AA17)-MOD((Lists!F$24-$AA17),$Z17))-$Z17))&lt;=Lists!F$21)*(EDATE($G17,(((Lists!F$24-$AA17)-MOD((Lists!F$24-$AA17),$Z17))-$Z17))&lt;=$AB17)))))</f>
        <v>0</v>
      </c>
      <c r="N17" s="53" t="n">
        <f aca="false">IF(OR(N($E17)=0,$G17=""),0,$I17*IF($F17="Weekly",((Lists!G$21-MOD(Lists!G$21-$G17,7))&gt;=$G17)*((Lists!G$21-MOD(Lists!G$21-$G17,7))&lt;=$AB17),IF($F17="One-off",($G17&gt;Lists!G$23)*($G17&lt;=Lists!G$21),IF($F17="",0,(((Lists!G$24-$AA17)-MOD((Lists!G$24-$AA17),$Z17))&gt;=0)*(EDATE($G17,((Lists!G$24-$AA17)-MOD((Lists!G$24-$AA17),$Z17)))&gt;Lists!G$23)*(EDATE($G17,((Lists!G$24-$AA17)-MOD((Lists!G$24-$AA17),$Z17)))&lt;=Lists!G$21)*(EDATE($G17,((Lists!G$24-$AA17)-MOD((Lists!G$24-$AA17),$Z17)))&lt;=$AB17)+((((Lists!G$24-$AA17)-MOD((Lists!G$24-$AA17),$Z17))-$Z17)&gt;=0)*(EDATE($G17,(((Lists!G$24-$AA17)-MOD((Lists!G$24-$AA17),$Z17))-$Z17))&gt;Lists!G$23)*(EDATE($G17,(((Lists!G$24-$AA17)-MOD((Lists!G$24-$AA17),$Z17))-$Z17))&lt;=Lists!G$21)*(EDATE($G17,(((Lists!G$24-$AA17)-MOD((Lists!G$24-$AA17),$Z17))-$Z17))&lt;=$AB17)))))</f>
        <v>0</v>
      </c>
      <c r="O17" s="53" t="n">
        <f aca="false">IF(OR(N($E17)=0,$G17=""),0,$I17*IF($F17="Weekly",((Lists!H$21-MOD(Lists!H$21-$G17,7))&gt;=$G17)*((Lists!H$21-MOD(Lists!H$21-$G17,7))&lt;=$AB17),IF($F17="One-off",($G17&gt;Lists!H$23)*($G17&lt;=Lists!H$21),IF($F17="",0,(((Lists!H$24-$AA17)-MOD((Lists!H$24-$AA17),$Z17))&gt;=0)*(EDATE($G17,((Lists!H$24-$AA17)-MOD((Lists!H$24-$AA17),$Z17)))&gt;Lists!H$23)*(EDATE($G17,((Lists!H$24-$AA17)-MOD((Lists!H$24-$AA17),$Z17)))&lt;=Lists!H$21)*(EDATE($G17,((Lists!H$24-$AA17)-MOD((Lists!H$24-$AA17),$Z17)))&lt;=$AB17)+((((Lists!H$24-$AA17)-MOD((Lists!H$24-$AA17),$Z17))-$Z17)&gt;=0)*(EDATE($G17,(((Lists!H$24-$AA17)-MOD((Lists!H$24-$AA17),$Z17))-$Z17))&gt;Lists!H$23)*(EDATE($G17,(((Lists!H$24-$AA17)-MOD((Lists!H$24-$AA17),$Z17))-$Z17))&lt;=Lists!H$21)*(EDATE($G17,(((Lists!H$24-$AA17)-MOD((Lists!H$24-$AA17),$Z17))-$Z17))&lt;=$AB17)))))</f>
        <v>0</v>
      </c>
      <c r="P17" s="53" t="n">
        <f aca="false">IF(OR(N($E17)=0,$G17=""),0,$I17*IF($F17="Weekly",((Lists!I$21-MOD(Lists!I$21-$G17,7))&gt;=$G17)*((Lists!I$21-MOD(Lists!I$21-$G17,7))&lt;=$AB17),IF($F17="One-off",($G17&gt;Lists!I$23)*($G17&lt;=Lists!I$21),IF($F17="",0,(((Lists!I$24-$AA17)-MOD((Lists!I$24-$AA17),$Z17))&gt;=0)*(EDATE($G17,((Lists!I$24-$AA17)-MOD((Lists!I$24-$AA17),$Z17)))&gt;Lists!I$23)*(EDATE($G17,((Lists!I$24-$AA17)-MOD((Lists!I$24-$AA17),$Z17)))&lt;=Lists!I$21)*(EDATE($G17,((Lists!I$24-$AA17)-MOD((Lists!I$24-$AA17),$Z17)))&lt;=$AB17)+((((Lists!I$24-$AA17)-MOD((Lists!I$24-$AA17),$Z17))-$Z17)&gt;=0)*(EDATE($G17,(((Lists!I$24-$AA17)-MOD((Lists!I$24-$AA17),$Z17))-$Z17))&gt;Lists!I$23)*(EDATE($G17,(((Lists!I$24-$AA17)-MOD((Lists!I$24-$AA17),$Z17))-$Z17))&lt;=Lists!I$21)*(EDATE($G17,(((Lists!I$24-$AA17)-MOD((Lists!I$24-$AA17),$Z17))-$Z17))&lt;=$AB17)))))</f>
        <v>0</v>
      </c>
      <c r="Q17" s="53" t="n">
        <f aca="false">IF(OR(N($E17)=0,$G17=""),0,$I17*IF($F17="Weekly",((Lists!J$21-MOD(Lists!J$21-$G17,7))&gt;=$G17)*((Lists!J$21-MOD(Lists!J$21-$G17,7))&lt;=$AB17),IF($F17="One-off",($G17&gt;Lists!J$23)*($G17&lt;=Lists!J$21),IF($F17="",0,(((Lists!J$24-$AA17)-MOD((Lists!J$24-$AA17),$Z17))&gt;=0)*(EDATE($G17,((Lists!J$24-$AA17)-MOD((Lists!J$24-$AA17),$Z17)))&gt;Lists!J$23)*(EDATE($G17,((Lists!J$24-$AA17)-MOD((Lists!J$24-$AA17),$Z17)))&lt;=Lists!J$21)*(EDATE($G17,((Lists!J$24-$AA17)-MOD((Lists!J$24-$AA17),$Z17)))&lt;=$AB17)+((((Lists!J$24-$AA17)-MOD((Lists!J$24-$AA17),$Z17))-$Z17)&gt;=0)*(EDATE($G17,(((Lists!J$24-$AA17)-MOD((Lists!J$24-$AA17),$Z17))-$Z17))&gt;Lists!J$23)*(EDATE($G17,(((Lists!J$24-$AA17)-MOD((Lists!J$24-$AA17),$Z17))-$Z17))&lt;=Lists!J$21)*(EDATE($G17,(((Lists!J$24-$AA17)-MOD((Lists!J$24-$AA17),$Z17))-$Z17))&lt;=$AB17)))))</f>
        <v>0</v>
      </c>
      <c r="R17" s="53" t="n">
        <f aca="false">IF(OR(N($E17)=0,$G17=""),0,$I17*IF($F17="Weekly",((Lists!K$21-MOD(Lists!K$21-$G17,7))&gt;=$G17)*((Lists!K$21-MOD(Lists!K$21-$G17,7))&lt;=$AB17),IF($F17="One-off",($G17&gt;Lists!K$23)*($G17&lt;=Lists!K$21),IF($F17="",0,(((Lists!K$24-$AA17)-MOD((Lists!K$24-$AA17),$Z17))&gt;=0)*(EDATE($G17,((Lists!K$24-$AA17)-MOD((Lists!K$24-$AA17),$Z17)))&gt;Lists!K$23)*(EDATE($G17,((Lists!K$24-$AA17)-MOD((Lists!K$24-$AA17),$Z17)))&lt;=Lists!K$21)*(EDATE($G17,((Lists!K$24-$AA17)-MOD((Lists!K$24-$AA17),$Z17)))&lt;=$AB17)+((((Lists!K$24-$AA17)-MOD((Lists!K$24-$AA17),$Z17))-$Z17)&gt;=0)*(EDATE($G17,(((Lists!K$24-$AA17)-MOD((Lists!K$24-$AA17),$Z17))-$Z17))&gt;Lists!K$23)*(EDATE($G17,(((Lists!K$24-$AA17)-MOD((Lists!K$24-$AA17),$Z17))-$Z17))&lt;=Lists!K$21)*(EDATE($G17,(((Lists!K$24-$AA17)-MOD((Lists!K$24-$AA17),$Z17))-$Z17))&lt;=$AB17)))))</f>
        <v>0</v>
      </c>
      <c r="S17" s="53" t="n">
        <f aca="false">IF(OR(N($E17)=0,$G17=""),0,$I17*IF($F17="Weekly",((Lists!L$21-MOD(Lists!L$21-$G17,7))&gt;=$G17)*((Lists!L$21-MOD(Lists!L$21-$G17,7))&lt;=$AB17),IF($F17="One-off",($G17&gt;Lists!L$23)*($G17&lt;=Lists!L$21),IF($F17="",0,(((Lists!L$24-$AA17)-MOD((Lists!L$24-$AA17),$Z17))&gt;=0)*(EDATE($G17,((Lists!L$24-$AA17)-MOD((Lists!L$24-$AA17),$Z17)))&gt;Lists!L$23)*(EDATE($G17,((Lists!L$24-$AA17)-MOD((Lists!L$24-$AA17),$Z17)))&lt;=Lists!L$21)*(EDATE($G17,((Lists!L$24-$AA17)-MOD((Lists!L$24-$AA17),$Z17)))&lt;=$AB17)+((((Lists!L$24-$AA17)-MOD((Lists!L$24-$AA17),$Z17))-$Z17)&gt;=0)*(EDATE($G17,(((Lists!L$24-$AA17)-MOD((Lists!L$24-$AA17),$Z17))-$Z17))&gt;Lists!L$23)*(EDATE($G17,(((Lists!L$24-$AA17)-MOD((Lists!L$24-$AA17),$Z17))-$Z17))&lt;=Lists!L$21)*(EDATE($G17,(((Lists!L$24-$AA17)-MOD((Lists!L$24-$AA17),$Z17))-$Z17))&lt;=$AB17)))))</f>
        <v>0</v>
      </c>
      <c r="T17" s="53" t="n">
        <f aca="false">IF(OR(N($E17)=0,$G17=""),0,$I17*IF($F17="Weekly",((Lists!M$21-MOD(Lists!M$21-$G17,7))&gt;=$G17)*((Lists!M$21-MOD(Lists!M$21-$G17,7))&lt;=$AB17),IF($F17="One-off",($G17&gt;Lists!M$23)*($G17&lt;=Lists!M$21),IF($F17="",0,(((Lists!M$24-$AA17)-MOD((Lists!M$24-$AA17),$Z17))&gt;=0)*(EDATE($G17,((Lists!M$24-$AA17)-MOD((Lists!M$24-$AA17),$Z17)))&gt;Lists!M$23)*(EDATE($G17,((Lists!M$24-$AA17)-MOD((Lists!M$24-$AA17),$Z17)))&lt;=Lists!M$21)*(EDATE($G17,((Lists!M$24-$AA17)-MOD((Lists!M$24-$AA17),$Z17)))&lt;=$AB17)+((((Lists!M$24-$AA17)-MOD((Lists!M$24-$AA17),$Z17))-$Z17)&gt;=0)*(EDATE($G17,(((Lists!M$24-$AA17)-MOD((Lists!M$24-$AA17),$Z17))-$Z17))&gt;Lists!M$23)*(EDATE($G17,(((Lists!M$24-$AA17)-MOD((Lists!M$24-$AA17),$Z17))-$Z17))&lt;=Lists!M$21)*(EDATE($G17,(((Lists!M$24-$AA17)-MOD((Lists!M$24-$AA17),$Z17))-$Z17))&lt;=$AB17)))))</f>
        <v>0</v>
      </c>
      <c r="U17" s="53" t="n">
        <f aca="false">IF(OR(N($E17)=0,$G17=""),0,$I17*IF($F17="Weekly",((Lists!N$21-MOD(Lists!N$21-$G17,7))&gt;=$G17)*((Lists!N$21-MOD(Lists!N$21-$G17,7))&lt;=$AB17),IF($F17="One-off",($G17&gt;Lists!N$23)*($G17&lt;=Lists!N$21),IF($F17="",0,(((Lists!N$24-$AA17)-MOD((Lists!N$24-$AA17),$Z17))&gt;=0)*(EDATE($G17,((Lists!N$24-$AA17)-MOD((Lists!N$24-$AA17),$Z17)))&gt;Lists!N$23)*(EDATE($G17,((Lists!N$24-$AA17)-MOD((Lists!N$24-$AA17),$Z17)))&lt;=Lists!N$21)*(EDATE($G17,((Lists!N$24-$AA17)-MOD((Lists!N$24-$AA17),$Z17)))&lt;=$AB17)+((((Lists!N$24-$AA17)-MOD((Lists!N$24-$AA17),$Z17))-$Z17)&gt;=0)*(EDATE($G17,(((Lists!N$24-$AA17)-MOD((Lists!N$24-$AA17),$Z17))-$Z17))&gt;Lists!N$23)*(EDATE($G17,(((Lists!N$24-$AA17)-MOD((Lists!N$24-$AA17),$Z17))-$Z17))&lt;=Lists!N$21)*(EDATE($G17,(((Lists!N$24-$AA17)-MOD((Lists!N$24-$AA17),$Z17))-$Z17))&lt;=$AB17)))))</f>
        <v>0</v>
      </c>
      <c r="V17" s="53" t="n">
        <f aca="false">IF(OR(N($E17)=0,$G17=""),0,$I17*IF($F17="Weekly",((Lists!O$21-MOD(Lists!O$21-$G17,7))&gt;=$G17)*((Lists!O$21-MOD(Lists!O$21-$G17,7))&lt;=$AB17),IF($F17="One-off",($G17&gt;Lists!O$23)*($G17&lt;=Lists!O$21),IF($F17="",0,(((Lists!O$24-$AA17)-MOD((Lists!O$24-$AA17),$Z17))&gt;=0)*(EDATE($G17,((Lists!O$24-$AA17)-MOD((Lists!O$24-$AA17),$Z17)))&gt;Lists!O$23)*(EDATE($G17,((Lists!O$24-$AA17)-MOD((Lists!O$24-$AA17),$Z17)))&lt;=Lists!O$21)*(EDATE($G17,((Lists!O$24-$AA17)-MOD((Lists!O$24-$AA17),$Z17)))&lt;=$AB17)+((((Lists!O$24-$AA17)-MOD((Lists!O$24-$AA17),$Z17))-$Z17)&gt;=0)*(EDATE($G17,(((Lists!O$24-$AA17)-MOD((Lists!O$24-$AA17),$Z17))-$Z17))&gt;Lists!O$23)*(EDATE($G17,(((Lists!O$24-$AA17)-MOD((Lists!O$24-$AA17),$Z17))-$Z17))&lt;=Lists!O$21)*(EDATE($G17,(((Lists!O$24-$AA17)-MOD((Lists!O$24-$AA17),$Z17))-$Z17))&lt;=$AB17)))))</f>
        <v>0</v>
      </c>
      <c r="W17" s="46" t="n">
        <f aca="false">SUM(J17:V17)</f>
        <v>0</v>
      </c>
      <c r="X17" s="2"/>
      <c r="Y17" s="104" t="n">
        <f aca="false">1</f>
        <v>1</v>
      </c>
      <c r="Z17" s="94" t="n">
        <f aca="false">IF(F17="Quarterly",3,IF(F17="Annually",12,1))</f>
        <v>1</v>
      </c>
      <c r="AA17" s="94" t="n">
        <f aca="false">IF(G17="",0,YEAR(G17)*12+MONTH(G17))</f>
        <v>0</v>
      </c>
      <c r="AB17" s="93" t="n">
        <f aca="false">IF(H17="",2958465,H17)</f>
        <v>2958465</v>
      </c>
      <c r="AC17" s="95" t="str">
        <f aca="false">IF(C17="","Other finance",C17)</f>
        <v>Other finance</v>
      </c>
    </row>
    <row r="18" customFormat="false" ht="15" hidden="false" customHeight="false" outlineLevel="0" collapsed="false">
      <c r="A18" s="87" t="n">
        <v>10</v>
      </c>
      <c r="B18" s="55"/>
      <c r="C18" s="55"/>
      <c r="D18" s="2"/>
      <c r="E18" s="88"/>
      <c r="F18" s="58"/>
      <c r="G18" s="90"/>
      <c r="H18" s="90"/>
      <c r="I18" s="92" t="n">
        <f aca="false">N(E18)*Y18</f>
        <v>0</v>
      </c>
      <c r="J18" s="53" t="n">
        <f aca="false">IF(OR(N($E18)=0,$G18=""),0,$I18*IF($F18="Weekly",((Lists!C$21-MOD(Lists!C$21-$G18,7))&gt;=$G18)*((Lists!C$21-MOD(Lists!C$21-$G18,7))&lt;=$AB18),IF($F18="One-off",($G18&gt;Lists!C$23)*($G18&lt;=Lists!C$21),IF($F18="",0,(((Lists!C$24-$AA18)-MOD((Lists!C$24-$AA18),$Z18))&gt;=0)*(EDATE($G18,((Lists!C$24-$AA18)-MOD((Lists!C$24-$AA18),$Z18)))&gt;Lists!C$23)*(EDATE($G18,((Lists!C$24-$AA18)-MOD((Lists!C$24-$AA18),$Z18)))&lt;=Lists!C$21)*(EDATE($G18,((Lists!C$24-$AA18)-MOD((Lists!C$24-$AA18),$Z18)))&lt;=$AB18)+((((Lists!C$24-$AA18)-MOD((Lists!C$24-$AA18),$Z18))-$Z18)&gt;=0)*(EDATE($G18,(((Lists!C$24-$AA18)-MOD((Lists!C$24-$AA18),$Z18))-$Z18))&gt;Lists!C$23)*(EDATE($G18,(((Lists!C$24-$AA18)-MOD((Lists!C$24-$AA18),$Z18))-$Z18))&lt;=Lists!C$21)*(EDATE($G18,(((Lists!C$24-$AA18)-MOD((Lists!C$24-$AA18),$Z18))-$Z18))&lt;=$AB18)))))</f>
        <v>0</v>
      </c>
      <c r="K18" s="53" t="n">
        <f aca="false">IF(OR(N($E18)=0,$G18=""),0,$I18*IF($F18="Weekly",((Lists!D$21-MOD(Lists!D$21-$G18,7))&gt;=$G18)*((Lists!D$21-MOD(Lists!D$21-$G18,7))&lt;=$AB18),IF($F18="One-off",($G18&gt;Lists!D$23)*($G18&lt;=Lists!D$21),IF($F18="",0,(((Lists!D$24-$AA18)-MOD((Lists!D$24-$AA18),$Z18))&gt;=0)*(EDATE($G18,((Lists!D$24-$AA18)-MOD((Lists!D$24-$AA18),$Z18)))&gt;Lists!D$23)*(EDATE($G18,((Lists!D$24-$AA18)-MOD((Lists!D$24-$AA18),$Z18)))&lt;=Lists!D$21)*(EDATE($G18,((Lists!D$24-$AA18)-MOD((Lists!D$24-$AA18),$Z18)))&lt;=$AB18)+((((Lists!D$24-$AA18)-MOD((Lists!D$24-$AA18),$Z18))-$Z18)&gt;=0)*(EDATE($G18,(((Lists!D$24-$AA18)-MOD((Lists!D$24-$AA18),$Z18))-$Z18))&gt;Lists!D$23)*(EDATE($G18,(((Lists!D$24-$AA18)-MOD((Lists!D$24-$AA18),$Z18))-$Z18))&lt;=Lists!D$21)*(EDATE($G18,(((Lists!D$24-$AA18)-MOD((Lists!D$24-$AA18),$Z18))-$Z18))&lt;=$AB18)))))</f>
        <v>0</v>
      </c>
      <c r="L18" s="53" t="n">
        <f aca="false">IF(OR(N($E18)=0,$G18=""),0,$I18*IF($F18="Weekly",((Lists!E$21-MOD(Lists!E$21-$G18,7))&gt;=$G18)*((Lists!E$21-MOD(Lists!E$21-$G18,7))&lt;=$AB18),IF($F18="One-off",($G18&gt;Lists!E$23)*($G18&lt;=Lists!E$21),IF($F18="",0,(((Lists!E$24-$AA18)-MOD((Lists!E$24-$AA18),$Z18))&gt;=0)*(EDATE($G18,((Lists!E$24-$AA18)-MOD((Lists!E$24-$AA18),$Z18)))&gt;Lists!E$23)*(EDATE($G18,((Lists!E$24-$AA18)-MOD((Lists!E$24-$AA18),$Z18)))&lt;=Lists!E$21)*(EDATE($G18,((Lists!E$24-$AA18)-MOD((Lists!E$24-$AA18),$Z18)))&lt;=$AB18)+((((Lists!E$24-$AA18)-MOD((Lists!E$24-$AA18),$Z18))-$Z18)&gt;=0)*(EDATE($G18,(((Lists!E$24-$AA18)-MOD((Lists!E$24-$AA18),$Z18))-$Z18))&gt;Lists!E$23)*(EDATE($G18,(((Lists!E$24-$AA18)-MOD((Lists!E$24-$AA18),$Z18))-$Z18))&lt;=Lists!E$21)*(EDATE($G18,(((Lists!E$24-$AA18)-MOD((Lists!E$24-$AA18),$Z18))-$Z18))&lt;=$AB18)))))</f>
        <v>0</v>
      </c>
      <c r="M18" s="53" t="n">
        <f aca="false">IF(OR(N($E18)=0,$G18=""),0,$I18*IF($F18="Weekly",((Lists!F$21-MOD(Lists!F$21-$G18,7))&gt;=$G18)*((Lists!F$21-MOD(Lists!F$21-$G18,7))&lt;=$AB18),IF($F18="One-off",($G18&gt;Lists!F$23)*($G18&lt;=Lists!F$21),IF($F18="",0,(((Lists!F$24-$AA18)-MOD((Lists!F$24-$AA18),$Z18))&gt;=0)*(EDATE($G18,((Lists!F$24-$AA18)-MOD((Lists!F$24-$AA18),$Z18)))&gt;Lists!F$23)*(EDATE($G18,((Lists!F$24-$AA18)-MOD((Lists!F$24-$AA18),$Z18)))&lt;=Lists!F$21)*(EDATE($G18,((Lists!F$24-$AA18)-MOD((Lists!F$24-$AA18),$Z18)))&lt;=$AB18)+((((Lists!F$24-$AA18)-MOD((Lists!F$24-$AA18),$Z18))-$Z18)&gt;=0)*(EDATE($G18,(((Lists!F$24-$AA18)-MOD((Lists!F$24-$AA18),$Z18))-$Z18))&gt;Lists!F$23)*(EDATE($G18,(((Lists!F$24-$AA18)-MOD((Lists!F$24-$AA18),$Z18))-$Z18))&lt;=Lists!F$21)*(EDATE($G18,(((Lists!F$24-$AA18)-MOD((Lists!F$24-$AA18),$Z18))-$Z18))&lt;=$AB18)))))</f>
        <v>0</v>
      </c>
      <c r="N18" s="53" t="n">
        <f aca="false">IF(OR(N($E18)=0,$G18=""),0,$I18*IF($F18="Weekly",((Lists!G$21-MOD(Lists!G$21-$G18,7))&gt;=$G18)*((Lists!G$21-MOD(Lists!G$21-$G18,7))&lt;=$AB18),IF($F18="One-off",($G18&gt;Lists!G$23)*($G18&lt;=Lists!G$21),IF($F18="",0,(((Lists!G$24-$AA18)-MOD((Lists!G$24-$AA18),$Z18))&gt;=0)*(EDATE($G18,((Lists!G$24-$AA18)-MOD((Lists!G$24-$AA18),$Z18)))&gt;Lists!G$23)*(EDATE($G18,((Lists!G$24-$AA18)-MOD((Lists!G$24-$AA18),$Z18)))&lt;=Lists!G$21)*(EDATE($G18,((Lists!G$24-$AA18)-MOD((Lists!G$24-$AA18),$Z18)))&lt;=$AB18)+((((Lists!G$24-$AA18)-MOD((Lists!G$24-$AA18),$Z18))-$Z18)&gt;=0)*(EDATE($G18,(((Lists!G$24-$AA18)-MOD((Lists!G$24-$AA18),$Z18))-$Z18))&gt;Lists!G$23)*(EDATE($G18,(((Lists!G$24-$AA18)-MOD((Lists!G$24-$AA18),$Z18))-$Z18))&lt;=Lists!G$21)*(EDATE($G18,(((Lists!G$24-$AA18)-MOD((Lists!G$24-$AA18),$Z18))-$Z18))&lt;=$AB18)))))</f>
        <v>0</v>
      </c>
      <c r="O18" s="53" t="n">
        <f aca="false">IF(OR(N($E18)=0,$G18=""),0,$I18*IF($F18="Weekly",((Lists!H$21-MOD(Lists!H$21-$G18,7))&gt;=$G18)*((Lists!H$21-MOD(Lists!H$21-$G18,7))&lt;=$AB18),IF($F18="One-off",($G18&gt;Lists!H$23)*($G18&lt;=Lists!H$21),IF($F18="",0,(((Lists!H$24-$AA18)-MOD((Lists!H$24-$AA18),$Z18))&gt;=0)*(EDATE($G18,((Lists!H$24-$AA18)-MOD((Lists!H$24-$AA18),$Z18)))&gt;Lists!H$23)*(EDATE($G18,((Lists!H$24-$AA18)-MOD((Lists!H$24-$AA18),$Z18)))&lt;=Lists!H$21)*(EDATE($G18,((Lists!H$24-$AA18)-MOD((Lists!H$24-$AA18),$Z18)))&lt;=$AB18)+((((Lists!H$24-$AA18)-MOD((Lists!H$24-$AA18),$Z18))-$Z18)&gt;=0)*(EDATE($G18,(((Lists!H$24-$AA18)-MOD((Lists!H$24-$AA18),$Z18))-$Z18))&gt;Lists!H$23)*(EDATE($G18,(((Lists!H$24-$AA18)-MOD((Lists!H$24-$AA18),$Z18))-$Z18))&lt;=Lists!H$21)*(EDATE($G18,(((Lists!H$24-$AA18)-MOD((Lists!H$24-$AA18),$Z18))-$Z18))&lt;=$AB18)))))</f>
        <v>0</v>
      </c>
      <c r="P18" s="53" t="n">
        <f aca="false">IF(OR(N($E18)=0,$G18=""),0,$I18*IF($F18="Weekly",((Lists!I$21-MOD(Lists!I$21-$G18,7))&gt;=$G18)*((Lists!I$21-MOD(Lists!I$21-$G18,7))&lt;=$AB18),IF($F18="One-off",($G18&gt;Lists!I$23)*($G18&lt;=Lists!I$21),IF($F18="",0,(((Lists!I$24-$AA18)-MOD((Lists!I$24-$AA18),$Z18))&gt;=0)*(EDATE($G18,((Lists!I$24-$AA18)-MOD((Lists!I$24-$AA18),$Z18)))&gt;Lists!I$23)*(EDATE($G18,((Lists!I$24-$AA18)-MOD((Lists!I$24-$AA18),$Z18)))&lt;=Lists!I$21)*(EDATE($G18,((Lists!I$24-$AA18)-MOD((Lists!I$24-$AA18),$Z18)))&lt;=$AB18)+((((Lists!I$24-$AA18)-MOD((Lists!I$24-$AA18),$Z18))-$Z18)&gt;=0)*(EDATE($G18,(((Lists!I$24-$AA18)-MOD((Lists!I$24-$AA18),$Z18))-$Z18))&gt;Lists!I$23)*(EDATE($G18,(((Lists!I$24-$AA18)-MOD((Lists!I$24-$AA18),$Z18))-$Z18))&lt;=Lists!I$21)*(EDATE($G18,(((Lists!I$24-$AA18)-MOD((Lists!I$24-$AA18),$Z18))-$Z18))&lt;=$AB18)))))</f>
        <v>0</v>
      </c>
      <c r="Q18" s="53" t="n">
        <f aca="false">IF(OR(N($E18)=0,$G18=""),0,$I18*IF($F18="Weekly",((Lists!J$21-MOD(Lists!J$21-$G18,7))&gt;=$G18)*((Lists!J$21-MOD(Lists!J$21-$G18,7))&lt;=$AB18),IF($F18="One-off",($G18&gt;Lists!J$23)*($G18&lt;=Lists!J$21),IF($F18="",0,(((Lists!J$24-$AA18)-MOD((Lists!J$24-$AA18),$Z18))&gt;=0)*(EDATE($G18,((Lists!J$24-$AA18)-MOD((Lists!J$24-$AA18),$Z18)))&gt;Lists!J$23)*(EDATE($G18,((Lists!J$24-$AA18)-MOD((Lists!J$24-$AA18),$Z18)))&lt;=Lists!J$21)*(EDATE($G18,((Lists!J$24-$AA18)-MOD((Lists!J$24-$AA18),$Z18)))&lt;=$AB18)+((((Lists!J$24-$AA18)-MOD((Lists!J$24-$AA18),$Z18))-$Z18)&gt;=0)*(EDATE($G18,(((Lists!J$24-$AA18)-MOD((Lists!J$24-$AA18),$Z18))-$Z18))&gt;Lists!J$23)*(EDATE($G18,(((Lists!J$24-$AA18)-MOD((Lists!J$24-$AA18),$Z18))-$Z18))&lt;=Lists!J$21)*(EDATE($G18,(((Lists!J$24-$AA18)-MOD((Lists!J$24-$AA18),$Z18))-$Z18))&lt;=$AB18)))))</f>
        <v>0</v>
      </c>
      <c r="R18" s="53" t="n">
        <f aca="false">IF(OR(N($E18)=0,$G18=""),0,$I18*IF($F18="Weekly",((Lists!K$21-MOD(Lists!K$21-$G18,7))&gt;=$G18)*((Lists!K$21-MOD(Lists!K$21-$G18,7))&lt;=$AB18),IF($F18="One-off",($G18&gt;Lists!K$23)*($G18&lt;=Lists!K$21),IF($F18="",0,(((Lists!K$24-$AA18)-MOD((Lists!K$24-$AA18),$Z18))&gt;=0)*(EDATE($G18,((Lists!K$24-$AA18)-MOD((Lists!K$24-$AA18),$Z18)))&gt;Lists!K$23)*(EDATE($G18,((Lists!K$24-$AA18)-MOD((Lists!K$24-$AA18),$Z18)))&lt;=Lists!K$21)*(EDATE($G18,((Lists!K$24-$AA18)-MOD((Lists!K$24-$AA18),$Z18)))&lt;=$AB18)+((((Lists!K$24-$AA18)-MOD((Lists!K$24-$AA18),$Z18))-$Z18)&gt;=0)*(EDATE($G18,(((Lists!K$24-$AA18)-MOD((Lists!K$24-$AA18),$Z18))-$Z18))&gt;Lists!K$23)*(EDATE($G18,(((Lists!K$24-$AA18)-MOD((Lists!K$24-$AA18),$Z18))-$Z18))&lt;=Lists!K$21)*(EDATE($G18,(((Lists!K$24-$AA18)-MOD((Lists!K$24-$AA18),$Z18))-$Z18))&lt;=$AB18)))))</f>
        <v>0</v>
      </c>
      <c r="S18" s="53" t="n">
        <f aca="false">IF(OR(N($E18)=0,$G18=""),0,$I18*IF($F18="Weekly",((Lists!L$21-MOD(Lists!L$21-$G18,7))&gt;=$G18)*((Lists!L$21-MOD(Lists!L$21-$G18,7))&lt;=$AB18),IF($F18="One-off",($G18&gt;Lists!L$23)*($G18&lt;=Lists!L$21),IF($F18="",0,(((Lists!L$24-$AA18)-MOD((Lists!L$24-$AA18),$Z18))&gt;=0)*(EDATE($G18,((Lists!L$24-$AA18)-MOD((Lists!L$24-$AA18),$Z18)))&gt;Lists!L$23)*(EDATE($G18,((Lists!L$24-$AA18)-MOD((Lists!L$24-$AA18),$Z18)))&lt;=Lists!L$21)*(EDATE($G18,((Lists!L$24-$AA18)-MOD((Lists!L$24-$AA18),$Z18)))&lt;=$AB18)+((((Lists!L$24-$AA18)-MOD((Lists!L$24-$AA18),$Z18))-$Z18)&gt;=0)*(EDATE($G18,(((Lists!L$24-$AA18)-MOD((Lists!L$24-$AA18),$Z18))-$Z18))&gt;Lists!L$23)*(EDATE($G18,(((Lists!L$24-$AA18)-MOD((Lists!L$24-$AA18),$Z18))-$Z18))&lt;=Lists!L$21)*(EDATE($G18,(((Lists!L$24-$AA18)-MOD((Lists!L$24-$AA18),$Z18))-$Z18))&lt;=$AB18)))))</f>
        <v>0</v>
      </c>
      <c r="T18" s="53" t="n">
        <f aca="false">IF(OR(N($E18)=0,$G18=""),0,$I18*IF($F18="Weekly",((Lists!M$21-MOD(Lists!M$21-$G18,7))&gt;=$G18)*((Lists!M$21-MOD(Lists!M$21-$G18,7))&lt;=$AB18),IF($F18="One-off",($G18&gt;Lists!M$23)*($G18&lt;=Lists!M$21),IF($F18="",0,(((Lists!M$24-$AA18)-MOD((Lists!M$24-$AA18),$Z18))&gt;=0)*(EDATE($G18,((Lists!M$24-$AA18)-MOD((Lists!M$24-$AA18),$Z18)))&gt;Lists!M$23)*(EDATE($G18,((Lists!M$24-$AA18)-MOD((Lists!M$24-$AA18),$Z18)))&lt;=Lists!M$21)*(EDATE($G18,((Lists!M$24-$AA18)-MOD((Lists!M$24-$AA18),$Z18)))&lt;=$AB18)+((((Lists!M$24-$AA18)-MOD((Lists!M$24-$AA18),$Z18))-$Z18)&gt;=0)*(EDATE($G18,(((Lists!M$24-$AA18)-MOD((Lists!M$24-$AA18),$Z18))-$Z18))&gt;Lists!M$23)*(EDATE($G18,(((Lists!M$24-$AA18)-MOD((Lists!M$24-$AA18),$Z18))-$Z18))&lt;=Lists!M$21)*(EDATE($G18,(((Lists!M$24-$AA18)-MOD((Lists!M$24-$AA18),$Z18))-$Z18))&lt;=$AB18)))))</f>
        <v>0</v>
      </c>
      <c r="U18" s="53" t="n">
        <f aca="false">IF(OR(N($E18)=0,$G18=""),0,$I18*IF($F18="Weekly",((Lists!N$21-MOD(Lists!N$21-$G18,7))&gt;=$G18)*((Lists!N$21-MOD(Lists!N$21-$G18,7))&lt;=$AB18),IF($F18="One-off",($G18&gt;Lists!N$23)*($G18&lt;=Lists!N$21),IF($F18="",0,(((Lists!N$24-$AA18)-MOD((Lists!N$24-$AA18),$Z18))&gt;=0)*(EDATE($G18,((Lists!N$24-$AA18)-MOD((Lists!N$24-$AA18),$Z18)))&gt;Lists!N$23)*(EDATE($G18,((Lists!N$24-$AA18)-MOD((Lists!N$24-$AA18),$Z18)))&lt;=Lists!N$21)*(EDATE($G18,((Lists!N$24-$AA18)-MOD((Lists!N$24-$AA18),$Z18)))&lt;=$AB18)+((((Lists!N$24-$AA18)-MOD((Lists!N$24-$AA18),$Z18))-$Z18)&gt;=0)*(EDATE($G18,(((Lists!N$24-$AA18)-MOD((Lists!N$24-$AA18),$Z18))-$Z18))&gt;Lists!N$23)*(EDATE($G18,(((Lists!N$24-$AA18)-MOD((Lists!N$24-$AA18),$Z18))-$Z18))&lt;=Lists!N$21)*(EDATE($G18,(((Lists!N$24-$AA18)-MOD((Lists!N$24-$AA18),$Z18))-$Z18))&lt;=$AB18)))))</f>
        <v>0</v>
      </c>
      <c r="V18" s="53" t="n">
        <f aca="false">IF(OR(N($E18)=0,$G18=""),0,$I18*IF($F18="Weekly",((Lists!O$21-MOD(Lists!O$21-$G18,7))&gt;=$G18)*((Lists!O$21-MOD(Lists!O$21-$G18,7))&lt;=$AB18),IF($F18="One-off",($G18&gt;Lists!O$23)*($G18&lt;=Lists!O$21),IF($F18="",0,(((Lists!O$24-$AA18)-MOD((Lists!O$24-$AA18),$Z18))&gt;=0)*(EDATE($G18,((Lists!O$24-$AA18)-MOD((Lists!O$24-$AA18),$Z18)))&gt;Lists!O$23)*(EDATE($G18,((Lists!O$24-$AA18)-MOD((Lists!O$24-$AA18),$Z18)))&lt;=Lists!O$21)*(EDATE($G18,((Lists!O$24-$AA18)-MOD((Lists!O$24-$AA18),$Z18)))&lt;=$AB18)+((((Lists!O$24-$AA18)-MOD((Lists!O$24-$AA18),$Z18))-$Z18)&gt;=0)*(EDATE($G18,(((Lists!O$24-$AA18)-MOD((Lists!O$24-$AA18),$Z18))-$Z18))&gt;Lists!O$23)*(EDATE($G18,(((Lists!O$24-$AA18)-MOD((Lists!O$24-$AA18),$Z18))-$Z18))&lt;=Lists!O$21)*(EDATE($G18,(((Lists!O$24-$AA18)-MOD((Lists!O$24-$AA18),$Z18))-$Z18))&lt;=$AB18)))))</f>
        <v>0</v>
      </c>
      <c r="W18" s="46" t="n">
        <f aca="false">SUM(J18:V18)</f>
        <v>0</v>
      </c>
      <c r="X18" s="2"/>
      <c r="Y18" s="104" t="n">
        <f aca="false">1</f>
        <v>1</v>
      </c>
      <c r="Z18" s="94" t="n">
        <f aca="false">IF(F18="Quarterly",3,IF(F18="Annually",12,1))</f>
        <v>1</v>
      </c>
      <c r="AA18" s="94" t="n">
        <f aca="false">IF(G18="",0,YEAR(G18)*12+MONTH(G18))</f>
        <v>0</v>
      </c>
      <c r="AB18" s="93" t="n">
        <f aca="false">IF(H18="",2958465,H18)</f>
        <v>2958465</v>
      </c>
      <c r="AC18" s="95" t="str">
        <f aca="false">IF(C18="","Other finance",C18)</f>
        <v>Other finance</v>
      </c>
    </row>
    <row r="19" customFormat="false" ht="15" hidden="false" customHeight="false" outlineLevel="0" collapsed="false">
      <c r="A19" s="87" t="n">
        <v>11</v>
      </c>
      <c r="B19" s="55"/>
      <c r="C19" s="55"/>
      <c r="D19" s="2"/>
      <c r="E19" s="88"/>
      <c r="F19" s="58"/>
      <c r="G19" s="90"/>
      <c r="H19" s="90"/>
      <c r="I19" s="92" t="n">
        <f aca="false">N(E19)*Y19</f>
        <v>0</v>
      </c>
      <c r="J19" s="53" t="n">
        <f aca="false">IF(OR(N($E19)=0,$G19=""),0,$I19*IF($F19="Weekly",((Lists!C$21-MOD(Lists!C$21-$G19,7))&gt;=$G19)*((Lists!C$21-MOD(Lists!C$21-$G19,7))&lt;=$AB19),IF($F19="One-off",($G19&gt;Lists!C$23)*($G19&lt;=Lists!C$21),IF($F19="",0,(((Lists!C$24-$AA19)-MOD((Lists!C$24-$AA19),$Z19))&gt;=0)*(EDATE($G19,((Lists!C$24-$AA19)-MOD((Lists!C$24-$AA19),$Z19)))&gt;Lists!C$23)*(EDATE($G19,((Lists!C$24-$AA19)-MOD((Lists!C$24-$AA19),$Z19)))&lt;=Lists!C$21)*(EDATE($G19,((Lists!C$24-$AA19)-MOD((Lists!C$24-$AA19),$Z19)))&lt;=$AB19)+((((Lists!C$24-$AA19)-MOD((Lists!C$24-$AA19),$Z19))-$Z19)&gt;=0)*(EDATE($G19,(((Lists!C$24-$AA19)-MOD((Lists!C$24-$AA19),$Z19))-$Z19))&gt;Lists!C$23)*(EDATE($G19,(((Lists!C$24-$AA19)-MOD((Lists!C$24-$AA19),$Z19))-$Z19))&lt;=Lists!C$21)*(EDATE($G19,(((Lists!C$24-$AA19)-MOD((Lists!C$24-$AA19),$Z19))-$Z19))&lt;=$AB19)))))</f>
        <v>0</v>
      </c>
      <c r="K19" s="53" t="n">
        <f aca="false">IF(OR(N($E19)=0,$G19=""),0,$I19*IF($F19="Weekly",((Lists!D$21-MOD(Lists!D$21-$G19,7))&gt;=$G19)*((Lists!D$21-MOD(Lists!D$21-$G19,7))&lt;=$AB19),IF($F19="One-off",($G19&gt;Lists!D$23)*($G19&lt;=Lists!D$21),IF($F19="",0,(((Lists!D$24-$AA19)-MOD((Lists!D$24-$AA19),$Z19))&gt;=0)*(EDATE($G19,((Lists!D$24-$AA19)-MOD((Lists!D$24-$AA19),$Z19)))&gt;Lists!D$23)*(EDATE($G19,((Lists!D$24-$AA19)-MOD((Lists!D$24-$AA19),$Z19)))&lt;=Lists!D$21)*(EDATE($G19,((Lists!D$24-$AA19)-MOD((Lists!D$24-$AA19),$Z19)))&lt;=$AB19)+((((Lists!D$24-$AA19)-MOD((Lists!D$24-$AA19),$Z19))-$Z19)&gt;=0)*(EDATE($G19,(((Lists!D$24-$AA19)-MOD((Lists!D$24-$AA19),$Z19))-$Z19))&gt;Lists!D$23)*(EDATE($G19,(((Lists!D$24-$AA19)-MOD((Lists!D$24-$AA19),$Z19))-$Z19))&lt;=Lists!D$21)*(EDATE($G19,(((Lists!D$24-$AA19)-MOD((Lists!D$24-$AA19),$Z19))-$Z19))&lt;=$AB19)))))</f>
        <v>0</v>
      </c>
      <c r="L19" s="53" t="n">
        <f aca="false">IF(OR(N($E19)=0,$G19=""),0,$I19*IF($F19="Weekly",((Lists!E$21-MOD(Lists!E$21-$G19,7))&gt;=$G19)*((Lists!E$21-MOD(Lists!E$21-$G19,7))&lt;=$AB19),IF($F19="One-off",($G19&gt;Lists!E$23)*($G19&lt;=Lists!E$21),IF($F19="",0,(((Lists!E$24-$AA19)-MOD((Lists!E$24-$AA19),$Z19))&gt;=0)*(EDATE($G19,((Lists!E$24-$AA19)-MOD((Lists!E$24-$AA19),$Z19)))&gt;Lists!E$23)*(EDATE($G19,((Lists!E$24-$AA19)-MOD((Lists!E$24-$AA19),$Z19)))&lt;=Lists!E$21)*(EDATE($G19,((Lists!E$24-$AA19)-MOD((Lists!E$24-$AA19),$Z19)))&lt;=$AB19)+((((Lists!E$24-$AA19)-MOD((Lists!E$24-$AA19),$Z19))-$Z19)&gt;=0)*(EDATE($G19,(((Lists!E$24-$AA19)-MOD((Lists!E$24-$AA19),$Z19))-$Z19))&gt;Lists!E$23)*(EDATE($G19,(((Lists!E$24-$AA19)-MOD((Lists!E$24-$AA19),$Z19))-$Z19))&lt;=Lists!E$21)*(EDATE($G19,(((Lists!E$24-$AA19)-MOD((Lists!E$24-$AA19),$Z19))-$Z19))&lt;=$AB19)))))</f>
        <v>0</v>
      </c>
      <c r="M19" s="53" t="n">
        <f aca="false">IF(OR(N($E19)=0,$G19=""),0,$I19*IF($F19="Weekly",((Lists!F$21-MOD(Lists!F$21-$G19,7))&gt;=$G19)*((Lists!F$21-MOD(Lists!F$21-$G19,7))&lt;=$AB19),IF($F19="One-off",($G19&gt;Lists!F$23)*($G19&lt;=Lists!F$21),IF($F19="",0,(((Lists!F$24-$AA19)-MOD((Lists!F$24-$AA19),$Z19))&gt;=0)*(EDATE($G19,((Lists!F$24-$AA19)-MOD((Lists!F$24-$AA19),$Z19)))&gt;Lists!F$23)*(EDATE($G19,((Lists!F$24-$AA19)-MOD((Lists!F$24-$AA19),$Z19)))&lt;=Lists!F$21)*(EDATE($G19,((Lists!F$24-$AA19)-MOD((Lists!F$24-$AA19),$Z19)))&lt;=$AB19)+((((Lists!F$24-$AA19)-MOD((Lists!F$24-$AA19),$Z19))-$Z19)&gt;=0)*(EDATE($G19,(((Lists!F$24-$AA19)-MOD((Lists!F$24-$AA19),$Z19))-$Z19))&gt;Lists!F$23)*(EDATE($G19,(((Lists!F$24-$AA19)-MOD((Lists!F$24-$AA19),$Z19))-$Z19))&lt;=Lists!F$21)*(EDATE($G19,(((Lists!F$24-$AA19)-MOD((Lists!F$24-$AA19),$Z19))-$Z19))&lt;=$AB19)))))</f>
        <v>0</v>
      </c>
      <c r="N19" s="53" t="n">
        <f aca="false">IF(OR(N($E19)=0,$G19=""),0,$I19*IF($F19="Weekly",((Lists!G$21-MOD(Lists!G$21-$G19,7))&gt;=$G19)*((Lists!G$21-MOD(Lists!G$21-$G19,7))&lt;=$AB19),IF($F19="One-off",($G19&gt;Lists!G$23)*($G19&lt;=Lists!G$21),IF($F19="",0,(((Lists!G$24-$AA19)-MOD((Lists!G$24-$AA19),$Z19))&gt;=0)*(EDATE($G19,((Lists!G$24-$AA19)-MOD((Lists!G$24-$AA19),$Z19)))&gt;Lists!G$23)*(EDATE($G19,((Lists!G$24-$AA19)-MOD((Lists!G$24-$AA19),$Z19)))&lt;=Lists!G$21)*(EDATE($G19,((Lists!G$24-$AA19)-MOD((Lists!G$24-$AA19),$Z19)))&lt;=$AB19)+((((Lists!G$24-$AA19)-MOD((Lists!G$24-$AA19),$Z19))-$Z19)&gt;=0)*(EDATE($G19,(((Lists!G$24-$AA19)-MOD((Lists!G$24-$AA19),$Z19))-$Z19))&gt;Lists!G$23)*(EDATE($G19,(((Lists!G$24-$AA19)-MOD((Lists!G$24-$AA19),$Z19))-$Z19))&lt;=Lists!G$21)*(EDATE($G19,(((Lists!G$24-$AA19)-MOD((Lists!G$24-$AA19),$Z19))-$Z19))&lt;=$AB19)))))</f>
        <v>0</v>
      </c>
      <c r="O19" s="53" t="n">
        <f aca="false">IF(OR(N($E19)=0,$G19=""),0,$I19*IF($F19="Weekly",((Lists!H$21-MOD(Lists!H$21-$G19,7))&gt;=$G19)*((Lists!H$21-MOD(Lists!H$21-$G19,7))&lt;=$AB19),IF($F19="One-off",($G19&gt;Lists!H$23)*($G19&lt;=Lists!H$21),IF($F19="",0,(((Lists!H$24-$AA19)-MOD((Lists!H$24-$AA19),$Z19))&gt;=0)*(EDATE($G19,((Lists!H$24-$AA19)-MOD((Lists!H$24-$AA19),$Z19)))&gt;Lists!H$23)*(EDATE($G19,((Lists!H$24-$AA19)-MOD((Lists!H$24-$AA19),$Z19)))&lt;=Lists!H$21)*(EDATE($G19,((Lists!H$24-$AA19)-MOD((Lists!H$24-$AA19),$Z19)))&lt;=$AB19)+((((Lists!H$24-$AA19)-MOD((Lists!H$24-$AA19),$Z19))-$Z19)&gt;=0)*(EDATE($G19,(((Lists!H$24-$AA19)-MOD((Lists!H$24-$AA19),$Z19))-$Z19))&gt;Lists!H$23)*(EDATE($G19,(((Lists!H$24-$AA19)-MOD((Lists!H$24-$AA19),$Z19))-$Z19))&lt;=Lists!H$21)*(EDATE($G19,(((Lists!H$24-$AA19)-MOD((Lists!H$24-$AA19),$Z19))-$Z19))&lt;=$AB19)))))</f>
        <v>0</v>
      </c>
      <c r="P19" s="53" t="n">
        <f aca="false">IF(OR(N($E19)=0,$G19=""),0,$I19*IF($F19="Weekly",((Lists!I$21-MOD(Lists!I$21-$G19,7))&gt;=$G19)*((Lists!I$21-MOD(Lists!I$21-$G19,7))&lt;=$AB19),IF($F19="One-off",($G19&gt;Lists!I$23)*($G19&lt;=Lists!I$21),IF($F19="",0,(((Lists!I$24-$AA19)-MOD((Lists!I$24-$AA19),$Z19))&gt;=0)*(EDATE($G19,((Lists!I$24-$AA19)-MOD((Lists!I$24-$AA19),$Z19)))&gt;Lists!I$23)*(EDATE($G19,((Lists!I$24-$AA19)-MOD((Lists!I$24-$AA19),$Z19)))&lt;=Lists!I$21)*(EDATE($G19,((Lists!I$24-$AA19)-MOD((Lists!I$24-$AA19),$Z19)))&lt;=$AB19)+((((Lists!I$24-$AA19)-MOD((Lists!I$24-$AA19),$Z19))-$Z19)&gt;=0)*(EDATE($G19,(((Lists!I$24-$AA19)-MOD((Lists!I$24-$AA19),$Z19))-$Z19))&gt;Lists!I$23)*(EDATE($G19,(((Lists!I$24-$AA19)-MOD((Lists!I$24-$AA19),$Z19))-$Z19))&lt;=Lists!I$21)*(EDATE($G19,(((Lists!I$24-$AA19)-MOD((Lists!I$24-$AA19),$Z19))-$Z19))&lt;=$AB19)))))</f>
        <v>0</v>
      </c>
      <c r="Q19" s="53" t="n">
        <f aca="false">IF(OR(N($E19)=0,$G19=""),0,$I19*IF($F19="Weekly",((Lists!J$21-MOD(Lists!J$21-$G19,7))&gt;=$G19)*((Lists!J$21-MOD(Lists!J$21-$G19,7))&lt;=$AB19),IF($F19="One-off",($G19&gt;Lists!J$23)*($G19&lt;=Lists!J$21),IF($F19="",0,(((Lists!J$24-$AA19)-MOD((Lists!J$24-$AA19),$Z19))&gt;=0)*(EDATE($G19,((Lists!J$24-$AA19)-MOD((Lists!J$24-$AA19),$Z19)))&gt;Lists!J$23)*(EDATE($G19,((Lists!J$24-$AA19)-MOD((Lists!J$24-$AA19),$Z19)))&lt;=Lists!J$21)*(EDATE($G19,((Lists!J$24-$AA19)-MOD((Lists!J$24-$AA19),$Z19)))&lt;=$AB19)+((((Lists!J$24-$AA19)-MOD((Lists!J$24-$AA19),$Z19))-$Z19)&gt;=0)*(EDATE($G19,(((Lists!J$24-$AA19)-MOD((Lists!J$24-$AA19),$Z19))-$Z19))&gt;Lists!J$23)*(EDATE($G19,(((Lists!J$24-$AA19)-MOD((Lists!J$24-$AA19),$Z19))-$Z19))&lt;=Lists!J$21)*(EDATE($G19,(((Lists!J$24-$AA19)-MOD((Lists!J$24-$AA19),$Z19))-$Z19))&lt;=$AB19)))))</f>
        <v>0</v>
      </c>
      <c r="R19" s="53" t="n">
        <f aca="false">IF(OR(N($E19)=0,$G19=""),0,$I19*IF($F19="Weekly",((Lists!K$21-MOD(Lists!K$21-$G19,7))&gt;=$G19)*((Lists!K$21-MOD(Lists!K$21-$G19,7))&lt;=$AB19),IF($F19="One-off",($G19&gt;Lists!K$23)*($G19&lt;=Lists!K$21),IF($F19="",0,(((Lists!K$24-$AA19)-MOD((Lists!K$24-$AA19),$Z19))&gt;=0)*(EDATE($G19,((Lists!K$24-$AA19)-MOD((Lists!K$24-$AA19),$Z19)))&gt;Lists!K$23)*(EDATE($G19,((Lists!K$24-$AA19)-MOD((Lists!K$24-$AA19),$Z19)))&lt;=Lists!K$21)*(EDATE($G19,((Lists!K$24-$AA19)-MOD((Lists!K$24-$AA19),$Z19)))&lt;=$AB19)+((((Lists!K$24-$AA19)-MOD((Lists!K$24-$AA19),$Z19))-$Z19)&gt;=0)*(EDATE($G19,(((Lists!K$24-$AA19)-MOD((Lists!K$24-$AA19),$Z19))-$Z19))&gt;Lists!K$23)*(EDATE($G19,(((Lists!K$24-$AA19)-MOD((Lists!K$24-$AA19),$Z19))-$Z19))&lt;=Lists!K$21)*(EDATE($G19,(((Lists!K$24-$AA19)-MOD((Lists!K$24-$AA19),$Z19))-$Z19))&lt;=$AB19)))))</f>
        <v>0</v>
      </c>
      <c r="S19" s="53" t="n">
        <f aca="false">IF(OR(N($E19)=0,$G19=""),0,$I19*IF($F19="Weekly",((Lists!L$21-MOD(Lists!L$21-$G19,7))&gt;=$G19)*((Lists!L$21-MOD(Lists!L$21-$G19,7))&lt;=$AB19),IF($F19="One-off",($G19&gt;Lists!L$23)*($G19&lt;=Lists!L$21),IF($F19="",0,(((Lists!L$24-$AA19)-MOD((Lists!L$24-$AA19),$Z19))&gt;=0)*(EDATE($G19,((Lists!L$24-$AA19)-MOD((Lists!L$24-$AA19),$Z19)))&gt;Lists!L$23)*(EDATE($G19,((Lists!L$24-$AA19)-MOD((Lists!L$24-$AA19),$Z19)))&lt;=Lists!L$21)*(EDATE($G19,((Lists!L$24-$AA19)-MOD((Lists!L$24-$AA19),$Z19)))&lt;=$AB19)+((((Lists!L$24-$AA19)-MOD((Lists!L$24-$AA19),$Z19))-$Z19)&gt;=0)*(EDATE($G19,(((Lists!L$24-$AA19)-MOD((Lists!L$24-$AA19),$Z19))-$Z19))&gt;Lists!L$23)*(EDATE($G19,(((Lists!L$24-$AA19)-MOD((Lists!L$24-$AA19),$Z19))-$Z19))&lt;=Lists!L$21)*(EDATE($G19,(((Lists!L$24-$AA19)-MOD((Lists!L$24-$AA19),$Z19))-$Z19))&lt;=$AB19)))))</f>
        <v>0</v>
      </c>
      <c r="T19" s="53" t="n">
        <f aca="false">IF(OR(N($E19)=0,$G19=""),0,$I19*IF($F19="Weekly",((Lists!M$21-MOD(Lists!M$21-$G19,7))&gt;=$G19)*((Lists!M$21-MOD(Lists!M$21-$G19,7))&lt;=$AB19),IF($F19="One-off",($G19&gt;Lists!M$23)*($G19&lt;=Lists!M$21),IF($F19="",0,(((Lists!M$24-$AA19)-MOD((Lists!M$24-$AA19),$Z19))&gt;=0)*(EDATE($G19,((Lists!M$24-$AA19)-MOD((Lists!M$24-$AA19),$Z19)))&gt;Lists!M$23)*(EDATE($G19,((Lists!M$24-$AA19)-MOD((Lists!M$24-$AA19),$Z19)))&lt;=Lists!M$21)*(EDATE($G19,((Lists!M$24-$AA19)-MOD((Lists!M$24-$AA19),$Z19)))&lt;=$AB19)+((((Lists!M$24-$AA19)-MOD((Lists!M$24-$AA19),$Z19))-$Z19)&gt;=0)*(EDATE($G19,(((Lists!M$24-$AA19)-MOD((Lists!M$24-$AA19),$Z19))-$Z19))&gt;Lists!M$23)*(EDATE($G19,(((Lists!M$24-$AA19)-MOD((Lists!M$24-$AA19),$Z19))-$Z19))&lt;=Lists!M$21)*(EDATE($G19,(((Lists!M$24-$AA19)-MOD((Lists!M$24-$AA19),$Z19))-$Z19))&lt;=$AB19)))))</f>
        <v>0</v>
      </c>
      <c r="U19" s="53" t="n">
        <f aca="false">IF(OR(N($E19)=0,$G19=""),0,$I19*IF($F19="Weekly",((Lists!N$21-MOD(Lists!N$21-$G19,7))&gt;=$G19)*((Lists!N$21-MOD(Lists!N$21-$G19,7))&lt;=$AB19),IF($F19="One-off",($G19&gt;Lists!N$23)*($G19&lt;=Lists!N$21),IF($F19="",0,(((Lists!N$24-$AA19)-MOD((Lists!N$24-$AA19),$Z19))&gt;=0)*(EDATE($G19,((Lists!N$24-$AA19)-MOD((Lists!N$24-$AA19),$Z19)))&gt;Lists!N$23)*(EDATE($G19,((Lists!N$24-$AA19)-MOD((Lists!N$24-$AA19),$Z19)))&lt;=Lists!N$21)*(EDATE($G19,((Lists!N$24-$AA19)-MOD((Lists!N$24-$AA19),$Z19)))&lt;=$AB19)+((((Lists!N$24-$AA19)-MOD((Lists!N$24-$AA19),$Z19))-$Z19)&gt;=0)*(EDATE($G19,(((Lists!N$24-$AA19)-MOD((Lists!N$24-$AA19),$Z19))-$Z19))&gt;Lists!N$23)*(EDATE($G19,(((Lists!N$24-$AA19)-MOD((Lists!N$24-$AA19),$Z19))-$Z19))&lt;=Lists!N$21)*(EDATE($G19,(((Lists!N$24-$AA19)-MOD((Lists!N$24-$AA19),$Z19))-$Z19))&lt;=$AB19)))))</f>
        <v>0</v>
      </c>
      <c r="V19" s="53" t="n">
        <f aca="false">IF(OR(N($E19)=0,$G19=""),0,$I19*IF($F19="Weekly",((Lists!O$21-MOD(Lists!O$21-$G19,7))&gt;=$G19)*((Lists!O$21-MOD(Lists!O$21-$G19,7))&lt;=$AB19),IF($F19="One-off",($G19&gt;Lists!O$23)*($G19&lt;=Lists!O$21),IF($F19="",0,(((Lists!O$24-$AA19)-MOD((Lists!O$24-$AA19),$Z19))&gt;=0)*(EDATE($G19,((Lists!O$24-$AA19)-MOD((Lists!O$24-$AA19),$Z19)))&gt;Lists!O$23)*(EDATE($G19,((Lists!O$24-$AA19)-MOD((Lists!O$24-$AA19),$Z19)))&lt;=Lists!O$21)*(EDATE($G19,((Lists!O$24-$AA19)-MOD((Lists!O$24-$AA19),$Z19)))&lt;=$AB19)+((((Lists!O$24-$AA19)-MOD((Lists!O$24-$AA19),$Z19))-$Z19)&gt;=0)*(EDATE($G19,(((Lists!O$24-$AA19)-MOD((Lists!O$24-$AA19),$Z19))-$Z19))&gt;Lists!O$23)*(EDATE($G19,(((Lists!O$24-$AA19)-MOD((Lists!O$24-$AA19),$Z19))-$Z19))&lt;=Lists!O$21)*(EDATE($G19,(((Lists!O$24-$AA19)-MOD((Lists!O$24-$AA19),$Z19))-$Z19))&lt;=$AB19)))))</f>
        <v>0</v>
      </c>
      <c r="W19" s="46" t="n">
        <f aca="false">SUM(J19:V19)</f>
        <v>0</v>
      </c>
      <c r="X19" s="2"/>
      <c r="Y19" s="104" t="n">
        <f aca="false">1</f>
        <v>1</v>
      </c>
      <c r="Z19" s="94" t="n">
        <f aca="false">IF(F19="Quarterly",3,IF(F19="Annually",12,1))</f>
        <v>1</v>
      </c>
      <c r="AA19" s="94" t="n">
        <f aca="false">IF(G19="",0,YEAR(G19)*12+MONTH(G19))</f>
        <v>0</v>
      </c>
      <c r="AB19" s="93" t="n">
        <f aca="false">IF(H19="",2958465,H19)</f>
        <v>2958465</v>
      </c>
      <c r="AC19" s="95" t="str">
        <f aca="false">IF(C19="","Other finance",C19)</f>
        <v>Other finance</v>
      </c>
    </row>
    <row r="20" customFormat="false" ht="15" hidden="false" customHeight="false" outlineLevel="0" collapsed="false">
      <c r="A20" s="87" t="n">
        <v>12</v>
      </c>
      <c r="B20" s="55"/>
      <c r="C20" s="55"/>
      <c r="D20" s="2"/>
      <c r="E20" s="88"/>
      <c r="F20" s="58"/>
      <c r="G20" s="90"/>
      <c r="H20" s="90"/>
      <c r="I20" s="92" t="n">
        <f aca="false">N(E20)*Y20</f>
        <v>0</v>
      </c>
      <c r="J20" s="53" t="n">
        <f aca="false">IF(OR(N($E20)=0,$G20=""),0,$I20*IF($F20="Weekly",((Lists!C$21-MOD(Lists!C$21-$G20,7))&gt;=$G20)*((Lists!C$21-MOD(Lists!C$21-$G20,7))&lt;=$AB20),IF($F20="One-off",($G20&gt;Lists!C$23)*($G20&lt;=Lists!C$21),IF($F20="",0,(((Lists!C$24-$AA20)-MOD((Lists!C$24-$AA20),$Z20))&gt;=0)*(EDATE($G20,((Lists!C$24-$AA20)-MOD((Lists!C$24-$AA20),$Z20)))&gt;Lists!C$23)*(EDATE($G20,((Lists!C$24-$AA20)-MOD((Lists!C$24-$AA20),$Z20)))&lt;=Lists!C$21)*(EDATE($G20,((Lists!C$24-$AA20)-MOD((Lists!C$24-$AA20),$Z20)))&lt;=$AB20)+((((Lists!C$24-$AA20)-MOD((Lists!C$24-$AA20),$Z20))-$Z20)&gt;=0)*(EDATE($G20,(((Lists!C$24-$AA20)-MOD((Lists!C$24-$AA20),$Z20))-$Z20))&gt;Lists!C$23)*(EDATE($G20,(((Lists!C$24-$AA20)-MOD((Lists!C$24-$AA20),$Z20))-$Z20))&lt;=Lists!C$21)*(EDATE($G20,(((Lists!C$24-$AA20)-MOD((Lists!C$24-$AA20),$Z20))-$Z20))&lt;=$AB20)))))</f>
        <v>0</v>
      </c>
      <c r="K20" s="53" t="n">
        <f aca="false">IF(OR(N($E20)=0,$G20=""),0,$I20*IF($F20="Weekly",((Lists!D$21-MOD(Lists!D$21-$G20,7))&gt;=$G20)*((Lists!D$21-MOD(Lists!D$21-$G20,7))&lt;=$AB20),IF($F20="One-off",($G20&gt;Lists!D$23)*($G20&lt;=Lists!D$21),IF($F20="",0,(((Lists!D$24-$AA20)-MOD((Lists!D$24-$AA20),$Z20))&gt;=0)*(EDATE($G20,((Lists!D$24-$AA20)-MOD((Lists!D$24-$AA20),$Z20)))&gt;Lists!D$23)*(EDATE($G20,((Lists!D$24-$AA20)-MOD((Lists!D$24-$AA20),$Z20)))&lt;=Lists!D$21)*(EDATE($G20,((Lists!D$24-$AA20)-MOD((Lists!D$24-$AA20),$Z20)))&lt;=$AB20)+((((Lists!D$24-$AA20)-MOD((Lists!D$24-$AA20),$Z20))-$Z20)&gt;=0)*(EDATE($G20,(((Lists!D$24-$AA20)-MOD((Lists!D$24-$AA20),$Z20))-$Z20))&gt;Lists!D$23)*(EDATE($G20,(((Lists!D$24-$AA20)-MOD((Lists!D$24-$AA20),$Z20))-$Z20))&lt;=Lists!D$21)*(EDATE($G20,(((Lists!D$24-$AA20)-MOD((Lists!D$24-$AA20),$Z20))-$Z20))&lt;=$AB20)))))</f>
        <v>0</v>
      </c>
      <c r="L20" s="53" t="n">
        <f aca="false">IF(OR(N($E20)=0,$G20=""),0,$I20*IF($F20="Weekly",((Lists!E$21-MOD(Lists!E$21-$G20,7))&gt;=$G20)*((Lists!E$21-MOD(Lists!E$21-$G20,7))&lt;=$AB20),IF($F20="One-off",($G20&gt;Lists!E$23)*($G20&lt;=Lists!E$21),IF($F20="",0,(((Lists!E$24-$AA20)-MOD((Lists!E$24-$AA20),$Z20))&gt;=0)*(EDATE($G20,((Lists!E$24-$AA20)-MOD((Lists!E$24-$AA20),$Z20)))&gt;Lists!E$23)*(EDATE($G20,((Lists!E$24-$AA20)-MOD((Lists!E$24-$AA20),$Z20)))&lt;=Lists!E$21)*(EDATE($G20,((Lists!E$24-$AA20)-MOD((Lists!E$24-$AA20),$Z20)))&lt;=$AB20)+((((Lists!E$24-$AA20)-MOD((Lists!E$24-$AA20),$Z20))-$Z20)&gt;=0)*(EDATE($G20,(((Lists!E$24-$AA20)-MOD((Lists!E$24-$AA20),$Z20))-$Z20))&gt;Lists!E$23)*(EDATE($G20,(((Lists!E$24-$AA20)-MOD((Lists!E$24-$AA20),$Z20))-$Z20))&lt;=Lists!E$21)*(EDATE($G20,(((Lists!E$24-$AA20)-MOD((Lists!E$24-$AA20),$Z20))-$Z20))&lt;=$AB20)))))</f>
        <v>0</v>
      </c>
      <c r="M20" s="53" t="n">
        <f aca="false">IF(OR(N($E20)=0,$G20=""),0,$I20*IF($F20="Weekly",((Lists!F$21-MOD(Lists!F$21-$G20,7))&gt;=$G20)*((Lists!F$21-MOD(Lists!F$21-$G20,7))&lt;=$AB20),IF($F20="One-off",($G20&gt;Lists!F$23)*($G20&lt;=Lists!F$21),IF($F20="",0,(((Lists!F$24-$AA20)-MOD((Lists!F$24-$AA20),$Z20))&gt;=0)*(EDATE($G20,((Lists!F$24-$AA20)-MOD((Lists!F$24-$AA20),$Z20)))&gt;Lists!F$23)*(EDATE($G20,((Lists!F$24-$AA20)-MOD((Lists!F$24-$AA20),$Z20)))&lt;=Lists!F$21)*(EDATE($G20,((Lists!F$24-$AA20)-MOD((Lists!F$24-$AA20),$Z20)))&lt;=$AB20)+((((Lists!F$24-$AA20)-MOD((Lists!F$24-$AA20),$Z20))-$Z20)&gt;=0)*(EDATE($G20,(((Lists!F$24-$AA20)-MOD((Lists!F$24-$AA20),$Z20))-$Z20))&gt;Lists!F$23)*(EDATE($G20,(((Lists!F$24-$AA20)-MOD((Lists!F$24-$AA20),$Z20))-$Z20))&lt;=Lists!F$21)*(EDATE($G20,(((Lists!F$24-$AA20)-MOD((Lists!F$24-$AA20),$Z20))-$Z20))&lt;=$AB20)))))</f>
        <v>0</v>
      </c>
      <c r="N20" s="53" t="n">
        <f aca="false">IF(OR(N($E20)=0,$G20=""),0,$I20*IF($F20="Weekly",((Lists!G$21-MOD(Lists!G$21-$G20,7))&gt;=$G20)*((Lists!G$21-MOD(Lists!G$21-$G20,7))&lt;=$AB20),IF($F20="One-off",($G20&gt;Lists!G$23)*($G20&lt;=Lists!G$21),IF($F20="",0,(((Lists!G$24-$AA20)-MOD((Lists!G$24-$AA20),$Z20))&gt;=0)*(EDATE($G20,((Lists!G$24-$AA20)-MOD((Lists!G$24-$AA20),$Z20)))&gt;Lists!G$23)*(EDATE($G20,((Lists!G$24-$AA20)-MOD((Lists!G$24-$AA20),$Z20)))&lt;=Lists!G$21)*(EDATE($G20,((Lists!G$24-$AA20)-MOD((Lists!G$24-$AA20),$Z20)))&lt;=$AB20)+((((Lists!G$24-$AA20)-MOD((Lists!G$24-$AA20),$Z20))-$Z20)&gt;=0)*(EDATE($G20,(((Lists!G$24-$AA20)-MOD((Lists!G$24-$AA20),$Z20))-$Z20))&gt;Lists!G$23)*(EDATE($G20,(((Lists!G$24-$AA20)-MOD((Lists!G$24-$AA20),$Z20))-$Z20))&lt;=Lists!G$21)*(EDATE($G20,(((Lists!G$24-$AA20)-MOD((Lists!G$24-$AA20),$Z20))-$Z20))&lt;=$AB20)))))</f>
        <v>0</v>
      </c>
      <c r="O20" s="53" t="n">
        <f aca="false">IF(OR(N($E20)=0,$G20=""),0,$I20*IF($F20="Weekly",((Lists!H$21-MOD(Lists!H$21-$G20,7))&gt;=$G20)*((Lists!H$21-MOD(Lists!H$21-$G20,7))&lt;=$AB20),IF($F20="One-off",($G20&gt;Lists!H$23)*($G20&lt;=Lists!H$21),IF($F20="",0,(((Lists!H$24-$AA20)-MOD((Lists!H$24-$AA20),$Z20))&gt;=0)*(EDATE($G20,((Lists!H$24-$AA20)-MOD((Lists!H$24-$AA20),$Z20)))&gt;Lists!H$23)*(EDATE($G20,((Lists!H$24-$AA20)-MOD((Lists!H$24-$AA20),$Z20)))&lt;=Lists!H$21)*(EDATE($G20,((Lists!H$24-$AA20)-MOD((Lists!H$24-$AA20),$Z20)))&lt;=$AB20)+((((Lists!H$24-$AA20)-MOD((Lists!H$24-$AA20),$Z20))-$Z20)&gt;=0)*(EDATE($G20,(((Lists!H$24-$AA20)-MOD((Lists!H$24-$AA20),$Z20))-$Z20))&gt;Lists!H$23)*(EDATE($G20,(((Lists!H$24-$AA20)-MOD((Lists!H$24-$AA20),$Z20))-$Z20))&lt;=Lists!H$21)*(EDATE($G20,(((Lists!H$24-$AA20)-MOD((Lists!H$24-$AA20),$Z20))-$Z20))&lt;=$AB20)))))</f>
        <v>0</v>
      </c>
      <c r="P20" s="53" t="n">
        <f aca="false">IF(OR(N($E20)=0,$G20=""),0,$I20*IF($F20="Weekly",((Lists!I$21-MOD(Lists!I$21-$G20,7))&gt;=$G20)*((Lists!I$21-MOD(Lists!I$21-$G20,7))&lt;=$AB20),IF($F20="One-off",($G20&gt;Lists!I$23)*($G20&lt;=Lists!I$21),IF($F20="",0,(((Lists!I$24-$AA20)-MOD((Lists!I$24-$AA20),$Z20))&gt;=0)*(EDATE($G20,((Lists!I$24-$AA20)-MOD((Lists!I$24-$AA20),$Z20)))&gt;Lists!I$23)*(EDATE($G20,((Lists!I$24-$AA20)-MOD((Lists!I$24-$AA20),$Z20)))&lt;=Lists!I$21)*(EDATE($G20,((Lists!I$24-$AA20)-MOD((Lists!I$24-$AA20),$Z20)))&lt;=$AB20)+((((Lists!I$24-$AA20)-MOD((Lists!I$24-$AA20),$Z20))-$Z20)&gt;=0)*(EDATE($G20,(((Lists!I$24-$AA20)-MOD((Lists!I$24-$AA20),$Z20))-$Z20))&gt;Lists!I$23)*(EDATE($G20,(((Lists!I$24-$AA20)-MOD((Lists!I$24-$AA20),$Z20))-$Z20))&lt;=Lists!I$21)*(EDATE($G20,(((Lists!I$24-$AA20)-MOD((Lists!I$24-$AA20),$Z20))-$Z20))&lt;=$AB20)))))</f>
        <v>0</v>
      </c>
      <c r="Q20" s="53" t="n">
        <f aca="false">IF(OR(N($E20)=0,$G20=""),0,$I20*IF($F20="Weekly",((Lists!J$21-MOD(Lists!J$21-$G20,7))&gt;=$G20)*((Lists!J$21-MOD(Lists!J$21-$G20,7))&lt;=$AB20),IF($F20="One-off",($G20&gt;Lists!J$23)*($G20&lt;=Lists!J$21),IF($F20="",0,(((Lists!J$24-$AA20)-MOD((Lists!J$24-$AA20),$Z20))&gt;=0)*(EDATE($G20,((Lists!J$24-$AA20)-MOD((Lists!J$24-$AA20),$Z20)))&gt;Lists!J$23)*(EDATE($G20,((Lists!J$24-$AA20)-MOD((Lists!J$24-$AA20),$Z20)))&lt;=Lists!J$21)*(EDATE($G20,((Lists!J$24-$AA20)-MOD((Lists!J$24-$AA20),$Z20)))&lt;=$AB20)+((((Lists!J$24-$AA20)-MOD((Lists!J$24-$AA20),$Z20))-$Z20)&gt;=0)*(EDATE($G20,(((Lists!J$24-$AA20)-MOD((Lists!J$24-$AA20),$Z20))-$Z20))&gt;Lists!J$23)*(EDATE($G20,(((Lists!J$24-$AA20)-MOD((Lists!J$24-$AA20),$Z20))-$Z20))&lt;=Lists!J$21)*(EDATE($G20,(((Lists!J$24-$AA20)-MOD((Lists!J$24-$AA20),$Z20))-$Z20))&lt;=$AB20)))))</f>
        <v>0</v>
      </c>
      <c r="R20" s="53" t="n">
        <f aca="false">IF(OR(N($E20)=0,$G20=""),0,$I20*IF($F20="Weekly",((Lists!K$21-MOD(Lists!K$21-$G20,7))&gt;=$G20)*((Lists!K$21-MOD(Lists!K$21-$G20,7))&lt;=$AB20),IF($F20="One-off",($G20&gt;Lists!K$23)*($G20&lt;=Lists!K$21),IF($F20="",0,(((Lists!K$24-$AA20)-MOD((Lists!K$24-$AA20),$Z20))&gt;=0)*(EDATE($G20,((Lists!K$24-$AA20)-MOD((Lists!K$24-$AA20),$Z20)))&gt;Lists!K$23)*(EDATE($G20,((Lists!K$24-$AA20)-MOD((Lists!K$24-$AA20),$Z20)))&lt;=Lists!K$21)*(EDATE($G20,((Lists!K$24-$AA20)-MOD((Lists!K$24-$AA20),$Z20)))&lt;=$AB20)+((((Lists!K$24-$AA20)-MOD((Lists!K$24-$AA20),$Z20))-$Z20)&gt;=0)*(EDATE($G20,(((Lists!K$24-$AA20)-MOD((Lists!K$24-$AA20),$Z20))-$Z20))&gt;Lists!K$23)*(EDATE($G20,(((Lists!K$24-$AA20)-MOD((Lists!K$24-$AA20),$Z20))-$Z20))&lt;=Lists!K$21)*(EDATE($G20,(((Lists!K$24-$AA20)-MOD((Lists!K$24-$AA20),$Z20))-$Z20))&lt;=$AB20)))))</f>
        <v>0</v>
      </c>
      <c r="S20" s="53" t="n">
        <f aca="false">IF(OR(N($E20)=0,$G20=""),0,$I20*IF($F20="Weekly",((Lists!L$21-MOD(Lists!L$21-$G20,7))&gt;=$G20)*((Lists!L$21-MOD(Lists!L$21-$G20,7))&lt;=$AB20),IF($F20="One-off",($G20&gt;Lists!L$23)*($G20&lt;=Lists!L$21),IF($F20="",0,(((Lists!L$24-$AA20)-MOD((Lists!L$24-$AA20),$Z20))&gt;=0)*(EDATE($G20,((Lists!L$24-$AA20)-MOD((Lists!L$24-$AA20),$Z20)))&gt;Lists!L$23)*(EDATE($G20,((Lists!L$24-$AA20)-MOD((Lists!L$24-$AA20),$Z20)))&lt;=Lists!L$21)*(EDATE($G20,((Lists!L$24-$AA20)-MOD((Lists!L$24-$AA20),$Z20)))&lt;=$AB20)+((((Lists!L$24-$AA20)-MOD((Lists!L$24-$AA20),$Z20))-$Z20)&gt;=0)*(EDATE($G20,(((Lists!L$24-$AA20)-MOD((Lists!L$24-$AA20),$Z20))-$Z20))&gt;Lists!L$23)*(EDATE($G20,(((Lists!L$24-$AA20)-MOD((Lists!L$24-$AA20),$Z20))-$Z20))&lt;=Lists!L$21)*(EDATE($G20,(((Lists!L$24-$AA20)-MOD((Lists!L$24-$AA20),$Z20))-$Z20))&lt;=$AB20)))))</f>
        <v>0</v>
      </c>
      <c r="T20" s="53" t="n">
        <f aca="false">IF(OR(N($E20)=0,$G20=""),0,$I20*IF($F20="Weekly",((Lists!M$21-MOD(Lists!M$21-$G20,7))&gt;=$G20)*((Lists!M$21-MOD(Lists!M$21-$G20,7))&lt;=$AB20),IF($F20="One-off",($G20&gt;Lists!M$23)*($G20&lt;=Lists!M$21),IF($F20="",0,(((Lists!M$24-$AA20)-MOD((Lists!M$24-$AA20),$Z20))&gt;=0)*(EDATE($G20,((Lists!M$24-$AA20)-MOD((Lists!M$24-$AA20),$Z20)))&gt;Lists!M$23)*(EDATE($G20,((Lists!M$24-$AA20)-MOD((Lists!M$24-$AA20),$Z20)))&lt;=Lists!M$21)*(EDATE($G20,((Lists!M$24-$AA20)-MOD((Lists!M$24-$AA20),$Z20)))&lt;=$AB20)+((((Lists!M$24-$AA20)-MOD((Lists!M$24-$AA20),$Z20))-$Z20)&gt;=0)*(EDATE($G20,(((Lists!M$24-$AA20)-MOD((Lists!M$24-$AA20),$Z20))-$Z20))&gt;Lists!M$23)*(EDATE($G20,(((Lists!M$24-$AA20)-MOD((Lists!M$24-$AA20),$Z20))-$Z20))&lt;=Lists!M$21)*(EDATE($G20,(((Lists!M$24-$AA20)-MOD((Lists!M$24-$AA20),$Z20))-$Z20))&lt;=$AB20)))))</f>
        <v>0</v>
      </c>
      <c r="U20" s="53" t="n">
        <f aca="false">IF(OR(N($E20)=0,$G20=""),0,$I20*IF($F20="Weekly",((Lists!N$21-MOD(Lists!N$21-$G20,7))&gt;=$G20)*((Lists!N$21-MOD(Lists!N$21-$G20,7))&lt;=$AB20),IF($F20="One-off",($G20&gt;Lists!N$23)*($G20&lt;=Lists!N$21),IF($F20="",0,(((Lists!N$24-$AA20)-MOD((Lists!N$24-$AA20),$Z20))&gt;=0)*(EDATE($G20,((Lists!N$24-$AA20)-MOD((Lists!N$24-$AA20),$Z20)))&gt;Lists!N$23)*(EDATE($G20,((Lists!N$24-$AA20)-MOD((Lists!N$24-$AA20),$Z20)))&lt;=Lists!N$21)*(EDATE($G20,((Lists!N$24-$AA20)-MOD((Lists!N$24-$AA20),$Z20)))&lt;=$AB20)+((((Lists!N$24-$AA20)-MOD((Lists!N$24-$AA20),$Z20))-$Z20)&gt;=0)*(EDATE($G20,(((Lists!N$24-$AA20)-MOD((Lists!N$24-$AA20),$Z20))-$Z20))&gt;Lists!N$23)*(EDATE($G20,(((Lists!N$24-$AA20)-MOD((Lists!N$24-$AA20),$Z20))-$Z20))&lt;=Lists!N$21)*(EDATE($G20,(((Lists!N$24-$AA20)-MOD((Lists!N$24-$AA20),$Z20))-$Z20))&lt;=$AB20)))))</f>
        <v>0</v>
      </c>
      <c r="V20" s="53" t="n">
        <f aca="false">IF(OR(N($E20)=0,$G20=""),0,$I20*IF($F20="Weekly",((Lists!O$21-MOD(Lists!O$21-$G20,7))&gt;=$G20)*((Lists!O$21-MOD(Lists!O$21-$G20,7))&lt;=$AB20),IF($F20="One-off",($G20&gt;Lists!O$23)*($G20&lt;=Lists!O$21),IF($F20="",0,(((Lists!O$24-$AA20)-MOD((Lists!O$24-$AA20),$Z20))&gt;=0)*(EDATE($G20,((Lists!O$24-$AA20)-MOD((Lists!O$24-$AA20),$Z20)))&gt;Lists!O$23)*(EDATE($G20,((Lists!O$24-$AA20)-MOD((Lists!O$24-$AA20),$Z20)))&lt;=Lists!O$21)*(EDATE($G20,((Lists!O$24-$AA20)-MOD((Lists!O$24-$AA20),$Z20)))&lt;=$AB20)+((((Lists!O$24-$AA20)-MOD((Lists!O$24-$AA20),$Z20))-$Z20)&gt;=0)*(EDATE($G20,(((Lists!O$24-$AA20)-MOD((Lists!O$24-$AA20),$Z20))-$Z20))&gt;Lists!O$23)*(EDATE($G20,(((Lists!O$24-$AA20)-MOD((Lists!O$24-$AA20),$Z20))-$Z20))&lt;=Lists!O$21)*(EDATE($G20,(((Lists!O$24-$AA20)-MOD((Lists!O$24-$AA20),$Z20))-$Z20))&lt;=$AB20)))))</f>
        <v>0</v>
      </c>
      <c r="W20" s="46" t="n">
        <f aca="false">SUM(J20:V20)</f>
        <v>0</v>
      </c>
      <c r="X20" s="2"/>
      <c r="Y20" s="104" t="n">
        <f aca="false">1</f>
        <v>1</v>
      </c>
      <c r="Z20" s="94" t="n">
        <f aca="false">IF(F20="Quarterly",3,IF(F20="Annually",12,1))</f>
        <v>1</v>
      </c>
      <c r="AA20" s="94" t="n">
        <f aca="false">IF(G20="",0,YEAR(G20)*12+MONTH(G20))</f>
        <v>0</v>
      </c>
      <c r="AB20" s="93" t="n">
        <f aca="false">IF(H20="",2958465,H20)</f>
        <v>2958465</v>
      </c>
      <c r="AC20" s="95" t="str">
        <f aca="false">IF(C20="","Other finance",C20)</f>
        <v>Other finance</v>
      </c>
    </row>
    <row r="21" customFormat="false" ht="15" hidden="false" customHeight="false" outlineLevel="0" collapsed="false">
      <c r="A21" s="2"/>
      <c r="B21" s="15" t="s">
        <v>551</v>
      </c>
      <c r="C21" s="2"/>
      <c r="D21" s="2"/>
      <c r="E21" s="2"/>
      <c r="F21" s="2"/>
      <c r="G21" s="2"/>
      <c r="H21" s="2"/>
      <c r="I21" s="2"/>
      <c r="J21" s="48" t="n">
        <f aca="false">SUM(J9:J20)</f>
        <v>0</v>
      </c>
      <c r="K21" s="48" t="n">
        <f aca="false">SUM(K9:K20)</f>
        <v>4200</v>
      </c>
      <c r="L21" s="48" t="n">
        <f aca="false">SUM(L9:L20)</f>
        <v>0</v>
      </c>
      <c r="M21" s="48" t="n">
        <f aca="false">SUM(M9:M20)</f>
        <v>3000</v>
      </c>
      <c r="N21" s="48" t="n">
        <f aca="false">SUM(N9:N20)</f>
        <v>0</v>
      </c>
      <c r="O21" s="48" t="n">
        <f aca="false">SUM(O9:O20)</f>
        <v>4200</v>
      </c>
      <c r="P21" s="48" t="n">
        <f aca="false">SUM(P9:P20)</f>
        <v>0</v>
      </c>
      <c r="Q21" s="48" t="n">
        <f aca="false">SUM(Q9:Q20)</f>
        <v>3000</v>
      </c>
      <c r="R21" s="48" t="n">
        <f aca="false">SUM(R9:R20)</f>
        <v>0</v>
      </c>
      <c r="S21" s="48" t="n">
        <f aca="false">SUM(S9:S20)</f>
        <v>4200</v>
      </c>
      <c r="T21" s="48" t="n">
        <f aca="false">SUM(T9:T20)</f>
        <v>0</v>
      </c>
      <c r="U21" s="48" t="n">
        <f aca="false">SUM(U9:U20)</f>
        <v>0</v>
      </c>
      <c r="V21" s="48" t="n">
        <f aca="false">SUM(V9:V20)</f>
        <v>3000</v>
      </c>
      <c r="W21" s="48" t="n">
        <f aca="false">SUM(W9:W20)</f>
        <v>21600</v>
      </c>
      <c r="X21" s="2"/>
      <c r="Y21" s="2"/>
      <c r="Z21" s="2"/>
      <c r="AA21" s="2"/>
      <c r="AB21" s="2"/>
      <c r="AC21" s="2"/>
    </row>
    <row r="22" customFormat="false" ht="15" hidden="false" customHeight="false" outlineLevel="0" collapsed="false">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customFormat="false" ht="15" hidden="false" customHeight="false" outlineLevel="0" collapsed="false">
      <c r="A23" s="5" t="s">
        <v>552</v>
      </c>
      <c r="B23" s="6"/>
      <c r="C23" s="6"/>
      <c r="D23" s="6"/>
      <c r="E23" s="6"/>
      <c r="F23" s="6"/>
      <c r="G23" s="6"/>
      <c r="H23" s="6"/>
      <c r="I23" s="6"/>
      <c r="J23" s="6"/>
      <c r="K23" s="6"/>
      <c r="L23" s="6"/>
      <c r="M23" s="6"/>
      <c r="N23" s="6"/>
      <c r="O23" s="6"/>
      <c r="P23" s="6"/>
      <c r="Q23" s="6"/>
      <c r="R23" s="6"/>
      <c r="S23" s="6"/>
      <c r="T23" s="6"/>
      <c r="U23" s="6"/>
      <c r="V23" s="6"/>
      <c r="W23" s="6"/>
      <c r="X23" s="6"/>
      <c r="Y23" s="2"/>
      <c r="Z23" s="2"/>
      <c r="AA23" s="2"/>
      <c r="AB23" s="2"/>
      <c r="AC23" s="2"/>
    </row>
    <row r="24" customFormat="false" ht="15" hidden="false" customHeight="false" outlineLevel="0" collapsed="false">
      <c r="A24" s="2"/>
      <c r="B24" s="9" t="str">
        <f aca="false">Lists!$F$2</f>
        <v>Loan repayment</v>
      </c>
      <c r="C24" s="2"/>
      <c r="D24" s="2"/>
      <c r="E24" s="2"/>
      <c r="F24" s="2"/>
      <c r="G24" s="2"/>
      <c r="H24" s="2"/>
      <c r="I24" s="2"/>
      <c r="J24" s="53" t="n">
        <f aca="false">SUMIF($AC$9:$AC$20,$B24,J$9:J$20)</f>
        <v>0</v>
      </c>
      <c r="K24" s="53" t="n">
        <f aca="false">SUMIF($AC$9:$AC$20,$B24,K$9:K$20)</f>
        <v>0</v>
      </c>
      <c r="L24" s="53" t="n">
        <f aca="false">SUMIF($AC$9:$AC$20,$B24,L$9:L$20)</f>
        <v>0</v>
      </c>
      <c r="M24" s="53" t="n">
        <f aca="false">SUMIF($AC$9:$AC$20,$B24,M$9:M$20)</f>
        <v>3000</v>
      </c>
      <c r="N24" s="53" t="n">
        <f aca="false">SUMIF($AC$9:$AC$20,$B24,N$9:N$20)</f>
        <v>0</v>
      </c>
      <c r="O24" s="53" t="n">
        <f aca="false">SUMIF($AC$9:$AC$20,$B24,O$9:O$20)</f>
        <v>0</v>
      </c>
      <c r="P24" s="53" t="n">
        <f aca="false">SUMIF($AC$9:$AC$20,$B24,P$9:P$20)</f>
        <v>0</v>
      </c>
      <c r="Q24" s="53" t="n">
        <f aca="false">SUMIF($AC$9:$AC$20,$B24,Q$9:Q$20)</f>
        <v>3000</v>
      </c>
      <c r="R24" s="53" t="n">
        <f aca="false">SUMIF($AC$9:$AC$20,$B24,R$9:R$20)</f>
        <v>0</v>
      </c>
      <c r="S24" s="53" t="n">
        <f aca="false">SUMIF($AC$9:$AC$20,$B24,S$9:S$20)</f>
        <v>0</v>
      </c>
      <c r="T24" s="53" t="n">
        <f aca="false">SUMIF($AC$9:$AC$20,$B24,T$9:T$20)</f>
        <v>0</v>
      </c>
      <c r="U24" s="53" t="n">
        <f aca="false">SUMIF($AC$9:$AC$20,$B24,U$9:U$20)</f>
        <v>0</v>
      </c>
      <c r="V24" s="53" t="n">
        <f aca="false">SUMIF($AC$9:$AC$20,$B24,V$9:V$20)</f>
        <v>3000</v>
      </c>
      <c r="W24" s="53" t="n">
        <f aca="false">SUMIF($AC$9:$AC$20,$B24,W$9:W$20)</f>
        <v>9000</v>
      </c>
      <c r="X24" s="2"/>
      <c r="Y24" s="2"/>
      <c r="Z24" s="2"/>
      <c r="AA24" s="2"/>
      <c r="AB24" s="2"/>
      <c r="AC24" s="2"/>
    </row>
    <row r="25" customFormat="false" ht="15" hidden="false" customHeight="false" outlineLevel="0" collapsed="false">
      <c r="A25" s="2"/>
      <c r="B25" s="9" t="str">
        <f aca="false">Lists!$F$3</f>
        <v>Hire purchase / lease</v>
      </c>
      <c r="C25" s="2"/>
      <c r="D25" s="2"/>
      <c r="E25" s="2"/>
      <c r="F25" s="2"/>
      <c r="G25" s="2"/>
      <c r="H25" s="2"/>
      <c r="I25" s="2"/>
      <c r="J25" s="53" t="n">
        <f aca="false">SUMIF($AC$9:$AC$20,$B25,J$9:J$20)</f>
        <v>0</v>
      </c>
      <c r="K25" s="53" t="n">
        <f aca="false">SUMIF($AC$9:$AC$20,$B25,K$9:K$20)</f>
        <v>4200</v>
      </c>
      <c r="L25" s="53" t="n">
        <f aca="false">SUMIF($AC$9:$AC$20,$B25,L$9:L$20)</f>
        <v>0</v>
      </c>
      <c r="M25" s="53" t="n">
        <f aca="false">SUMIF($AC$9:$AC$20,$B25,M$9:M$20)</f>
        <v>0</v>
      </c>
      <c r="N25" s="53" t="n">
        <f aca="false">SUMIF($AC$9:$AC$20,$B25,N$9:N$20)</f>
        <v>0</v>
      </c>
      <c r="O25" s="53" t="n">
        <f aca="false">SUMIF($AC$9:$AC$20,$B25,O$9:O$20)</f>
        <v>4200</v>
      </c>
      <c r="P25" s="53" t="n">
        <f aca="false">SUMIF($AC$9:$AC$20,$B25,P$9:P$20)</f>
        <v>0</v>
      </c>
      <c r="Q25" s="53" t="n">
        <f aca="false">SUMIF($AC$9:$AC$20,$B25,Q$9:Q$20)</f>
        <v>0</v>
      </c>
      <c r="R25" s="53" t="n">
        <f aca="false">SUMIF($AC$9:$AC$20,$B25,R$9:R$20)</f>
        <v>0</v>
      </c>
      <c r="S25" s="53" t="n">
        <f aca="false">SUMIF($AC$9:$AC$20,$B25,S$9:S$20)</f>
        <v>4200</v>
      </c>
      <c r="T25" s="53" t="n">
        <f aca="false">SUMIF($AC$9:$AC$20,$B25,T$9:T$20)</f>
        <v>0</v>
      </c>
      <c r="U25" s="53" t="n">
        <f aca="false">SUMIF($AC$9:$AC$20,$B25,U$9:U$20)</f>
        <v>0</v>
      </c>
      <c r="V25" s="53" t="n">
        <f aca="false">SUMIF($AC$9:$AC$20,$B25,V$9:V$20)</f>
        <v>0</v>
      </c>
      <c r="W25" s="53" t="n">
        <f aca="false">SUMIF($AC$9:$AC$20,$B25,W$9:W$20)</f>
        <v>12600</v>
      </c>
      <c r="X25" s="2"/>
      <c r="Y25" s="2"/>
      <c r="Z25" s="2"/>
      <c r="AA25" s="2"/>
      <c r="AB25" s="2"/>
      <c r="AC25" s="2"/>
    </row>
    <row r="26" customFormat="false" ht="15" hidden="false" customHeight="false" outlineLevel="0" collapsed="false">
      <c r="A26" s="2"/>
      <c r="B26" s="9" t="str">
        <f aca="false">Lists!$F$4</f>
        <v>Credit card</v>
      </c>
      <c r="C26" s="2"/>
      <c r="D26" s="2"/>
      <c r="E26" s="2"/>
      <c r="F26" s="2"/>
      <c r="G26" s="2"/>
      <c r="H26" s="2"/>
      <c r="I26" s="2"/>
      <c r="J26" s="53" t="n">
        <f aca="false">SUMIF($AC$9:$AC$20,$B26,J$9:J$20)</f>
        <v>0</v>
      </c>
      <c r="K26" s="53" t="n">
        <f aca="false">SUMIF($AC$9:$AC$20,$B26,K$9:K$20)</f>
        <v>0</v>
      </c>
      <c r="L26" s="53" t="n">
        <f aca="false">SUMIF($AC$9:$AC$20,$B26,L$9:L$20)</f>
        <v>0</v>
      </c>
      <c r="M26" s="53" t="n">
        <f aca="false">SUMIF($AC$9:$AC$20,$B26,M$9:M$20)</f>
        <v>0</v>
      </c>
      <c r="N26" s="53" t="n">
        <f aca="false">SUMIF($AC$9:$AC$20,$B26,N$9:N$20)</f>
        <v>0</v>
      </c>
      <c r="O26" s="53" t="n">
        <f aca="false">SUMIF($AC$9:$AC$20,$B26,O$9:O$20)</f>
        <v>0</v>
      </c>
      <c r="P26" s="53" t="n">
        <f aca="false">SUMIF($AC$9:$AC$20,$B26,P$9:P$20)</f>
        <v>0</v>
      </c>
      <c r="Q26" s="53" t="n">
        <f aca="false">SUMIF($AC$9:$AC$20,$B26,Q$9:Q$20)</f>
        <v>0</v>
      </c>
      <c r="R26" s="53" t="n">
        <f aca="false">SUMIF($AC$9:$AC$20,$B26,R$9:R$20)</f>
        <v>0</v>
      </c>
      <c r="S26" s="53" t="n">
        <f aca="false">SUMIF($AC$9:$AC$20,$B26,S$9:S$20)</f>
        <v>0</v>
      </c>
      <c r="T26" s="53" t="n">
        <f aca="false">SUMIF($AC$9:$AC$20,$B26,T$9:T$20)</f>
        <v>0</v>
      </c>
      <c r="U26" s="53" t="n">
        <f aca="false">SUMIF($AC$9:$AC$20,$B26,U$9:U$20)</f>
        <v>0</v>
      </c>
      <c r="V26" s="53" t="n">
        <f aca="false">SUMIF($AC$9:$AC$20,$B26,V$9:V$20)</f>
        <v>0</v>
      </c>
      <c r="W26" s="53" t="n">
        <f aca="false">SUMIF($AC$9:$AC$20,$B26,W$9:W$20)</f>
        <v>0</v>
      </c>
      <c r="X26" s="2"/>
      <c r="Y26" s="2"/>
      <c r="Z26" s="2"/>
      <c r="AA26" s="2"/>
      <c r="AB26" s="2"/>
      <c r="AC26" s="2"/>
    </row>
    <row r="27" customFormat="false" ht="15" hidden="false" customHeight="false" outlineLevel="0" collapsed="false">
      <c r="A27" s="2"/>
      <c r="B27" s="9" t="str">
        <f aca="false">Lists!$F$5</f>
        <v>Other finance</v>
      </c>
      <c r="C27" s="2"/>
      <c r="D27" s="2"/>
      <c r="E27" s="2"/>
      <c r="F27" s="2"/>
      <c r="G27" s="2"/>
      <c r="H27" s="2"/>
      <c r="I27" s="2"/>
      <c r="J27" s="53" t="n">
        <f aca="false">SUMIF($AC$9:$AC$20,$B27,J$9:J$20)</f>
        <v>0</v>
      </c>
      <c r="K27" s="53" t="n">
        <f aca="false">SUMIF($AC$9:$AC$20,$B27,K$9:K$20)</f>
        <v>0</v>
      </c>
      <c r="L27" s="53" t="n">
        <f aca="false">SUMIF($AC$9:$AC$20,$B27,L$9:L$20)</f>
        <v>0</v>
      </c>
      <c r="M27" s="53" t="n">
        <f aca="false">SUMIF($AC$9:$AC$20,$B27,M$9:M$20)</f>
        <v>0</v>
      </c>
      <c r="N27" s="53" t="n">
        <f aca="false">SUMIF($AC$9:$AC$20,$B27,N$9:N$20)</f>
        <v>0</v>
      </c>
      <c r="O27" s="53" t="n">
        <f aca="false">SUMIF($AC$9:$AC$20,$B27,O$9:O$20)</f>
        <v>0</v>
      </c>
      <c r="P27" s="53" t="n">
        <f aca="false">SUMIF($AC$9:$AC$20,$B27,P$9:P$20)</f>
        <v>0</v>
      </c>
      <c r="Q27" s="53" t="n">
        <f aca="false">SUMIF($AC$9:$AC$20,$B27,Q$9:Q$20)</f>
        <v>0</v>
      </c>
      <c r="R27" s="53" t="n">
        <f aca="false">SUMIF($AC$9:$AC$20,$B27,R$9:R$20)</f>
        <v>0</v>
      </c>
      <c r="S27" s="53" t="n">
        <f aca="false">SUMIF($AC$9:$AC$20,$B27,S$9:S$20)</f>
        <v>0</v>
      </c>
      <c r="T27" s="53" t="n">
        <f aca="false">SUMIF($AC$9:$AC$20,$B27,T$9:T$20)</f>
        <v>0</v>
      </c>
      <c r="U27" s="53" t="n">
        <f aca="false">SUMIF($AC$9:$AC$20,$B27,U$9:U$20)</f>
        <v>0</v>
      </c>
      <c r="V27" s="53" t="n">
        <f aca="false">SUMIF($AC$9:$AC$20,$B27,V$9:V$20)</f>
        <v>0</v>
      </c>
      <c r="W27" s="53" t="n">
        <f aca="false">SUMIF($AC$9:$AC$20,$B27,W$9:W$20)</f>
        <v>0</v>
      </c>
      <c r="X27" s="2"/>
      <c r="Y27" s="2"/>
      <c r="Z27" s="2"/>
      <c r="AA27" s="2"/>
      <c r="AB27" s="2"/>
      <c r="AC27" s="2"/>
    </row>
    <row r="28" customFormat="false" ht="15" hidden="false" customHeight="false" outlineLevel="0" collapsed="false">
      <c r="A28" s="2"/>
      <c r="B28" s="15" t="s">
        <v>254</v>
      </c>
      <c r="C28" s="2"/>
      <c r="D28" s="2"/>
      <c r="E28" s="2"/>
      <c r="F28" s="2"/>
      <c r="G28" s="2"/>
      <c r="H28" s="2"/>
      <c r="I28" s="2"/>
      <c r="J28" s="48" t="n">
        <f aca="false">SUM(J24:J27)</f>
        <v>0</v>
      </c>
      <c r="K28" s="48" t="n">
        <f aca="false">SUM(K24:K27)</f>
        <v>4200</v>
      </c>
      <c r="L28" s="48" t="n">
        <f aca="false">SUM(L24:L27)</f>
        <v>0</v>
      </c>
      <c r="M28" s="48" t="n">
        <f aca="false">SUM(M24:M27)</f>
        <v>3000</v>
      </c>
      <c r="N28" s="48" t="n">
        <f aca="false">SUM(N24:N27)</f>
        <v>0</v>
      </c>
      <c r="O28" s="48" t="n">
        <f aca="false">SUM(O24:O27)</f>
        <v>4200</v>
      </c>
      <c r="P28" s="48" t="n">
        <f aca="false">SUM(P24:P27)</f>
        <v>0</v>
      </c>
      <c r="Q28" s="48" t="n">
        <f aca="false">SUM(Q24:Q27)</f>
        <v>3000</v>
      </c>
      <c r="R28" s="48" t="n">
        <f aca="false">SUM(R24:R27)</f>
        <v>0</v>
      </c>
      <c r="S28" s="48" t="n">
        <f aca="false">SUM(S24:S27)</f>
        <v>4200</v>
      </c>
      <c r="T28" s="48" t="n">
        <f aca="false">SUM(T24:T27)</f>
        <v>0</v>
      </c>
      <c r="U28" s="48" t="n">
        <f aca="false">SUM(U24:U27)</f>
        <v>0</v>
      </c>
      <c r="V28" s="48" t="n">
        <f aca="false">SUM(V24:V27)</f>
        <v>3000</v>
      </c>
      <c r="W28" s="48" t="n">
        <f aca="false">SUM(W24:W27)</f>
        <v>21600</v>
      </c>
      <c r="X28" s="2"/>
      <c r="Y28" s="2"/>
      <c r="Z28" s="2"/>
      <c r="AA28" s="2"/>
      <c r="AB28" s="2"/>
      <c r="AC28" s="2"/>
    </row>
  </sheetData>
  <sheetProtection sheet="true" formatCells="false" formatColumns="false" formatRows="false"/>
  <dataValidations count="3">
    <dataValidation allowBlank="true" error="Please enter a date, e.g. 15/11/2026" errorStyle="stop" errorTitle="Date needed" operator="greaterThan" showDropDown="false" showErrorMessage="false" showInputMessage="false" sqref="G9:H20" type="date">
      <formula1>36526</formula1>
      <formula2>0</formula2>
    </dataValidation>
    <dataValidation allowBlank="true" error="Please pick from the list." errorStyle="stop" errorTitle="Choose from the list" operator="between" showDropDown="false" showErrorMessage="false" showInputMessage="false" sqref="F9:F20" type="list">
      <formula1>Lists!$C$2:$C$6</formula1>
      <formula2>0</formula2>
    </dataValidation>
    <dataValidation allowBlank="true" error="Please pick from the list." errorStyle="stop" errorTitle="Choose from the list" operator="between" showDropDown="false" showErrorMessage="false" showInputMessage="false" sqref="C9:C20" type="list">
      <formula1>Lists!$F$2:$F$5</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40"/>
    <col collapsed="false" customWidth="true" hidden="false" outlineLevel="0" max="15" min="3" style="1" width="11"/>
    <col collapsed="false" customWidth="true" hidden="false" outlineLevel="0" max="16" min="16" style="1" width="13"/>
  </cols>
  <sheetData>
    <row r="1" customFormat="false" ht="19.7" hidden="false" customHeight="false" outlineLevel="0" collapsed="false">
      <c r="A1" s="20" t="str">
        <f aca="false">Setup!$D$5</f>
        <v>Brightwater Fabrications Ltd (fictional example)</v>
      </c>
      <c r="B1" s="2"/>
      <c r="C1" s="2"/>
      <c r="D1" s="2"/>
      <c r="E1" s="2"/>
      <c r="F1" s="2"/>
      <c r="G1" s="2"/>
      <c r="H1" s="2"/>
      <c r="I1" s="2"/>
      <c r="J1" s="2"/>
      <c r="K1" s="2"/>
      <c r="L1" s="2"/>
      <c r="M1" s="2"/>
      <c r="N1" s="2"/>
      <c r="O1" s="2"/>
      <c r="P1" s="2"/>
    </row>
    <row r="2" customFormat="false" ht="15" hidden="false" customHeight="false" outlineLevel="0" collapsed="false">
      <c r="A2" s="4" t="s">
        <v>553</v>
      </c>
      <c r="B2" s="2"/>
      <c r="C2" s="2"/>
      <c r="D2" s="2"/>
      <c r="E2" s="2"/>
      <c r="F2" s="2"/>
      <c r="G2" s="2"/>
      <c r="H2" s="2"/>
      <c r="I2" s="2"/>
      <c r="J2" s="2"/>
      <c r="K2" s="2"/>
      <c r="L2" s="2"/>
      <c r="M2" s="2"/>
      <c r="N2" s="2"/>
      <c r="O2" s="2"/>
      <c r="P2" s="2"/>
    </row>
    <row r="3" customFormat="false" ht="15" hidden="false" customHeight="false" outlineLevel="0" collapsed="false">
      <c r="A3" s="21" t="s">
        <v>554</v>
      </c>
      <c r="B3" s="2"/>
      <c r="C3" s="2"/>
      <c r="D3" s="2"/>
      <c r="E3" s="2"/>
      <c r="F3" s="2"/>
      <c r="G3" s="2"/>
      <c r="H3" s="2"/>
      <c r="I3" s="2"/>
      <c r="J3" s="2"/>
      <c r="K3" s="2"/>
      <c r="L3" s="2"/>
      <c r="M3" s="2"/>
      <c r="N3" s="2"/>
      <c r="O3" s="2"/>
      <c r="P3" s="2"/>
    </row>
    <row r="4" customFormat="false" ht="15" hidden="false" customHeight="false" outlineLevel="0" collapsed="false">
      <c r="A4" s="2"/>
      <c r="B4" s="2"/>
      <c r="C4" s="2"/>
      <c r="D4" s="2"/>
      <c r="E4" s="2"/>
      <c r="F4" s="2"/>
      <c r="G4" s="2"/>
      <c r="H4" s="2"/>
      <c r="I4" s="2"/>
      <c r="J4" s="2"/>
      <c r="K4" s="2"/>
      <c r="L4" s="2"/>
      <c r="M4" s="2"/>
      <c r="N4" s="2"/>
      <c r="O4" s="2"/>
      <c r="P4" s="2"/>
    </row>
    <row r="5" customFormat="false" ht="15" hidden="false" customHeight="false" outlineLevel="0" collapsed="false">
      <c r="A5" s="2"/>
      <c r="B5" s="2"/>
      <c r="C5" s="42" t="str">
        <f aca="false">"Week "&amp;Lists!C$20</f>
        <v>Week 1</v>
      </c>
      <c r="D5" s="42" t="str">
        <f aca="false">"Week "&amp;Lists!D$20</f>
        <v>Week 2</v>
      </c>
      <c r="E5" s="42" t="str">
        <f aca="false">"Week "&amp;Lists!E$20</f>
        <v>Week 3</v>
      </c>
      <c r="F5" s="42" t="str">
        <f aca="false">"Week "&amp;Lists!F$20</f>
        <v>Week 4</v>
      </c>
      <c r="G5" s="42" t="str">
        <f aca="false">"Week "&amp;Lists!G$20</f>
        <v>Week 5</v>
      </c>
      <c r="H5" s="42" t="str">
        <f aca="false">"Week "&amp;Lists!H$20</f>
        <v>Week 6</v>
      </c>
      <c r="I5" s="42" t="str">
        <f aca="false">"Week "&amp;Lists!I$20</f>
        <v>Week 7</v>
      </c>
      <c r="J5" s="42" t="str">
        <f aca="false">"Week "&amp;Lists!J$20</f>
        <v>Week 8</v>
      </c>
      <c r="K5" s="42" t="str">
        <f aca="false">"Week "&amp;Lists!K$20</f>
        <v>Week 9</v>
      </c>
      <c r="L5" s="42" t="str">
        <f aca="false">"Week "&amp;Lists!L$20</f>
        <v>Week 10</v>
      </c>
      <c r="M5" s="42" t="str">
        <f aca="false">"Week "&amp;Lists!M$20</f>
        <v>Week 11</v>
      </c>
      <c r="N5" s="42" t="str">
        <f aca="false">"Week "&amp;Lists!N$20</f>
        <v>Week 12</v>
      </c>
      <c r="O5" s="42" t="str">
        <f aca="false">"Week "&amp;Lists!O$20</f>
        <v>Week 13</v>
      </c>
      <c r="P5" s="42" t="s">
        <v>253</v>
      </c>
    </row>
    <row r="6" customFormat="false" ht="15" hidden="false" customHeight="false" outlineLevel="0" collapsed="false">
      <c r="A6" s="2"/>
      <c r="B6" s="2"/>
      <c r="C6" s="45" t="n">
        <f aca="false">Lists!C$21</f>
        <v>46339</v>
      </c>
      <c r="D6" s="45" t="n">
        <f aca="false">Lists!D$21</f>
        <v>46346</v>
      </c>
      <c r="E6" s="45" t="n">
        <f aca="false">Lists!E$21</f>
        <v>46353</v>
      </c>
      <c r="F6" s="45" t="n">
        <f aca="false">Lists!F$21</f>
        <v>46360</v>
      </c>
      <c r="G6" s="45" t="n">
        <f aca="false">Lists!G$21</f>
        <v>46367</v>
      </c>
      <c r="H6" s="45" t="n">
        <f aca="false">Lists!H$21</f>
        <v>46374</v>
      </c>
      <c r="I6" s="45" t="n">
        <f aca="false">Lists!I$21</f>
        <v>46381</v>
      </c>
      <c r="J6" s="45" t="n">
        <f aca="false">Lists!J$21</f>
        <v>46388</v>
      </c>
      <c r="K6" s="45" t="n">
        <f aca="false">Lists!K$21</f>
        <v>46395</v>
      </c>
      <c r="L6" s="45" t="n">
        <f aca="false">Lists!L$21</f>
        <v>46402</v>
      </c>
      <c r="M6" s="45" t="n">
        <f aca="false">Lists!M$21</f>
        <v>46409</v>
      </c>
      <c r="N6" s="45" t="n">
        <f aca="false">Lists!N$21</f>
        <v>46416</v>
      </c>
      <c r="O6" s="45" t="n">
        <f aca="false">Lists!O$21</f>
        <v>46423</v>
      </c>
      <c r="P6" s="42" t="s">
        <v>254</v>
      </c>
    </row>
    <row r="7" customFormat="false" ht="15" hidden="false" customHeight="false" outlineLevel="0" collapsed="false">
      <c r="A7" s="2"/>
      <c r="B7" s="2"/>
      <c r="C7" s="2"/>
      <c r="D7" s="2"/>
      <c r="E7" s="2"/>
      <c r="F7" s="2"/>
      <c r="G7" s="2"/>
      <c r="H7" s="2"/>
      <c r="I7" s="2"/>
      <c r="J7" s="2"/>
      <c r="K7" s="2"/>
      <c r="L7" s="2"/>
      <c r="M7" s="2"/>
      <c r="N7" s="2"/>
      <c r="O7" s="2"/>
      <c r="P7" s="2"/>
    </row>
    <row r="8" customFormat="false" ht="15" hidden="false" customHeight="false" outlineLevel="0" collapsed="false">
      <c r="A8" s="5" t="s">
        <v>555</v>
      </c>
      <c r="B8" s="6"/>
      <c r="C8" s="6"/>
      <c r="D8" s="6"/>
      <c r="E8" s="6"/>
      <c r="F8" s="6"/>
      <c r="G8" s="6"/>
      <c r="H8" s="6"/>
      <c r="I8" s="6"/>
      <c r="J8" s="6"/>
      <c r="K8" s="6"/>
      <c r="L8" s="6"/>
      <c r="M8" s="6"/>
      <c r="N8" s="6"/>
      <c r="O8" s="6"/>
      <c r="P8" s="6"/>
    </row>
    <row r="9" customFormat="false" ht="15" hidden="false" customHeight="false" outlineLevel="0" collapsed="false">
      <c r="A9" s="87" t="n">
        <v>1</v>
      </c>
      <c r="B9" s="55"/>
      <c r="C9" s="88"/>
      <c r="D9" s="88"/>
      <c r="E9" s="88"/>
      <c r="F9" s="88"/>
      <c r="G9" s="88"/>
      <c r="H9" s="88"/>
      <c r="I9" s="88"/>
      <c r="J9" s="88"/>
      <c r="K9" s="88"/>
      <c r="L9" s="88"/>
      <c r="M9" s="88"/>
      <c r="N9" s="88"/>
      <c r="O9" s="88"/>
      <c r="P9" s="46" t="n">
        <f aca="false">SUM(C9:O9)</f>
        <v>0</v>
      </c>
    </row>
    <row r="10" customFormat="false" ht="15" hidden="false" customHeight="false" outlineLevel="0" collapsed="false">
      <c r="A10" s="87" t="n">
        <v>2</v>
      </c>
      <c r="B10" s="55"/>
      <c r="C10" s="88"/>
      <c r="D10" s="88"/>
      <c r="E10" s="88"/>
      <c r="F10" s="88"/>
      <c r="G10" s="88"/>
      <c r="H10" s="88"/>
      <c r="I10" s="88"/>
      <c r="J10" s="88"/>
      <c r="K10" s="88"/>
      <c r="L10" s="88"/>
      <c r="M10" s="88"/>
      <c r="N10" s="88"/>
      <c r="O10" s="88"/>
      <c r="P10" s="46" t="n">
        <f aca="false">SUM(C10:O10)</f>
        <v>0</v>
      </c>
    </row>
    <row r="11" customFormat="false" ht="15" hidden="false" customHeight="false" outlineLevel="0" collapsed="false">
      <c r="A11" s="87" t="n">
        <v>3</v>
      </c>
      <c r="B11" s="55"/>
      <c r="C11" s="88"/>
      <c r="D11" s="88"/>
      <c r="E11" s="88"/>
      <c r="F11" s="88"/>
      <c r="G11" s="88"/>
      <c r="H11" s="88"/>
      <c r="I11" s="88"/>
      <c r="J11" s="88"/>
      <c r="K11" s="88"/>
      <c r="L11" s="88"/>
      <c r="M11" s="88"/>
      <c r="N11" s="88"/>
      <c r="O11" s="88"/>
      <c r="P11" s="46" t="n">
        <f aca="false">SUM(C11:O11)</f>
        <v>0</v>
      </c>
    </row>
    <row r="12" customFormat="false" ht="15" hidden="false" customHeight="false" outlineLevel="0" collapsed="false">
      <c r="A12" s="87" t="n">
        <v>4</v>
      </c>
      <c r="B12" s="55"/>
      <c r="C12" s="88"/>
      <c r="D12" s="88"/>
      <c r="E12" s="88"/>
      <c r="F12" s="88"/>
      <c r="G12" s="88"/>
      <c r="H12" s="88"/>
      <c r="I12" s="88"/>
      <c r="J12" s="88"/>
      <c r="K12" s="88"/>
      <c r="L12" s="88"/>
      <c r="M12" s="88"/>
      <c r="N12" s="88"/>
      <c r="O12" s="88"/>
      <c r="P12" s="46" t="n">
        <f aca="false">SUM(C12:O12)</f>
        <v>0</v>
      </c>
    </row>
    <row r="13" customFormat="false" ht="15" hidden="false" customHeight="false" outlineLevel="0" collapsed="false">
      <c r="A13" s="87" t="n">
        <v>5</v>
      </c>
      <c r="B13" s="55"/>
      <c r="C13" s="88"/>
      <c r="D13" s="88"/>
      <c r="E13" s="88"/>
      <c r="F13" s="88"/>
      <c r="G13" s="88"/>
      <c r="H13" s="88"/>
      <c r="I13" s="88"/>
      <c r="J13" s="88"/>
      <c r="K13" s="88"/>
      <c r="L13" s="88"/>
      <c r="M13" s="88"/>
      <c r="N13" s="88"/>
      <c r="O13" s="88"/>
      <c r="P13" s="46" t="n">
        <f aca="false">SUM(C13:O13)</f>
        <v>0</v>
      </c>
    </row>
    <row r="14" customFormat="false" ht="15" hidden="false" customHeight="false" outlineLevel="0" collapsed="false">
      <c r="A14" s="87" t="n">
        <v>6</v>
      </c>
      <c r="B14" s="55"/>
      <c r="C14" s="88"/>
      <c r="D14" s="88"/>
      <c r="E14" s="88"/>
      <c r="F14" s="88"/>
      <c r="G14" s="88"/>
      <c r="H14" s="88"/>
      <c r="I14" s="88"/>
      <c r="J14" s="88"/>
      <c r="K14" s="88"/>
      <c r="L14" s="88"/>
      <c r="M14" s="88"/>
      <c r="N14" s="88"/>
      <c r="O14" s="88"/>
      <c r="P14" s="46" t="n">
        <f aca="false">SUM(C14:O14)</f>
        <v>0</v>
      </c>
    </row>
    <row r="15" customFormat="false" ht="15" hidden="false" customHeight="false" outlineLevel="0" collapsed="false">
      <c r="A15" s="87" t="n">
        <v>7</v>
      </c>
      <c r="B15" s="55"/>
      <c r="C15" s="88"/>
      <c r="D15" s="88"/>
      <c r="E15" s="88"/>
      <c r="F15" s="88"/>
      <c r="G15" s="88"/>
      <c r="H15" s="88"/>
      <c r="I15" s="88"/>
      <c r="J15" s="88"/>
      <c r="K15" s="88"/>
      <c r="L15" s="88"/>
      <c r="M15" s="88"/>
      <c r="N15" s="88"/>
      <c r="O15" s="88"/>
      <c r="P15" s="46" t="n">
        <f aca="false">SUM(C15:O15)</f>
        <v>0</v>
      </c>
    </row>
    <row r="16" customFormat="false" ht="15" hidden="false" customHeight="false" outlineLevel="0" collapsed="false">
      <c r="A16" s="87" t="n">
        <v>8</v>
      </c>
      <c r="B16" s="55"/>
      <c r="C16" s="88"/>
      <c r="D16" s="88"/>
      <c r="E16" s="88"/>
      <c r="F16" s="88"/>
      <c r="G16" s="88"/>
      <c r="H16" s="88"/>
      <c r="I16" s="88"/>
      <c r="J16" s="88"/>
      <c r="K16" s="88"/>
      <c r="L16" s="88"/>
      <c r="M16" s="88"/>
      <c r="N16" s="88"/>
      <c r="O16" s="88"/>
      <c r="P16" s="46" t="n">
        <f aca="false">SUM(C16:O16)</f>
        <v>0</v>
      </c>
    </row>
    <row r="17" customFormat="false" ht="15" hidden="false" customHeight="false" outlineLevel="0" collapsed="false">
      <c r="A17" s="2"/>
      <c r="B17" s="15" t="s">
        <v>556</v>
      </c>
      <c r="C17" s="48" t="n">
        <f aca="false">SUM(C9:C16)</f>
        <v>0</v>
      </c>
      <c r="D17" s="48" t="n">
        <f aca="false">SUM(D9:D16)</f>
        <v>0</v>
      </c>
      <c r="E17" s="48" t="n">
        <f aca="false">SUM(E9:E16)</f>
        <v>0</v>
      </c>
      <c r="F17" s="48" t="n">
        <f aca="false">SUM(F9:F16)</f>
        <v>0</v>
      </c>
      <c r="G17" s="48" t="n">
        <f aca="false">SUM(G9:G16)</f>
        <v>0</v>
      </c>
      <c r="H17" s="48" t="n">
        <f aca="false">SUM(H9:H16)</f>
        <v>0</v>
      </c>
      <c r="I17" s="48" t="n">
        <f aca="false">SUM(I9:I16)</f>
        <v>0</v>
      </c>
      <c r="J17" s="48" t="n">
        <f aca="false">SUM(J9:J16)</f>
        <v>0</v>
      </c>
      <c r="K17" s="48" t="n">
        <f aca="false">SUM(K9:K16)</f>
        <v>0</v>
      </c>
      <c r="L17" s="48" t="n">
        <f aca="false">SUM(L9:L16)</f>
        <v>0</v>
      </c>
      <c r="M17" s="48" t="n">
        <f aca="false">SUM(M9:M16)</f>
        <v>0</v>
      </c>
      <c r="N17" s="48" t="n">
        <f aca="false">SUM(N9:N16)</f>
        <v>0</v>
      </c>
      <c r="O17" s="48" t="n">
        <f aca="false">SUM(O9:O16)</f>
        <v>0</v>
      </c>
      <c r="P17" s="48" t="n">
        <f aca="false">SUM(P9:P16)</f>
        <v>0</v>
      </c>
    </row>
    <row r="18" customFormat="false" ht="15" hidden="false" customHeight="false" outlineLevel="0" collapsed="false">
      <c r="A18" s="2"/>
      <c r="B18" s="2"/>
      <c r="C18" s="2"/>
      <c r="D18" s="2"/>
      <c r="E18" s="2"/>
      <c r="F18" s="2"/>
      <c r="G18" s="2"/>
      <c r="H18" s="2"/>
      <c r="I18" s="2"/>
      <c r="J18" s="2"/>
      <c r="K18" s="2"/>
      <c r="L18" s="2"/>
      <c r="M18" s="2"/>
      <c r="N18" s="2"/>
      <c r="O18" s="2"/>
      <c r="P18" s="2"/>
    </row>
    <row r="19" customFormat="false" ht="15" hidden="false" customHeight="false" outlineLevel="0" collapsed="false">
      <c r="A19" s="2"/>
      <c r="B19" s="2"/>
      <c r="C19" s="2"/>
      <c r="D19" s="2"/>
      <c r="E19" s="2"/>
      <c r="F19" s="2"/>
      <c r="G19" s="2"/>
      <c r="H19" s="2"/>
      <c r="I19" s="2"/>
      <c r="J19" s="2"/>
      <c r="K19" s="2"/>
      <c r="L19" s="2"/>
      <c r="M19" s="2"/>
      <c r="N19" s="2"/>
      <c r="O19" s="2"/>
      <c r="P19" s="2"/>
    </row>
    <row r="20" customFormat="false" ht="15" hidden="false" customHeight="false" outlineLevel="0" collapsed="false">
      <c r="A20" s="5" t="s">
        <v>557</v>
      </c>
      <c r="B20" s="6"/>
      <c r="C20" s="6"/>
      <c r="D20" s="6"/>
      <c r="E20" s="6"/>
      <c r="F20" s="6"/>
      <c r="G20" s="6"/>
      <c r="H20" s="6"/>
      <c r="I20" s="6"/>
      <c r="J20" s="6"/>
      <c r="K20" s="6"/>
      <c r="L20" s="6"/>
      <c r="M20" s="6"/>
      <c r="N20" s="6"/>
      <c r="O20" s="6"/>
      <c r="P20" s="6"/>
    </row>
    <row r="21" customFormat="false" ht="15" hidden="false" customHeight="false" outlineLevel="0" collapsed="false">
      <c r="A21" s="87" t="n">
        <v>1</v>
      </c>
      <c r="B21" s="55"/>
      <c r="C21" s="88"/>
      <c r="D21" s="88"/>
      <c r="E21" s="88"/>
      <c r="F21" s="88"/>
      <c r="G21" s="88"/>
      <c r="H21" s="88"/>
      <c r="I21" s="88"/>
      <c r="J21" s="88"/>
      <c r="K21" s="88"/>
      <c r="L21" s="88"/>
      <c r="M21" s="88"/>
      <c r="N21" s="88"/>
      <c r="O21" s="88"/>
      <c r="P21" s="46" t="n">
        <f aca="false">SUM(C21:O21)</f>
        <v>0</v>
      </c>
    </row>
    <row r="22" customFormat="false" ht="15" hidden="false" customHeight="false" outlineLevel="0" collapsed="false">
      <c r="A22" s="87" t="n">
        <v>2</v>
      </c>
      <c r="B22" s="55"/>
      <c r="C22" s="88"/>
      <c r="D22" s="88"/>
      <c r="E22" s="88"/>
      <c r="F22" s="88"/>
      <c r="G22" s="88"/>
      <c r="H22" s="88"/>
      <c r="I22" s="88"/>
      <c r="J22" s="88"/>
      <c r="K22" s="88"/>
      <c r="L22" s="88"/>
      <c r="M22" s="88"/>
      <c r="N22" s="88"/>
      <c r="O22" s="88"/>
      <c r="P22" s="46" t="n">
        <f aca="false">SUM(C22:O22)</f>
        <v>0</v>
      </c>
    </row>
    <row r="23" customFormat="false" ht="15" hidden="false" customHeight="false" outlineLevel="0" collapsed="false">
      <c r="A23" s="87" t="n">
        <v>3</v>
      </c>
      <c r="B23" s="55"/>
      <c r="C23" s="88"/>
      <c r="D23" s="88"/>
      <c r="E23" s="88"/>
      <c r="F23" s="88"/>
      <c r="G23" s="88"/>
      <c r="H23" s="88"/>
      <c r="I23" s="88"/>
      <c r="J23" s="88"/>
      <c r="K23" s="88"/>
      <c r="L23" s="88"/>
      <c r="M23" s="88"/>
      <c r="N23" s="88"/>
      <c r="O23" s="88"/>
      <c r="P23" s="46" t="n">
        <f aca="false">SUM(C23:O23)</f>
        <v>0</v>
      </c>
    </row>
    <row r="24" customFormat="false" ht="15" hidden="false" customHeight="false" outlineLevel="0" collapsed="false">
      <c r="A24" s="87" t="n">
        <v>4</v>
      </c>
      <c r="B24" s="55"/>
      <c r="C24" s="88"/>
      <c r="D24" s="88"/>
      <c r="E24" s="88"/>
      <c r="F24" s="88"/>
      <c r="G24" s="88"/>
      <c r="H24" s="88"/>
      <c r="I24" s="88"/>
      <c r="J24" s="88"/>
      <c r="K24" s="88"/>
      <c r="L24" s="88"/>
      <c r="M24" s="88"/>
      <c r="N24" s="88"/>
      <c r="O24" s="88"/>
      <c r="P24" s="46" t="n">
        <f aca="false">SUM(C24:O24)</f>
        <v>0</v>
      </c>
    </row>
    <row r="25" customFormat="false" ht="15" hidden="false" customHeight="false" outlineLevel="0" collapsed="false">
      <c r="A25" s="87" t="n">
        <v>5</v>
      </c>
      <c r="B25" s="55"/>
      <c r="C25" s="88"/>
      <c r="D25" s="88"/>
      <c r="E25" s="88"/>
      <c r="F25" s="88"/>
      <c r="G25" s="88"/>
      <c r="H25" s="88"/>
      <c r="I25" s="88"/>
      <c r="J25" s="88"/>
      <c r="K25" s="88"/>
      <c r="L25" s="88"/>
      <c r="M25" s="88"/>
      <c r="N25" s="88"/>
      <c r="O25" s="88"/>
      <c r="P25" s="46" t="n">
        <f aca="false">SUM(C25:O25)</f>
        <v>0</v>
      </c>
    </row>
    <row r="26" customFormat="false" ht="15" hidden="false" customHeight="false" outlineLevel="0" collapsed="false">
      <c r="A26" s="87" t="n">
        <v>6</v>
      </c>
      <c r="B26" s="55"/>
      <c r="C26" s="88"/>
      <c r="D26" s="88"/>
      <c r="E26" s="88"/>
      <c r="F26" s="88"/>
      <c r="G26" s="88"/>
      <c r="H26" s="88"/>
      <c r="I26" s="88"/>
      <c r="J26" s="88"/>
      <c r="K26" s="88"/>
      <c r="L26" s="88"/>
      <c r="M26" s="88"/>
      <c r="N26" s="88"/>
      <c r="O26" s="88"/>
      <c r="P26" s="46" t="n">
        <f aca="false">SUM(C26:O26)</f>
        <v>0</v>
      </c>
    </row>
    <row r="27" customFormat="false" ht="15" hidden="false" customHeight="false" outlineLevel="0" collapsed="false">
      <c r="A27" s="87" t="n">
        <v>7</v>
      </c>
      <c r="B27" s="55"/>
      <c r="C27" s="88"/>
      <c r="D27" s="88"/>
      <c r="E27" s="88"/>
      <c r="F27" s="88"/>
      <c r="G27" s="88"/>
      <c r="H27" s="88"/>
      <c r="I27" s="88"/>
      <c r="J27" s="88"/>
      <c r="K27" s="88"/>
      <c r="L27" s="88"/>
      <c r="M27" s="88"/>
      <c r="N27" s="88"/>
      <c r="O27" s="88"/>
      <c r="P27" s="46" t="n">
        <f aca="false">SUM(C27:O27)</f>
        <v>0</v>
      </c>
    </row>
    <row r="28" customFormat="false" ht="15" hidden="false" customHeight="false" outlineLevel="0" collapsed="false">
      <c r="A28" s="87" t="n">
        <v>8</v>
      </c>
      <c r="B28" s="55"/>
      <c r="C28" s="88"/>
      <c r="D28" s="88"/>
      <c r="E28" s="88"/>
      <c r="F28" s="88"/>
      <c r="G28" s="88"/>
      <c r="H28" s="88"/>
      <c r="I28" s="88"/>
      <c r="J28" s="88"/>
      <c r="K28" s="88"/>
      <c r="L28" s="88"/>
      <c r="M28" s="88"/>
      <c r="N28" s="88"/>
      <c r="O28" s="88"/>
      <c r="P28" s="46" t="n">
        <f aca="false">SUM(C28:O28)</f>
        <v>0</v>
      </c>
    </row>
    <row r="29" customFormat="false" ht="15" hidden="false" customHeight="false" outlineLevel="0" collapsed="false">
      <c r="A29" s="2"/>
      <c r="B29" s="15" t="s">
        <v>558</v>
      </c>
      <c r="C29" s="48" t="n">
        <f aca="false">SUM(C21:C28)</f>
        <v>0</v>
      </c>
      <c r="D29" s="48" t="n">
        <f aca="false">SUM(D21:D28)</f>
        <v>0</v>
      </c>
      <c r="E29" s="48" t="n">
        <f aca="false">SUM(E21:E28)</f>
        <v>0</v>
      </c>
      <c r="F29" s="48" t="n">
        <f aca="false">SUM(F21:F28)</f>
        <v>0</v>
      </c>
      <c r="G29" s="48" t="n">
        <f aca="false">SUM(G21:G28)</f>
        <v>0</v>
      </c>
      <c r="H29" s="48" t="n">
        <f aca="false">SUM(H21:H28)</f>
        <v>0</v>
      </c>
      <c r="I29" s="48" t="n">
        <f aca="false">SUM(I21:I28)</f>
        <v>0</v>
      </c>
      <c r="J29" s="48" t="n">
        <f aca="false">SUM(J21:J28)</f>
        <v>0</v>
      </c>
      <c r="K29" s="48" t="n">
        <f aca="false">SUM(K21:K28)</f>
        <v>0</v>
      </c>
      <c r="L29" s="48" t="n">
        <f aca="false">SUM(L21:L28)</f>
        <v>0</v>
      </c>
      <c r="M29" s="48" t="n">
        <f aca="false">SUM(M21:M28)</f>
        <v>0</v>
      </c>
      <c r="N29" s="48" t="n">
        <f aca="false">SUM(N21:N28)</f>
        <v>0</v>
      </c>
      <c r="O29" s="48" t="n">
        <f aca="false">SUM(O21:O28)</f>
        <v>0</v>
      </c>
      <c r="P29" s="48" t="n">
        <f aca="false">SUM(P21:P28)</f>
        <v>0</v>
      </c>
    </row>
  </sheetData>
  <sheetProtection sheet="true" formatCells="false" formatColumns="false" formatRows="false"/>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8" min="1" style="1" width="26"/>
    <col collapsed="false" customWidth="true" hidden="false" outlineLevel="0" max="9" min="9" style="1" width="30"/>
    <col collapsed="false" customWidth="true" hidden="false" outlineLevel="0" max="10" min="10" style="1" width="24"/>
    <col collapsed="false" customWidth="true" hidden="false" outlineLevel="0" max="12" min="11" style="1" width="34"/>
    <col collapsed="false" customWidth="true" hidden="false" outlineLevel="0" max="15" min="13" style="1" width="13"/>
  </cols>
  <sheetData>
    <row r="1" customFormat="false" ht="15" hidden="false" customHeight="false" outlineLevel="0" collapsed="false">
      <c r="A1" s="15" t="s">
        <v>559</v>
      </c>
      <c r="B1" s="15" t="s">
        <v>435</v>
      </c>
      <c r="C1" s="15" t="s">
        <v>560</v>
      </c>
      <c r="D1" s="15" t="s">
        <v>561</v>
      </c>
      <c r="E1" s="15" t="s">
        <v>562</v>
      </c>
      <c r="F1" s="15" t="s">
        <v>563</v>
      </c>
      <c r="G1" s="15" t="s">
        <v>564</v>
      </c>
      <c r="H1" s="15" t="s">
        <v>565</v>
      </c>
      <c r="I1" s="15" t="s">
        <v>566</v>
      </c>
      <c r="J1" s="15" t="s">
        <v>567</v>
      </c>
      <c r="K1" s="15" t="s">
        <v>568</v>
      </c>
      <c r="L1" s="15" t="s">
        <v>569</v>
      </c>
      <c r="M1" s="2"/>
      <c r="N1" s="2"/>
      <c r="O1" s="2"/>
    </row>
    <row r="2" customFormat="false" ht="15" hidden="false" customHeight="false" outlineLevel="0" collapsed="false">
      <c r="A2" s="9" t="s">
        <v>186</v>
      </c>
      <c r="B2" s="9" t="s">
        <v>320</v>
      </c>
      <c r="C2" s="9" t="s">
        <v>570</v>
      </c>
      <c r="D2" s="9" t="s">
        <v>494</v>
      </c>
      <c r="E2" s="9" t="s">
        <v>526</v>
      </c>
      <c r="F2" s="9" t="s">
        <v>548</v>
      </c>
      <c r="G2" s="9" t="s">
        <v>407</v>
      </c>
      <c r="H2" s="9" t="s">
        <v>407</v>
      </c>
      <c r="I2" s="9" t="s">
        <v>465</v>
      </c>
      <c r="J2" s="9" t="s">
        <v>571</v>
      </c>
      <c r="K2" s="9" t="s">
        <v>572</v>
      </c>
      <c r="L2" s="9" t="s">
        <v>407</v>
      </c>
      <c r="M2" s="2"/>
      <c r="N2" s="2"/>
      <c r="O2" s="2"/>
    </row>
    <row r="3" customFormat="false" ht="15" hidden="false" customHeight="false" outlineLevel="0" collapsed="false">
      <c r="A3" s="9" t="s">
        <v>497</v>
      </c>
      <c r="B3" s="9" t="s">
        <v>573</v>
      </c>
      <c r="C3" s="9" t="s">
        <v>498</v>
      </c>
      <c r="D3" s="9" t="s">
        <v>500</v>
      </c>
      <c r="E3" s="9" t="s">
        <v>146</v>
      </c>
      <c r="F3" s="9" t="s">
        <v>550</v>
      </c>
      <c r="G3" s="9" t="s">
        <v>114</v>
      </c>
      <c r="H3" s="9" t="s">
        <v>114</v>
      </c>
      <c r="I3" s="9" t="str">
        <f aca="false">IF(Sales!B9="","",Sales!B9)</f>
        <v>Contract fabrication (large accounts)</v>
      </c>
      <c r="J3" s="9" t="s">
        <v>574</v>
      </c>
      <c r="K3" s="9" t="s">
        <v>575</v>
      </c>
      <c r="L3" s="9" t="s">
        <v>576</v>
      </c>
      <c r="M3" s="2"/>
      <c r="N3" s="2"/>
      <c r="O3" s="2"/>
    </row>
    <row r="4" customFormat="false" ht="15" hidden="false" customHeight="false" outlineLevel="0" collapsed="false">
      <c r="A4" s="2"/>
      <c r="B4" s="2"/>
      <c r="C4" s="9" t="s">
        <v>495</v>
      </c>
      <c r="D4" s="9" t="s">
        <v>501</v>
      </c>
      <c r="E4" s="9" t="s">
        <v>531</v>
      </c>
      <c r="F4" s="9" t="s">
        <v>577</v>
      </c>
      <c r="G4" s="9" t="s">
        <v>578</v>
      </c>
      <c r="H4" s="9" t="s">
        <v>578</v>
      </c>
      <c r="I4" s="9" t="str">
        <f aca="false">IF(Sales!B10="","",Sales!B10)</f>
        <v>Repeat orders (smaller customers)</v>
      </c>
      <c r="J4" s="2"/>
      <c r="K4" s="9" t="s">
        <v>579</v>
      </c>
      <c r="L4" s="9" t="s">
        <v>580</v>
      </c>
      <c r="M4" s="2"/>
      <c r="N4" s="2"/>
      <c r="O4" s="2"/>
    </row>
    <row r="5" customFormat="false" ht="15" hidden="false" customHeight="false" outlineLevel="0" collapsed="false">
      <c r="A5" s="2"/>
      <c r="B5" s="2"/>
      <c r="C5" s="9" t="s">
        <v>581</v>
      </c>
      <c r="D5" s="9" t="s">
        <v>503</v>
      </c>
      <c r="E5" s="9" t="s">
        <v>118</v>
      </c>
      <c r="F5" s="9" t="s">
        <v>582</v>
      </c>
      <c r="G5" s="9" t="s">
        <v>583</v>
      </c>
      <c r="H5" s="9" t="s">
        <v>583</v>
      </c>
      <c r="I5" s="9" t="str">
        <f aca="false">IF(Sales!B11="","",Sales!B11)</f>
        <v/>
      </c>
      <c r="J5" s="2"/>
      <c r="K5" s="2"/>
      <c r="L5" s="9" t="s">
        <v>579</v>
      </c>
      <c r="M5" s="2"/>
      <c r="N5" s="2"/>
      <c r="O5" s="2"/>
    </row>
    <row r="6" customFormat="false" ht="15" hidden="false" customHeight="false" outlineLevel="0" collapsed="false">
      <c r="A6" s="2"/>
      <c r="B6" s="2"/>
      <c r="C6" s="9" t="s">
        <v>528</v>
      </c>
      <c r="D6" s="9" t="s">
        <v>505</v>
      </c>
      <c r="E6" s="9" t="s">
        <v>534</v>
      </c>
      <c r="F6" s="2"/>
      <c r="G6" s="9" t="s">
        <v>584</v>
      </c>
      <c r="H6" s="9" t="s">
        <v>584</v>
      </c>
      <c r="I6" s="9" t="str">
        <f aca="false">IF(Sales!B12="","",Sales!B12)</f>
        <v/>
      </c>
      <c r="J6" s="2"/>
      <c r="K6" s="2"/>
      <c r="L6" s="9" t="s">
        <v>114</v>
      </c>
      <c r="M6" s="2"/>
      <c r="N6" s="2"/>
      <c r="O6" s="2"/>
    </row>
    <row r="7" customFormat="false" ht="15" hidden="false" customHeight="false" outlineLevel="0" collapsed="false">
      <c r="A7" s="2"/>
      <c r="B7" s="2"/>
      <c r="C7" s="2"/>
      <c r="D7" s="9" t="s">
        <v>507</v>
      </c>
      <c r="E7" s="9" t="s">
        <v>585</v>
      </c>
      <c r="F7" s="2"/>
      <c r="G7" s="9" t="s">
        <v>586</v>
      </c>
      <c r="H7" s="9" t="s">
        <v>587</v>
      </c>
      <c r="I7" s="9" t="str">
        <f aca="false">IF(Sales!B13="","",Sales!B13)</f>
        <v/>
      </c>
      <c r="J7" s="2"/>
      <c r="K7" s="2"/>
      <c r="L7" s="9" t="s">
        <v>578</v>
      </c>
      <c r="M7" s="2"/>
      <c r="N7" s="2"/>
      <c r="O7" s="2"/>
    </row>
    <row r="8" customFormat="false" ht="15" hidden="false" customHeight="false" outlineLevel="0" collapsed="false">
      <c r="A8" s="2"/>
      <c r="B8" s="2"/>
      <c r="C8" s="2"/>
      <c r="D8" s="9" t="s">
        <v>509</v>
      </c>
      <c r="E8" s="9" t="s">
        <v>588</v>
      </c>
      <c r="F8" s="2"/>
      <c r="G8" s="2"/>
      <c r="H8" s="2"/>
      <c r="I8" s="9" t="str">
        <f aca="false">IF(Sales!B14="","",Sales!B14)</f>
        <v/>
      </c>
      <c r="J8" s="2"/>
      <c r="K8" s="2"/>
      <c r="L8" s="9" t="s">
        <v>583</v>
      </c>
      <c r="M8" s="2"/>
      <c r="N8" s="2"/>
      <c r="O8" s="2"/>
    </row>
    <row r="9" customFormat="false" ht="15" hidden="false" customHeight="false" outlineLevel="0" collapsed="false">
      <c r="A9" s="2"/>
      <c r="B9" s="2"/>
      <c r="C9" s="2"/>
      <c r="D9" s="9" t="s">
        <v>511</v>
      </c>
      <c r="E9" s="2"/>
      <c r="F9" s="2"/>
      <c r="G9" s="2"/>
      <c r="H9" s="2"/>
      <c r="I9" s="9" t="str">
        <f aca="false">IF(Sales!B15="","",Sales!B15)</f>
        <v/>
      </c>
      <c r="J9" s="2"/>
      <c r="K9" s="2"/>
      <c r="L9" s="9" t="s">
        <v>584</v>
      </c>
      <c r="M9" s="2"/>
      <c r="N9" s="2"/>
      <c r="O9" s="2"/>
    </row>
    <row r="10" customFormat="false" ht="15" hidden="false" customHeight="false" outlineLevel="0" collapsed="false">
      <c r="A10" s="2"/>
      <c r="B10" s="2"/>
      <c r="C10" s="2"/>
      <c r="D10" s="9" t="s">
        <v>513</v>
      </c>
      <c r="E10" s="2"/>
      <c r="F10" s="2"/>
      <c r="G10" s="2"/>
      <c r="H10" s="2"/>
      <c r="I10" s="9" t="str">
        <f aca="false">IF(Sales!B16="","",Sales!B16)</f>
        <v/>
      </c>
      <c r="J10" s="2"/>
      <c r="K10" s="2"/>
      <c r="L10" s="9" t="s">
        <v>586</v>
      </c>
      <c r="M10" s="2"/>
      <c r="N10" s="2"/>
      <c r="O10" s="2"/>
    </row>
    <row r="11" customFormat="false" ht="15" hidden="false" customHeight="false" outlineLevel="0" collapsed="false">
      <c r="A11" s="2"/>
      <c r="B11" s="2"/>
      <c r="C11" s="2"/>
      <c r="D11" s="9" t="s">
        <v>515</v>
      </c>
      <c r="E11" s="2"/>
      <c r="F11" s="2"/>
      <c r="G11" s="2"/>
      <c r="H11" s="2"/>
      <c r="I11" s="9" t="str">
        <f aca="false">IF(Sales!B17="","",Sales!B17)</f>
        <v/>
      </c>
      <c r="J11" s="2"/>
      <c r="K11" s="2"/>
      <c r="L11" s="2"/>
      <c r="M11" s="2"/>
      <c r="N11" s="2"/>
      <c r="O11" s="2"/>
    </row>
    <row r="12" customFormat="false" ht="15" hidden="false" customHeight="false" outlineLevel="0" collapsed="false">
      <c r="A12" s="2"/>
      <c r="B12" s="2"/>
      <c r="C12" s="2"/>
      <c r="D12" s="2"/>
      <c r="E12" s="2"/>
      <c r="F12" s="2"/>
      <c r="G12" s="2"/>
      <c r="H12" s="2"/>
      <c r="I12" s="9" t="str">
        <f aca="false">IF(Sales!B18="","",Sales!B18)</f>
        <v/>
      </c>
      <c r="J12" s="2"/>
      <c r="K12" s="2"/>
      <c r="L12" s="2"/>
      <c r="M12" s="2"/>
      <c r="N12" s="2"/>
      <c r="O12" s="2"/>
    </row>
    <row r="13" customFormat="false" ht="15" hidden="false" customHeight="false" outlineLevel="0" collapsed="false">
      <c r="A13" s="2"/>
      <c r="B13" s="2"/>
      <c r="C13" s="2"/>
      <c r="D13" s="2"/>
      <c r="E13" s="2"/>
      <c r="F13" s="2"/>
      <c r="G13" s="2"/>
      <c r="H13" s="2"/>
      <c r="I13" s="2"/>
      <c r="J13" s="2"/>
      <c r="K13" s="2"/>
      <c r="L13" s="2"/>
      <c r="M13" s="2"/>
      <c r="N13" s="2"/>
      <c r="O13" s="2"/>
    </row>
    <row r="14" customFormat="false" ht="15" hidden="false" customHeight="false" outlineLevel="0" collapsed="false">
      <c r="A14" s="2"/>
      <c r="B14" s="2"/>
      <c r="C14" s="2"/>
      <c r="D14" s="2"/>
      <c r="E14" s="2"/>
      <c r="F14" s="2"/>
      <c r="G14" s="2"/>
      <c r="H14" s="2"/>
      <c r="I14" s="2"/>
      <c r="J14" s="2"/>
      <c r="K14" s="2"/>
      <c r="L14" s="2"/>
      <c r="M14" s="2"/>
      <c r="N14" s="2"/>
      <c r="O14" s="2"/>
    </row>
    <row r="15" customFormat="false" ht="15" hidden="false" customHeight="false" outlineLevel="0" collapsed="false">
      <c r="A15" s="2"/>
      <c r="B15" s="2"/>
      <c r="C15" s="2"/>
      <c r="D15" s="2"/>
      <c r="E15" s="2"/>
      <c r="F15" s="2"/>
      <c r="G15" s="2"/>
      <c r="H15" s="2"/>
      <c r="I15" s="2"/>
      <c r="J15" s="2"/>
      <c r="K15" s="2"/>
      <c r="L15" s="2"/>
      <c r="M15" s="2"/>
      <c r="N15" s="2"/>
      <c r="O15" s="2"/>
    </row>
    <row r="16" customFormat="false" ht="15" hidden="false" customHeight="false" outlineLevel="0" collapsed="false">
      <c r="A16" s="2"/>
      <c r="B16" s="2"/>
      <c r="C16" s="2"/>
      <c r="D16" s="2"/>
      <c r="E16" s="2"/>
      <c r="F16" s="2"/>
      <c r="G16" s="2"/>
      <c r="H16" s="2"/>
      <c r="I16" s="2"/>
      <c r="J16" s="2"/>
      <c r="K16" s="2"/>
      <c r="L16" s="2"/>
      <c r="M16" s="2"/>
      <c r="N16" s="2"/>
      <c r="O16" s="2"/>
    </row>
    <row r="17" customFormat="false" ht="15" hidden="false" customHeight="false" outlineLevel="0" collapsed="false">
      <c r="A17" s="2"/>
      <c r="B17" s="2"/>
      <c r="C17" s="2"/>
      <c r="D17" s="2"/>
      <c r="E17" s="2"/>
      <c r="F17" s="2"/>
      <c r="G17" s="2"/>
      <c r="H17" s="2"/>
      <c r="I17" s="2"/>
      <c r="J17" s="2"/>
      <c r="K17" s="2"/>
      <c r="L17" s="2"/>
      <c r="M17" s="2"/>
      <c r="N17" s="2"/>
      <c r="O17" s="2"/>
    </row>
    <row r="18" customFormat="false" ht="15" hidden="false" customHeight="false" outlineLevel="0" collapsed="false">
      <c r="A18" s="2"/>
      <c r="B18" s="2"/>
      <c r="C18" s="2"/>
      <c r="D18" s="2"/>
      <c r="E18" s="2"/>
      <c r="F18" s="2"/>
      <c r="G18" s="2"/>
      <c r="H18" s="2"/>
      <c r="I18" s="2"/>
      <c r="J18" s="2"/>
      <c r="K18" s="2"/>
      <c r="L18" s="2"/>
      <c r="M18" s="2"/>
      <c r="N18" s="2"/>
      <c r="O18" s="2"/>
    </row>
    <row r="19" customFormat="false" ht="15" hidden="false" customHeight="false" outlineLevel="0" collapsed="false">
      <c r="A19" s="2"/>
      <c r="B19" s="15" t="s">
        <v>589</v>
      </c>
      <c r="C19" s="2"/>
      <c r="D19" s="2"/>
      <c r="E19" s="2"/>
      <c r="F19" s="2"/>
      <c r="G19" s="2"/>
      <c r="H19" s="2"/>
      <c r="I19" s="2"/>
      <c r="J19" s="2"/>
      <c r="K19" s="2"/>
      <c r="L19" s="2"/>
      <c r="M19" s="2"/>
      <c r="N19" s="2"/>
      <c r="O19" s="2"/>
    </row>
    <row r="20" customFormat="false" ht="15" hidden="false" customHeight="false" outlineLevel="0" collapsed="false">
      <c r="A20" s="2"/>
      <c r="B20" s="9" t="s">
        <v>590</v>
      </c>
      <c r="C20" s="9" t="n">
        <v>1</v>
      </c>
      <c r="D20" s="9" t="n">
        <v>2</v>
      </c>
      <c r="E20" s="9" t="n">
        <v>3</v>
      </c>
      <c r="F20" s="9" t="n">
        <v>4</v>
      </c>
      <c r="G20" s="9" t="n">
        <v>5</v>
      </c>
      <c r="H20" s="9" t="n">
        <v>6</v>
      </c>
      <c r="I20" s="9" t="n">
        <v>7</v>
      </c>
      <c r="J20" s="9" t="n">
        <v>8</v>
      </c>
      <c r="K20" s="9" t="n">
        <v>9</v>
      </c>
      <c r="L20" s="9" t="n">
        <v>10</v>
      </c>
      <c r="M20" s="9" t="n">
        <v>11</v>
      </c>
      <c r="N20" s="9" t="n">
        <v>12</v>
      </c>
      <c r="O20" s="9" t="n">
        <v>13</v>
      </c>
    </row>
    <row r="21" customFormat="false" ht="15" hidden="false" customHeight="false" outlineLevel="0" collapsed="false">
      <c r="A21" s="2"/>
      <c r="B21" s="9" t="s">
        <v>591</v>
      </c>
      <c r="C21" s="105" t="n">
        <f aca="false">Setup!$D$10+MOD(5-WEEKDAY(Setup!$D$10,2),7)</f>
        <v>46339</v>
      </c>
      <c r="D21" s="105" t="n">
        <f aca="false">C21+7</f>
        <v>46346</v>
      </c>
      <c r="E21" s="105" t="n">
        <f aca="false">D21+7</f>
        <v>46353</v>
      </c>
      <c r="F21" s="105" t="n">
        <f aca="false">E21+7</f>
        <v>46360</v>
      </c>
      <c r="G21" s="105" t="n">
        <f aca="false">F21+7</f>
        <v>46367</v>
      </c>
      <c r="H21" s="105" t="n">
        <f aca="false">G21+7</f>
        <v>46374</v>
      </c>
      <c r="I21" s="105" t="n">
        <f aca="false">H21+7</f>
        <v>46381</v>
      </c>
      <c r="J21" s="105" t="n">
        <f aca="false">I21+7</f>
        <v>46388</v>
      </c>
      <c r="K21" s="105" t="n">
        <f aca="false">J21+7</f>
        <v>46395</v>
      </c>
      <c r="L21" s="105" t="n">
        <f aca="false">K21+7</f>
        <v>46402</v>
      </c>
      <c r="M21" s="105" t="n">
        <f aca="false">L21+7</f>
        <v>46409</v>
      </c>
      <c r="N21" s="105" t="n">
        <f aca="false">M21+7</f>
        <v>46416</v>
      </c>
      <c r="O21" s="105" t="n">
        <f aca="false">N21+7</f>
        <v>46423</v>
      </c>
    </row>
    <row r="22" customFormat="false" ht="15" hidden="false" customHeight="false" outlineLevel="0" collapsed="false">
      <c r="A22" s="2"/>
      <c r="B22" s="9" t="s">
        <v>592</v>
      </c>
      <c r="C22" s="9" t="n">
        <v>0</v>
      </c>
      <c r="D22" s="105" t="n">
        <f aca="false">C21</f>
        <v>46339</v>
      </c>
      <c r="E22" s="105" t="n">
        <f aca="false">D21</f>
        <v>46346</v>
      </c>
      <c r="F22" s="105" t="n">
        <f aca="false">E21</f>
        <v>46353</v>
      </c>
      <c r="G22" s="105" t="n">
        <f aca="false">F21</f>
        <v>46360</v>
      </c>
      <c r="H22" s="105" t="n">
        <f aca="false">G21</f>
        <v>46367</v>
      </c>
      <c r="I22" s="105" t="n">
        <f aca="false">H21</f>
        <v>46374</v>
      </c>
      <c r="J22" s="105" t="n">
        <f aca="false">I21</f>
        <v>46381</v>
      </c>
      <c r="K22" s="105" t="n">
        <f aca="false">J21</f>
        <v>46388</v>
      </c>
      <c r="L22" s="105" t="n">
        <f aca="false">K21</f>
        <v>46395</v>
      </c>
      <c r="M22" s="105" t="n">
        <f aca="false">L21</f>
        <v>46402</v>
      </c>
      <c r="N22" s="105" t="n">
        <f aca="false">M21</f>
        <v>46409</v>
      </c>
      <c r="O22" s="105" t="n">
        <f aca="false">N21</f>
        <v>46416</v>
      </c>
    </row>
    <row r="23" customFormat="false" ht="15" hidden="false" customHeight="false" outlineLevel="0" collapsed="false">
      <c r="A23" s="2"/>
      <c r="B23" s="9" t="s">
        <v>593</v>
      </c>
      <c r="C23" s="105" t="n">
        <f aca="false">C21-7</f>
        <v>46332</v>
      </c>
      <c r="D23" s="105" t="n">
        <f aca="false">D21-7</f>
        <v>46339</v>
      </c>
      <c r="E23" s="105" t="n">
        <f aca="false">E21-7</f>
        <v>46346</v>
      </c>
      <c r="F23" s="105" t="n">
        <f aca="false">F21-7</f>
        <v>46353</v>
      </c>
      <c r="G23" s="105" t="n">
        <f aca="false">G21-7</f>
        <v>46360</v>
      </c>
      <c r="H23" s="105" t="n">
        <f aca="false">H21-7</f>
        <v>46367</v>
      </c>
      <c r="I23" s="105" t="n">
        <f aca="false">I21-7</f>
        <v>46374</v>
      </c>
      <c r="J23" s="105" t="n">
        <f aca="false">J21-7</f>
        <v>46381</v>
      </c>
      <c r="K23" s="105" t="n">
        <f aca="false">K21-7</f>
        <v>46388</v>
      </c>
      <c r="L23" s="105" t="n">
        <f aca="false">L21-7</f>
        <v>46395</v>
      </c>
      <c r="M23" s="105" t="n">
        <f aca="false">M21-7</f>
        <v>46402</v>
      </c>
      <c r="N23" s="105" t="n">
        <f aca="false">N21-7</f>
        <v>46409</v>
      </c>
      <c r="O23" s="105" t="n">
        <f aca="false">O21-7</f>
        <v>46416</v>
      </c>
    </row>
    <row r="24" customFormat="false" ht="15" hidden="false" customHeight="false" outlineLevel="0" collapsed="false">
      <c r="A24" s="2"/>
      <c r="B24" s="9" t="s">
        <v>490</v>
      </c>
      <c r="C24" s="9" t="n">
        <f aca="false">YEAR(C21)*12+MONTH(C21)</f>
        <v>24323</v>
      </c>
      <c r="D24" s="9" t="n">
        <f aca="false">YEAR(D21)*12+MONTH(D21)</f>
        <v>24323</v>
      </c>
      <c r="E24" s="9" t="n">
        <f aca="false">YEAR(E21)*12+MONTH(E21)</f>
        <v>24323</v>
      </c>
      <c r="F24" s="9" t="n">
        <f aca="false">YEAR(F21)*12+MONTH(F21)</f>
        <v>24324</v>
      </c>
      <c r="G24" s="9" t="n">
        <f aca="false">YEAR(G21)*12+MONTH(G21)</f>
        <v>24324</v>
      </c>
      <c r="H24" s="9" t="n">
        <f aca="false">YEAR(H21)*12+MONTH(H21)</f>
        <v>24324</v>
      </c>
      <c r="I24" s="9" t="n">
        <f aca="false">YEAR(I21)*12+MONTH(I21)</f>
        <v>24324</v>
      </c>
      <c r="J24" s="9" t="n">
        <f aca="false">YEAR(J21)*12+MONTH(J21)</f>
        <v>24325</v>
      </c>
      <c r="K24" s="9" t="n">
        <f aca="false">YEAR(K21)*12+MONTH(K21)</f>
        <v>24325</v>
      </c>
      <c r="L24" s="9" t="n">
        <f aca="false">YEAR(L21)*12+MONTH(L21)</f>
        <v>24325</v>
      </c>
      <c r="M24" s="9" t="n">
        <f aca="false">YEAR(M21)*12+MONTH(M21)</f>
        <v>24325</v>
      </c>
      <c r="N24" s="9" t="n">
        <f aca="false">YEAR(N21)*12+MONTH(N21)</f>
        <v>24325</v>
      </c>
      <c r="O24" s="9" t="n">
        <f aca="false">YEAR(O21)*12+MONTH(O21)</f>
        <v>24326</v>
      </c>
    </row>
    <row r="25" customFormat="false" ht="15" hidden="false" customHeight="false" outlineLevel="0" collapsed="false">
      <c r="A25" s="2"/>
      <c r="B25" s="9" t="s">
        <v>594</v>
      </c>
      <c r="C25" s="105" t="n">
        <f aca="false">C21-4</f>
        <v>46335</v>
      </c>
      <c r="D25" s="105" t="n">
        <f aca="false">D21-4</f>
        <v>46342</v>
      </c>
      <c r="E25" s="105" t="n">
        <f aca="false">E21-4</f>
        <v>46349</v>
      </c>
      <c r="F25" s="105" t="n">
        <f aca="false">F21-4</f>
        <v>46356</v>
      </c>
      <c r="G25" s="105" t="n">
        <f aca="false">G21-4</f>
        <v>46363</v>
      </c>
      <c r="H25" s="105" t="n">
        <f aca="false">H21-4</f>
        <v>46370</v>
      </c>
      <c r="I25" s="105" t="n">
        <f aca="false">I21-4</f>
        <v>46377</v>
      </c>
      <c r="J25" s="105" t="n">
        <f aca="false">J21-4</f>
        <v>46384</v>
      </c>
      <c r="K25" s="105" t="n">
        <f aca="false">K21-4</f>
        <v>46391</v>
      </c>
      <c r="L25" s="105" t="n">
        <f aca="false">L21-4</f>
        <v>46398</v>
      </c>
      <c r="M25" s="105" t="n">
        <f aca="false">M21-4</f>
        <v>46405</v>
      </c>
      <c r="N25" s="105" t="n">
        <f aca="false">N21-4</f>
        <v>46412</v>
      </c>
      <c r="O25" s="105" t="n">
        <f aca="false">O21-4</f>
        <v>46419</v>
      </c>
    </row>
    <row r="26" customFormat="false" ht="15" hidden="false" customHeight="false" outlineLevel="0" collapsed="false">
      <c r="A26" s="2"/>
      <c r="B26" s="2"/>
      <c r="C26" s="2"/>
      <c r="D26" s="2"/>
      <c r="E26" s="2"/>
      <c r="F26" s="2"/>
      <c r="G26" s="2"/>
      <c r="H26" s="2"/>
      <c r="I26" s="2"/>
      <c r="J26" s="2"/>
      <c r="K26" s="2"/>
      <c r="L26" s="2"/>
      <c r="M26" s="2"/>
      <c r="N26" s="2"/>
      <c r="O26" s="2"/>
    </row>
    <row r="27" customFormat="false" ht="15" hidden="false" customHeight="false" outlineLevel="0" collapsed="false">
      <c r="A27" s="2"/>
      <c r="B27" s="9" t="s">
        <v>595</v>
      </c>
      <c r="C27" s="9" t="str">
        <f aca="false">TEXT(C21,"dd mmm")</f>
        <v>13 Nov</v>
      </c>
      <c r="D27" s="9" t="str">
        <f aca="false">TEXT(D21,"dd mmm")</f>
        <v>20 Nov</v>
      </c>
      <c r="E27" s="9" t="str">
        <f aca="false">TEXT(E21,"dd mmm")</f>
        <v>27 Nov</v>
      </c>
      <c r="F27" s="9" t="str">
        <f aca="false">TEXT(F21,"dd mmm")</f>
        <v>04 Dec</v>
      </c>
      <c r="G27" s="9" t="str">
        <f aca="false">TEXT(G21,"dd mmm")</f>
        <v>11 Dec</v>
      </c>
      <c r="H27" s="9" t="str">
        <f aca="false">TEXT(H21,"dd mmm")</f>
        <v>18 Dec</v>
      </c>
      <c r="I27" s="9" t="str">
        <f aca="false">TEXT(I21,"dd mmm")</f>
        <v>25 Dec</v>
      </c>
      <c r="J27" s="9" t="str">
        <f aca="false">TEXT(J21,"dd mmm")</f>
        <v>01 Jan</v>
      </c>
      <c r="K27" s="9" t="str">
        <f aca="false">TEXT(K21,"dd mmm")</f>
        <v>08 Jan</v>
      </c>
      <c r="L27" s="9" t="str">
        <f aca="false">TEXT(L21,"dd mmm")</f>
        <v>15 Jan</v>
      </c>
      <c r="M27" s="9" t="str">
        <f aca="false">TEXT(M21,"dd mmm")</f>
        <v>22 Jan</v>
      </c>
      <c r="N27" s="9" t="str">
        <f aca="false">TEXT(N21,"dd mmm")</f>
        <v>29 Jan</v>
      </c>
      <c r="O27" s="9" t="str">
        <f aca="false">TEXT(O21,"dd mmm")</f>
        <v>05 Feb</v>
      </c>
    </row>
  </sheetData>
  <sheetProtection sheet="true" formatCells="false" formatColumns="false" formatRows="false"/>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2026-10-29T16:56:30Z</dcterms:created>
  <dc:creator>openpyxl</dc:creator>
  <dc:description/>
  <dc:language>en-US</dc:language>
  <cp:lastModifiedBy/>
  <dcterms:modified xsi:type="dcterms:W3CDTF">2026-11-04T19:24:21Z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